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ESKTOP-JD38MKO\Shared\SALES\AVAILABILITY LISTS\Aquatics\"/>
    </mc:Choice>
  </mc:AlternateContent>
  <xr:revisionPtr revIDLastSave="0" documentId="13_ncr:1_{15B0C5BB-03F4-4EE5-A7B4-BDA1C5A53045}" xr6:coauthVersionLast="47" xr6:coauthVersionMax="47" xr10:uidLastSave="{00000000-0000-0000-0000-000000000000}"/>
  <bookViews>
    <workbookView xWindow="-120" yWindow="-120" windowWidth="29040" windowHeight="15840" xr2:uid="{B18342B6-62E1-4D14-B146-75276BCA8966}"/>
  </bookViews>
  <sheets>
    <sheet name="Order" sheetId="1" r:id="rId1"/>
    <sheet name="Print_Order" sheetId="2" r:id="rId2"/>
    <sheet name="A" sheetId="3" r:id="rId3"/>
    <sheet name="Stock position" sheetId="5" r:id="rId4"/>
    <sheet name="Priority" sheetId="6" r:id="rId5"/>
    <sheet name="New order" sheetId="7" r:id="rId6"/>
    <sheet name="Nursery Sheet" sheetId="8" r:id="rId7"/>
  </sheets>
  <definedNames>
    <definedName name="_xlnm._FilterDatabase" localSheetId="0" hidden="1">Order!$A$2:$N$816</definedName>
    <definedName name="_xlnm.Print_Area" localSheetId="6">'Nursery Sheet'!$AA$1:$AI$212</definedName>
    <definedName name="_xlnm.Print_Area" localSheetId="0">Order!$A$2:$N$858</definedName>
    <definedName name="_xlnm.Print_Area" localSheetId="1">Print_Order!$A$1:$D$145</definedName>
    <definedName name="_xlnm.Print_Area" localSheetId="4">Priority!$I$1:$N$111</definedName>
    <definedName name="_xlnm.Print_Area" localSheetId="3">'Stock position'!$B$1:$U$50</definedName>
    <definedName name="_xlnm.Print_Titles" localSheetId="0">Order!$2:$6</definedName>
    <definedName name="_xlnm.Print_Titles" localSheetId="1">Print_Order!$1:$4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7" i="1" l="1"/>
  <c r="J171" i="1"/>
  <c r="H678" i="1"/>
  <c r="H677" i="1"/>
  <c r="H676" i="1"/>
  <c r="H675" i="1"/>
  <c r="M168" i="1"/>
  <c r="K168" i="1"/>
  <c r="J168" i="1"/>
  <c r="H168" i="1"/>
  <c r="H169" i="1"/>
  <c r="H170" i="1"/>
  <c r="K123" i="1"/>
  <c r="K124" i="1"/>
  <c r="K125" i="1"/>
  <c r="K126" i="1"/>
  <c r="K127" i="1"/>
  <c r="K128" i="1"/>
  <c r="K129" i="1"/>
  <c r="J123" i="1"/>
  <c r="J124" i="1"/>
  <c r="J125" i="1"/>
  <c r="J126" i="1"/>
  <c r="J127" i="1"/>
  <c r="J128" i="1"/>
  <c r="J129" i="1"/>
  <c r="J130" i="1"/>
  <c r="J131" i="1"/>
  <c r="J132" i="1"/>
  <c r="H123" i="1"/>
  <c r="H124" i="1"/>
  <c r="H125" i="1"/>
  <c r="H126" i="1"/>
  <c r="H127" i="1"/>
  <c r="H128" i="1"/>
  <c r="H129" i="1"/>
  <c r="D62" i="6" s="1"/>
  <c r="H482" i="1"/>
  <c r="Y168" i="1"/>
  <c r="X168" i="1"/>
  <c r="O168" i="1"/>
  <c r="X129" i="1"/>
  <c r="O129" i="1"/>
  <c r="W129" i="1" s="1"/>
  <c r="Y362" i="1"/>
  <c r="S362" i="1" s="1"/>
  <c r="AB362" i="1" s="1"/>
  <c r="Y492" i="1"/>
  <c r="S492" i="1" s="1"/>
  <c r="S666" i="1"/>
  <c r="O666" i="1"/>
  <c r="S633" i="1"/>
  <c r="A680" i="1"/>
  <c r="S680" i="1" s="1"/>
  <c r="O632" i="1"/>
  <c r="G686" i="1"/>
  <c r="A686" i="1"/>
  <c r="S686" i="1"/>
  <c r="G680" i="1"/>
  <c r="S679" i="1"/>
  <c r="O679" i="1"/>
  <c r="M679" i="1"/>
  <c r="K679" i="1"/>
  <c r="J679" i="1"/>
  <c r="S678" i="1"/>
  <c r="O678" i="1"/>
  <c r="S685" i="1"/>
  <c r="O685" i="1"/>
  <c r="M685" i="1"/>
  <c r="K685" i="1"/>
  <c r="J685" i="1"/>
  <c r="S684" i="1"/>
  <c r="O684" i="1"/>
  <c r="M684" i="1"/>
  <c r="K684" i="1"/>
  <c r="J684" i="1"/>
  <c r="R683" i="1"/>
  <c r="Q683" i="1"/>
  <c r="R682" i="1"/>
  <c r="Q682" i="1"/>
  <c r="S677" i="1"/>
  <c r="O677" i="1"/>
  <c r="S676" i="1"/>
  <c r="O676" i="1"/>
  <c r="S675" i="1"/>
  <c r="O675" i="1"/>
  <c r="S674" i="1"/>
  <c r="R674" i="1"/>
  <c r="O674" i="1"/>
  <c r="M674" i="1"/>
  <c r="K674" i="1"/>
  <c r="J674" i="1"/>
  <c r="R673" i="1"/>
  <c r="Q673" i="1"/>
  <c r="R672" i="1"/>
  <c r="Q672" i="1"/>
  <c r="S25" i="1"/>
  <c r="Y611" i="1"/>
  <c r="S611" i="1" s="1"/>
  <c r="U615" i="1" s="1"/>
  <c r="Y273" i="1"/>
  <c r="Y231" i="1"/>
  <c r="Y46" i="1"/>
  <c r="S46" i="1" s="1"/>
  <c r="AB46" i="1" s="1"/>
  <c r="S28" i="1"/>
  <c r="S29" i="1"/>
  <c r="S30" i="1"/>
  <c r="S31" i="1"/>
  <c r="S32" i="1"/>
  <c r="S33" i="1"/>
  <c r="S34" i="1"/>
  <c r="S35" i="1"/>
  <c r="S36" i="1"/>
  <c r="S37" i="1"/>
  <c r="A41" i="1"/>
  <c r="S41" i="1"/>
  <c r="Q41" i="1" s="1"/>
  <c r="Q687" i="1"/>
  <c r="R687" i="1"/>
  <c r="H631" i="1"/>
  <c r="O631" i="1"/>
  <c r="Y690" i="1"/>
  <c r="Q43" i="1"/>
  <c r="O620" i="1"/>
  <c r="Z620" i="1" s="1"/>
  <c r="O619" i="1"/>
  <c r="Z619" i="1" s="1"/>
  <c r="J611" i="1"/>
  <c r="A621" i="1"/>
  <c r="H625" i="1"/>
  <c r="H630" i="1"/>
  <c r="H635" i="1"/>
  <c r="H637" i="1"/>
  <c r="H638" i="1"/>
  <c r="H639" i="1"/>
  <c r="H632" i="1"/>
  <c r="H627" i="1"/>
  <c r="H628" i="1"/>
  <c r="H636" i="1"/>
  <c r="H629" i="1"/>
  <c r="C634" i="1"/>
  <c r="H634" i="1"/>
  <c r="A640" i="1"/>
  <c r="S640" i="1" s="1"/>
  <c r="H644" i="1"/>
  <c r="A645" i="1"/>
  <c r="H650" i="1"/>
  <c r="J650" i="1"/>
  <c r="K650" i="1"/>
  <c r="M650" i="1"/>
  <c r="H651" i="1"/>
  <c r="J651" i="1"/>
  <c r="K651" i="1"/>
  <c r="M651" i="1"/>
  <c r="J652" i="1"/>
  <c r="K652" i="1"/>
  <c r="H653" i="1"/>
  <c r="J653" i="1"/>
  <c r="K653" i="1"/>
  <c r="M653" i="1"/>
  <c r="H654" i="1"/>
  <c r="J654" i="1"/>
  <c r="K654" i="1"/>
  <c r="M654" i="1"/>
  <c r="H655" i="1"/>
  <c r="J655" i="1"/>
  <c r="K655" i="1"/>
  <c r="M655" i="1"/>
  <c r="H656" i="1"/>
  <c r="J656" i="1"/>
  <c r="K656" i="1"/>
  <c r="L656" i="1"/>
  <c r="M656" i="1"/>
  <c r="A657" i="1"/>
  <c r="S385" i="1"/>
  <c r="R385" i="1" s="1"/>
  <c r="S434" i="1"/>
  <c r="R434" i="1" s="1"/>
  <c r="Y806" i="1"/>
  <c r="H245" i="1"/>
  <c r="J245" i="1"/>
  <c r="K245" i="1"/>
  <c r="M245" i="1"/>
  <c r="O245" i="1"/>
  <c r="W245" i="1"/>
  <c r="T245" i="1"/>
  <c r="L245" i="1" s="1"/>
  <c r="X245" i="1"/>
  <c r="H221" i="1"/>
  <c r="D99" i="6" s="1"/>
  <c r="J221" i="1"/>
  <c r="K221" i="1"/>
  <c r="O221" i="1"/>
  <c r="W221" i="1" s="1"/>
  <c r="X221" i="1"/>
  <c r="J547" i="1"/>
  <c r="J548" i="1"/>
  <c r="J549" i="1"/>
  <c r="J550" i="1"/>
  <c r="J551" i="1"/>
  <c r="J552" i="1"/>
  <c r="J527" i="1"/>
  <c r="K526" i="1"/>
  <c r="K527" i="1"/>
  <c r="J526" i="1"/>
  <c r="O368" i="1"/>
  <c r="W368" i="1" s="1"/>
  <c r="Y435" i="1"/>
  <c r="O222" i="1"/>
  <c r="W222" i="1" s="1"/>
  <c r="H222" i="1"/>
  <c r="D82" i="6" s="1"/>
  <c r="O47" i="1"/>
  <c r="W47" i="1" s="1"/>
  <c r="H47" i="1"/>
  <c r="D75" i="6" s="1"/>
  <c r="O48" i="1"/>
  <c r="W48" i="1" s="1"/>
  <c r="H48" i="1"/>
  <c r="O49" i="1"/>
  <c r="Z49" i="1" s="1"/>
  <c r="O50" i="1"/>
  <c r="W50" i="1" s="1"/>
  <c r="H50" i="1"/>
  <c r="D74" i="6" s="1"/>
  <c r="O51" i="1"/>
  <c r="W51" i="1" s="1"/>
  <c r="H51" i="1"/>
  <c r="D11" i="6"/>
  <c r="O52" i="1"/>
  <c r="W52" i="1" s="1"/>
  <c r="O53" i="1"/>
  <c r="Z53" i="1" s="1"/>
  <c r="O54" i="1"/>
  <c r="W54" i="1" s="1"/>
  <c r="H54" i="1"/>
  <c r="O55" i="1"/>
  <c r="H55" i="1"/>
  <c r="D72" i="6" s="1"/>
  <c r="O56" i="1"/>
  <c r="Z56" i="1" s="1"/>
  <c r="O57" i="1"/>
  <c r="Z57" i="1" s="1"/>
  <c r="O58" i="1"/>
  <c r="Z58" i="1" s="1"/>
  <c r="O59" i="1"/>
  <c r="W59" i="1" s="1"/>
  <c r="O60" i="1"/>
  <c r="W60" i="1" s="1"/>
  <c r="H60" i="1"/>
  <c r="O61" i="1"/>
  <c r="Z61" i="1" s="1"/>
  <c r="O62" i="1"/>
  <c r="W62" i="1" s="1"/>
  <c r="H62" i="1"/>
  <c r="D12" i="6"/>
  <c r="O63" i="1"/>
  <c r="Z63" i="1" s="1"/>
  <c r="O64" i="1"/>
  <c r="Z64" i="1" s="1"/>
  <c r="O65" i="1"/>
  <c r="Z65" i="1" s="1"/>
  <c r="O66" i="1"/>
  <c r="Z66" i="1" s="1"/>
  <c r="O67" i="1"/>
  <c r="Z67" i="1" s="1"/>
  <c r="O68" i="1"/>
  <c r="Z68" i="1" s="1"/>
  <c r="O69" i="1"/>
  <c r="Z69" i="1" s="1"/>
  <c r="O70" i="1"/>
  <c r="Z70" i="1" s="1"/>
  <c r="O71" i="1"/>
  <c r="Z71" i="1" s="1"/>
  <c r="O72" i="1"/>
  <c r="Z72" i="1" s="1"/>
  <c r="O73" i="1"/>
  <c r="Z73" i="1" s="1"/>
  <c r="O74" i="1"/>
  <c r="Z74" i="1" s="1"/>
  <c r="O75" i="1"/>
  <c r="Z75" i="1" s="1"/>
  <c r="O76" i="1"/>
  <c r="Z76" i="1" s="1"/>
  <c r="O77" i="1"/>
  <c r="W77" i="1" s="1"/>
  <c r="O78" i="1"/>
  <c r="W78" i="1" s="1"/>
  <c r="T78" i="1"/>
  <c r="L78" i="1" s="1"/>
  <c r="O79" i="1"/>
  <c r="Z79" i="1" s="1"/>
  <c r="O80" i="1"/>
  <c r="W80" i="1" s="1"/>
  <c r="H80" i="1"/>
  <c r="D20" i="6"/>
  <c r="E20" i="6" s="1"/>
  <c r="F20" i="6" s="1"/>
  <c r="O81" i="1"/>
  <c r="W81" i="1" s="1"/>
  <c r="H81" i="1"/>
  <c r="D70" i="6" s="1"/>
  <c r="D15" i="6"/>
  <c r="E15" i="6" s="1"/>
  <c r="F15" i="6" s="1"/>
  <c r="O82" i="1"/>
  <c r="W82" i="1" s="1"/>
  <c r="O83" i="1"/>
  <c r="Z83" i="1" s="1"/>
  <c r="O84" i="1"/>
  <c r="W84" i="1" s="1"/>
  <c r="H84" i="1"/>
  <c r="O85" i="1"/>
  <c r="W85" i="1" s="1"/>
  <c r="O86" i="1"/>
  <c r="W86" i="1" s="1"/>
  <c r="O87" i="1"/>
  <c r="Z87" i="1" s="1"/>
  <c r="O88" i="1"/>
  <c r="W88" i="1" s="1"/>
  <c r="H88" i="1"/>
  <c r="O89" i="1"/>
  <c r="Z89" i="1" s="1"/>
  <c r="O90" i="1"/>
  <c r="W90" i="1" s="1"/>
  <c r="O91" i="1"/>
  <c r="Z91" i="1" s="1"/>
  <c r="O92" i="1"/>
  <c r="O93" i="1"/>
  <c r="Z93" i="1" s="1"/>
  <c r="O94" i="1"/>
  <c r="Z94" i="1" s="1"/>
  <c r="O95" i="1"/>
  <c r="W95" i="1" s="1"/>
  <c r="H95" i="1"/>
  <c r="O96" i="1"/>
  <c r="W96" i="1" s="1"/>
  <c r="O97" i="1"/>
  <c r="Z97" i="1" s="1"/>
  <c r="O98" i="1"/>
  <c r="O99" i="1"/>
  <c r="W99" i="1" s="1"/>
  <c r="O100" i="1"/>
  <c r="W100" i="1" s="1"/>
  <c r="H100" i="1"/>
  <c r="O101" i="1"/>
  <c r="Z101" i="1" s="1"/>
  <c r="H101" i="1"/>
  <c r="O102" i="1"/>
  <c r="Z102" i="1" s="1"/>
  <c r="O103" i="1"/>
  <c r="H103" i="1"/>
  <c r="AE110" i="3"/>
  <c r="T103" i="1"/>
  <c r="O104" i="1"/>
  <c r="Z104" i="1" s="1"/>
  <c r="O105" i="1"/>
  <c r="Z105" i="1" s="1"/>
  <c r="O106" i="1"/>
  <c r="Z106" i="1" s="1"/>
  <c r="H106" i="1"/>
  <c r="O107" i="1"/>
  <c r="Z107" i="1" s="1"/>
  <c r="O108" i="1"/>
  <c r="W108" i="1" s="1"/>
  <c r="H108" i="1"/>
  <c r="O109" i="1"/>
  <c r="Z109" i="1" s="1"/>
  <c r="O110" i="1"/>
  <c r="Z110" i="1" s="1"/>
  <c r="O111" i="1"/>
  <c r="Z111" i="1" s="1"/>
  <c r="O112" i="1"/>
  <c r="Z112" i="1" s="1"/>
  <c r="O113" i="1"/>
  <c r="W113" i="1" s="1"/>
  <c r="H113" i="1"/>
  <c r="D17" i="6"/>
  <c r="E17" i="6" s="1"/>
  <c r="F17" i="6" s="1"/>
  <c r="O114" i="1"/>
  <c r="Z114" i="1" s="1"/>
  <c r="O115" i="1"/>
  <c r="W115" i="1" s="1"/>
  <c r="O116" i="1"/>
  <c r="Z116" i="1" s="1"/>
  <c r="O117" i="1"/>
  <c r="Z117" i="1" s="1"/>
  <c r="O118" i="1"/>
  <c r="W118" i="1" s="1"/>
  <c r="H118" i="1"/>
  <c r="D64" i="6" s="1"/>
  <c r="D18" i="6"/>
  <c r="E18" i="6" s="1"/>
  <c r="F18" i="6" s="1"/>
  <c r="O119" i="1"/>
  <c r="Z119" i="1" s="1"/>
  <c r="O120" i="1"/>
  <c r="Z120" i="1" s="1"/>
  <c r="O121" i="1"/>
  <c r="Z121" i="1" s="1"/>
  <c r="O122" i="1"/>
  <c r="O123" i="1"/>
  <c r="Z123" i="1" s="1"/>
  <c r="O124" i="1"/>
  <c r="Z124" i="1" s="1"/>
  <c r="O125" i="1"/>
  <c r="Z125" i="1" s="1"/>
  <c r="O126" i="1"/>
  <c r="Z126" i="1" s="1"/>
  <c r="O127" i="1"/>
  <c r="Z127" i="1" s="1"/>
  <c r="O128" i="1"/>
  <c r="Z128" i="1" s="1"/>
  <c r="O130" i="1"/>
  <c r="Z130" i="1" s="1"/>
  <c r="O131" i="1"/>
  <c r="Z131" i="1" s="1"/>
  <c r="O132" i="1"/>
  <c r="Z132" i="1" s="1"/>
  <c r="O133" i="1"/>
  <c r="W133" i="1" s="1"/>
  <c r="H133" i="1"/>
  <c r="D61" i="6" s="1"/>
  <c r="D19" i="6"/>
  <c r="E19" i="6" s="1"/>
  <c r="F19" i="6" s="1"/>
  <c r="O134" i="1"/>
  <c r="Z134" i="1" s="1"/>
  <c r="O135" i="1"/>
  <c r="Z135" i="1" s="1"/>
  <c r="O136" i="1"/>
  <c r="W136" i="1" s="1"/>
  <c r="O137" i="1"/>
  <c r="O138" i="1"/>
  <c r="O139" i="1"/>
  <c r="W139" i="1" s="1"/>
  <c r="O140" i="1"/>
  <c r="Z140" i="1" s="1"/>
  <c r="O141" i="1"/>
  <c r="Z141" i="1" s="1"/>
  <c r="O142" i="1"/>
  <c r="Z142" i="1" s="1"/>
  <c r="O143" i="1"/>
  <c r="H143" i="1"/>
  <c r="AE164" i="3"/>
  <c r="T143" i="1"/>
  <c r="O144" i="1"/>
  <c r="Z144" i="1" s="1"/>
  <c r="O145" i="1"/>
  <c r="Z145" i="1" s="1"/>
  <c r="O146" i="1"/>
  <c r="Z146" i="1" s="1"/>
  <c r="O147" i="1"/>
  <c r="H147" i="1"/>
  <c r="AE168" i="3"/>
  <c r="T147" i="1" s="1"/>
  <c r="L147" i="1" s="1"/>
  <c r="O148" i="1"/>
  <c r="H148" i="1"/>
  <c r="AE170" i="3"/>
  <c r="T148" i="1"/>
  <c r="L148" i="1" s="1"/>
  <c r="O149" i="1"/>
  <c r="H149" i="1"/>
  <c r="AE171" i="3"/>
  <c r="T149" i="1" s="1"/>
  <c r="O150" i="1"/>
  <c r="Z150" i="1" s="1"/>
  <c r="O151" i="1"/>
  <c r="W151" i="1" s="1"/>
  <c r="H151" i="1"/>
  <c r="D22" i="6"/>
  <c r="E22" i="6" s="1"/>
  <c r="F22" i="6" s="1"/>
  <c r="O152" i="1"/>
  <c r="Z152" i="1" s="1"/>
  <c r="O153" i="1"/>
  <c r="Z153" i="1" s="1"/>
  <c r="O154" i="1"/>
  <c r="H154" i="1"/>
  <c r="AE177" i="3"/>
  <c r="T154" i="1"/>
  <c r="O155" i="1"/>
  <c r="O156" i="1"/>
  <c r="Z156" i="1" s="1"/>
  <c r="O157" i="1"/>
  <c r="W157" i="1" s="1"/>
  <c r="H157" i="1"/>
  <c r="O158" i="1"/>
  <c r="W158" i="1" s="1"/>
  <c r="O159" i="1"/>
  <c r="W159" i="1" s="1"/>
  <c r="O160" i="1"/>
  <c r="W160" i="1" s="1"/>
  <c r="O161" i="1"/>
  <c r="W161" i="1" s="1"/>
  <c r="O162" i="1"/>
  <c r="Z162" i="1" s="1"/>
  <c r="O163" i="1"/>
  <c r="Z163" i="1" s="1"/>
  <c r="O164" i="1"/>
  <c r="Z164" i="1" s="1"/>
  <c r="O165" i="1"/>
  <c r="Z165" i="1" s="1"/>
  <c r="O166" i="1"/>
  <c r="O167" i="1"/>
  <c r="W167" i="1" s="1"/>
  <c r="H167" i="1"/>
  <c r="D88" i="6" s="1"/>
  <c r="D25" i="6"/>
  <c r="E25" i="6" s="1"/>
  <c r="F25" i="6" s="1"/>
  <c r="O169" i="1"/>
  <c r="Z169" i="1" s="1"/>
  <c r="O170" i="1"/>
  <c r="Z170" i="1" s="1"/>
  <c r="O171" i="1"/>
  <c r="W171" i="1" s="1"/>
  <c r="H171" i="1"/>
  <c r="D26" i="6"/>
  <c r="E26" i="6" s="1"/>
  <c r="F26" i="6" s="1"/>
  <c r="O172" i="1"/>
  <c r="Z172" i="1" s="1"/>
  <c r="O173" i="1"/>
  <c r="Z173" i="1" s="1"/>
  <c r="O174" i="1"/>
  <c r="W174" i="1" s="1"/>
  <c r="O175" i="1"/>
  <c r="Z175" i="1" s="1"/>
  <c r="O176" i="1"/>
  <c r="Z176" i="1" s="1"/>
  <c r="O177" i="1"/>
  <c r="Z177" i="1" s="1"/>
  <c r="O178" i="1"/>
  <c r="W178" i="1" s="1"/>
  <c r="O179" i="1"/>
  <c r="W179" i="1" s="1"/>
  <c r="H179" i="1"/>
  <c r="D27" i="6"/>
  <c r="E27" i="6" s="1"/>
  <c r="F27" i="6" s="1"/>
  <c r="O180" i="1"/>
  <c r="W180" i="1" s="1"/>
  <c r="H180" i="1"/>
  <c r="D36" i="6"/>
  <c r="O181" i="1"/>
  <c r="Z181" i="1" s="1"/>
  <c r="O182" i="1"/>
  <c r="Z182" i="1" s="1"/>
  <c r="O183" i="1"/>
  <c r="AE216" i="3"/>
  <c r="T183" i="1"/>
  <c r="L183" i="1" s="1"/>
  <c r="O184" i="1"/>
  <c r="Z184" i="1" s="1"/>
  <c r="O185" i="1"/>
  <c r="W185" i="1" s="1"/>
  <c r="AE218" i="3"/>
  <c r="T185" i="1" s="1"/>
  <c r="L185" i="1" s="1"/>
  <c r="O186" i="1"/>
  <c r="Z186" i="1" s="1"/>
  <c r="O187" i="1"/>
  <c r="AE220" i="3"/>
  <c r="T187" i="1"/>
  <c r="L187" i="1" s="1"/>
  <c r="O188" i="1"/>
  <c r="W188" i="1" s="1"/>
  <c r="H188" i="1"/>
  <c r="AE221" i="3"/>
  <c r="T188" i="1"/>
  <c r="L188" i="1" s="1"/>
  <c r="O189" i="1"/>
  <c r="Z189" i="1" s="1"/>
  <c r="O190" i="1"/>
  <c r="Z190" i="1" s="1"/>
  <c r="O191" i="1"/>
  <c r="Z191" i="1" s="1"/>
  <c r="O192" i="1"/>
  <c r="Z192" i="1" s="1"/>
  <c r="O193" i="1"/>
  <c r="O194" i="1"/>
  <c r="AE227" i="3"/>
  <c r="T194" i="1"/>
  <c r="L194" i="1" s="1"/>
  <c r="O195" i="1"/>
  <c r="Z195" i="1" s="1"/>
  <c r="O196" i="1"/>
  <c r="Z196" i="1" s="1"/>
  <c r="O198" i="1"/>
  <c r="W198" i="1" s="1"/>
  <c r="H198" i="1"/>
  <c r="D28" i="6"/>
  <c r="E28" i="6" s="1"/>
  <c r="F28" i="6" s="1"/>
  <c r="O199" i="1"/>
  <c r="W199" i="1" s="1"/>
  <c r="O200" i="1"/>
  <c r="Z200" i="1" s="1"/>
  <c r="O201" i="1"/>
  <c r="Z201" i="1" s="1"/>
  <c r="O202" i="1"/>
  <c r="Z202" i="1" s="1"/>
  <c r="O203" i="1"/>
  <c r="Z203" i="1" s="1"/>
  <c r="O204" i="1"/>
  <c r="Z204" i="1" s="1"/>
  <c r="O205" i="1"/>
  <c r="Z205" i="1" s="1"/>
  <c r="O206" i="1"/>
  <c r="W206" i="1" s="1"/>
  <c r="H206" i="1"/>
  <c r="D29" i="6"/>
  <c r="E29" i="6" s="1"/>
  <c r="F29" i="6" s="1"/>
  <c r="O207" i="1"/>
  <c r="W207" i="1" s="1"/>
  <c r="H207" i="1"/>
  <c r="D97" i="6" s="1"/>
  <c r="O208" i="1"/>
  <c r="Z208" i="1" s="1"/>
  <c r="O209" i="1"/>
  <c r="H209" i="1"/>
  <c r="O210" i="1"/>
  <c r="Z210" i="1" s="1"/>
  <c r="O211" i="1"/>
  <c r="Z211" i="1" s="1"/>
  <c r="O212" i="1"/>
  <c r="W212" i="1" s="1"/>
  <c r="O213" i="1"/>
  <c r="W213" i="1" s="1"/>
  <c r="H213" i="1"/>
  <c r="D84" i="6" s="1"/>
  <c r="D31" i="6"/>
  <c r="E31" i="6" s="1"/>
  <c r="F31" i="6" s="1"/>
  <c r="O214" i="1"/>
  <c r="Z214" i="1" s="1"/>
  <c r="O215" i="1"/>
  <c r="Z215" i="1" s="1"/>
  <c r="O216" i="1"/>
  <c r="W216" i="1" s="1"/>
  <c r="O217" i="1"/>
  <c r="Z217" i="1" s="1"/>
  <c r="O218" i="1"/>
  <c r="W218" i="1" s="1"/>
  <c r="O219" i="1"/>
  <c r="W219" i="1" s="1"/>
  <c r="H219" i="1"/>
  <c r="D83" i="6" s="1"/>
  <c r="O220" i="1"/>
  <c r="W220" i="1" s="1"/>
  <c r="H220" i="1"/>
  <c r="O223" i="1"/>
  <c r="W223" i="1" s="1"/>
  <c r="H223" i="1"/>
  <c r="D45" i="6"/>
  <c r="O224" i="1"/>
  <c r="Z224" i="1" s="1"/>
  <c r="O225" i="1"/>
  <c r="Z225" i="1" s="1"/>
  <c r="O226" i="1"/>
  <c r="Z226" i="1" s="1"/>
  <c r="A253" i="1"/>
  <c r="O374" i="1"/>
  <c r="H374" i="1"/>
  <c r="D100" i="6" s="1"/>
  <c r="O363" i="1"/>
  <c r="W363" i="1" s="1"/>
  <c r="H363" i="1"/>
  <c r="D35" i="6"/>
  <c r="O364" i="1"/>
  <c r="Z364" i="1" s="1"/>
  <c r="O365" i="1"/>
  <c r="Z365" i="1" s="1"/>
  <c r="O366" i="1"/>
  <c r="H366" i="1"/>
  <c r="O367" i="1"/>
  <c r="W367" i="1" s="1"/>
  <c r="H367" i="1"/>
  <c r="O369" i="1"/>
  <c r="O370" i="1"/>
  <c r="W370" i="1" s="1"/>
  <c r="H370" i="1"/>
  <c r="O371" i="1"/>
  <c r="Z371" i="1" s="1"/>
  <c r="O372" i="1"/>
  <c r="W372" i="1" s="1"/>
  <c r="H372" i="1"/>
  <c r="O373" i="1"/>
  <c r="Z373" i="1" s="1"/>
  <c r="O375" i="1"/>
  <c r="Z375" i="1" s="1"/>
  <c r="O376" i="1"/>
  <c r="Z376" i="1" s="1"/>
  <c r="O377" i="1"/>
  <c r="Z377" i="1" s="1"/>
  <c r="O378" i="1"/>
  <c r="Z378" i="1" s="1"/>
  <c r="O379" i="1"/>
  <c r="Z379" i="1" s="1"/>
  <c r="O380" i="1"/>
  <c r="Z380" i="1" s="1"/>
  <c r="O381" i="1"/>
  <c r="Z381" i="1" s="1"/>
  <c r="O382" i="1"/>
  <c r="W382" i="1" s="1"/>
  <c r="H382" i="1"/>
  <c r="O383" i="1"/>
  <c r="W383" i="1" s="1"/>
  <c r="H383" i="1"/>
  <c r="O384" i="1"/>
  <c r="Z384" i="1" s="1"/>
  <c r="O386" i="1"/>
  <c r="Z386" i="1" s="1"/>
  <c r="O387" i="1"/>
  <c r="W387" i="1" s="1"/>
  <c r="H387" i="1"/>
  <c r="O388" i="1"/>
  <c r="W388" i="1" s="1"/>
  <c r="H388" i="1"/>
  <c r="O389" i="1"/>
  <c r="Z389" i="1" s="1"/>
  <c r="O390" i="1"/>
  <c r="Z390" i="1" s="1"/>
  <c r="O391" i="1"/>
  <c r="Z391" i="1" s="1"/>
  <c r="O392" i="1"/>
  <c r="W392" i="1" s="1"/>
  <c r="H392" i="1"/>
  <c r="O393" i="1"/>
  <c r="Z393" i="1" s="1"/>
  <c r="O394" i="1"/>
  <c r="W394" i="1" s="1"/>
  <c r="O395" i="1"/>
  <c r="Z395" i="1" s="1"/>
  <c r="O396" i="1"/>
  <c r="Z396" i="1" s="1"/>
  <c r="O397" i="1"/>
  <c r="W397" i="1" s="1"/>
  <c r="O398" i="1"/>
  <c r="Z398" i="1" s="1"/>
  <c r="O399" i="1"/>
  <c r="Z399" i="1" s="1"/>
  <c r="O400" i="1"/>
  <c r="Z400" i="1" s="1"/>
  <c r="O401" i="1"/>
  <c r="Z401" i="1" s="1"/>
  <c r="O402" i="1"/>
  <c r="Z402" i="1" s="1"/>
  <c r="O403" i="1"/>
  <c r="Z403" i="1" s="1"/>
  <c r="H403" i="1"/>
  <c r="O404" i="1"/>
  <c r="Z404" i="1" s="1"/>
  <c r="O405" i="1"/>
  <c r="Z405" i="1" s="1"/>
  <c r="O406" i="1"/>
  <c r="Z406" i="1" s="1"/>
  <c r="O407" i="1"/>
  <c r="Z407" i="1" s="1"/>
  <c r="O408" i="1"/>
  <c r="Z408" i="1" s="1"/>
  <c r="O409" i="1"/>
  <c r="Z409" i="1" s="1"/>
  <c r="O410" i="1"/>
  <c r="Z410" i="1" s="1"/>
  <c r="O411" i="1"/>
  <c r="W411" i="1" s="1"/>
  <c r="H411" i="1"/>
  <c r="O412" i="1"/>
  <c r="Z412" i="1" s="1"/>
  <c r="O413" i="1"/>
  <c r="Z413" i="1" s="1"/>
  <c r="O414" i="1"/>
  <c r="Z414" i="1" s="1"/>
  <c r="O415" i="1"/>
  <c r="Z415" i="1" s="1"/>
  <c r="O416" i="1"/>
  <c r="Z416" i="1" s="1"/>
  <c r="O417" i="1"/>
  <c r="Z417" i="1" s="1"/>
  <c r="O418" i="1"/>
  <c r="Z418" i="1" s="1"/>
  <c r="O419" i="1"/>
  <c r="H419" i="1"/>
  <c r="D41" i="6"/>
  <c r="O420" i="1"/>
  <c r="Z420" i="1" s="1"/>
  <c r="O421" i="1"/>
  <c r="Z421" i="1" s="1"/>
  <c r="O422" i="1"/>
  <c r="Z422" i="1" s="1"/>
  <c r="O423" i="1"/>
  <c r="W423" i="1" s="1"/>
  <c r="H423" i="1"/>
  <c r="D4" i="6" s="1"/>
  <c r="O424" i="1"/>
  <c r="Z424" i="1" s="1"/>
  <c r="O425" i="1"/>
  <c r="Z425" i="1" s="1"/>
  <c r="O426" i="1"/>
  <c r="W426" i="1" s="1"/>
  <c r="H426" i="1"/>
  <c r="O427" i="1"/>
  <c r="Z427" i="1" s="1"/>
  <c r="O428" i="1"/>
  <c r="Z428" i="1" s="1"/>
  <c r="O429" i="1"/>
  <c r="Z429" i="1" s="1"/>
  <c r="O430" i="1"/>
  <c r="Z430" i="1" s="1"/>
  <c r="O431" i="1"/>
  <c r="W431" i="1" s="1"/>
  <c r="H431" i="1"/>
  <c r="D78" i="6" s="1"/>
  <c r="O432" i="1"/>
  <c r="W432" i="1" s="1"/>
  <c r="H432" i="1"/>
  <c r="O433" i="1"/>
  <c r="W433" i="1" s="1"/>
  <c r="H433" i="1"/>
  <c r="D103" i="6" s="1"/>
  <c r="O435" i="1"/>
  <c r="W435" i="1" s="1"/>
  <c r="H435" i="1"/>
  <c r="O436" i="1"/>
  <c r="Z436" i="1" s="1"/>
  <c r="O437" i="1"/>
  <c r="Z437" i="1" s="1"/>
  <c r="O438" i="1"/>
  <c r="Z438" i="1" s="1"/>
  <c r="O439" i="1"/>
  <c r="Z439" i="1" s="1"/>
  <c r="O440" i="1"/>
  <c r="Z440" i="1" s="1"/>
  <c r="O441" i="1"/>
  <c r="Z441" i="1" s="1"/>
  <c r="O442" i="1"/>
  <c r="Z442" i="1" s="1"/>
  <c r="H442" i="1"/>
  <c r="O443" i="1"/>
  <c r="Z443" i="1" s="1"/>
  <c r="O444" i="1"/>
  <c r="Z444" i="1" s="1"/>
  <c r="O445" i="1"/>
  <c r="Z445" i="1" s="1"/>
  <c r="O446" i="1"/>
  <c r="Z446" i="1" s="1"/>
  <c r="O447" i="1"/>
  <c r="H447" i="1"/>
  <c r="AF178" i="3"/>
  <c r="T447" i="1" s="1"/>
  <c r="L447" i="1" s="1"/>
  <c r="O448" i="1"/>
  <c r="Z448" i="1" s="1"/>
  <c r="O449" i="1"/>
  <c r="W449" i="1" s="1"/>
  <c r="H449" i="1"/>
  <c r="O450" i="1"/>
  <c r="H450" i="1"/>
  <c r="AF186" i="3"/>
  <c r="T450" i="1"/>
  <c r="L450" i="1" s="1"/>
  <c r="O451" i="1"/>
  <c r="Z451" i="1" s="1"/>
  <c r="H451" i="1"/>
  <c r="O452" i="1"/>
  <c r="Z452" i="1" s="1"/>
  <c r="O453" i="1"/>
  <c r="Z453" i="1" s="1"/>
  <c r="O454" i="1"/>
  <c r="Z454" i="1" s="1"/>
  <c r="O455" i="1"/>
  <c r="Z455" i="1" s="1"/>
  <c r="O456" i="1"/>
  <c r="W456" i="1" s="1"/>
  <c r="O457" i="1"/>
  <c r="Z457" i="1" s="1"/>
  <c r="O458" i="1"/>
  <c r="Z458" i="1" s="1"/>
  <c r="O459" i="1"/>
  <c r="O460" i="1"/>
  <c r="Z460" i="1" s="1"/>
  <c r="O461" i="1"/>
  <c r="O462" i="1"/>
  <c r="O463" i="1"/>
  <c r="Z463" i="1" s="1"/>
  <c r="O464" i="1"/>
  <c r="Z464" i="1" s="1"/>
  <c r="O465" i="1"/>
  <c r="Z465" i="1" s="1"/>
  <c r="H465" i="1"/>
  <c r="O466" i="1"/>
  <c r="W466" i="1" s="1"/>
  <c r="H466" i="1"/>
  <c r="O467" i="1"/>
  <c r="Z467" i="1" s="1"/>
  <c r="O468" i="1"/>
  <c r="H468" i="1"/>
  <c r="O469" i="1"/>
  <c r="H469" i="1"/>
  <c r="AF233" i="3"/>
  <c r="T469" i="1"/>
  <c r="D7" i="5" s="1"/>
  <c r="O470" i="1"/>
  <c r="Z470" i="1" s="1"/>
  <c r="O471" i="1"/>
  <c r="Z471" i="1" s="1"/>
  <c r="O472" i="1"/>
  <c r="Z472" i="1" s="1"/>
  <c r="O473" i="1"/>
  <c r="Z473" i="1" s="1"/>
  <c r="O474" i="1"/>
  <c r="Z474" i="1" s="1"/>
  <c r="O475" i="1"/>
  <c r="Z475" i="1" s="1"/>
  <c r="O476" i="1"/>
  <c r="Z476" i="1" s="1"/>
  <c r="O477" i="1"/>
  <c r="Z477" i="1" s="1"/>
  <c r="O478" i="1"/>
  <c r="Z478" i="1" s="1"/>
  <c r="O479" i="1"/>
  <c r="O480" i="1"/>
  <c r="Z480" i="1" s="1"/>
  <c r="O481" i="1"/>
  <c r="Z481" i="1" s="1"/>
  <c r="O482" i="1"/>
  <c r="W482" i="1" s="1"/>
  <c r="O483" i="1"/>
  <c r="H483" i="1"/>
  <c r="O484" i="1"/>
  <c r="Z484" i="1" s="1"/>
  <c r="O485" i="1"/>
  <c r="W485" i="1" s="1"/>
  <c r="H485" i="1"/>
  <c r="O486" i="1"/>
  <c r="Z486" i="1" s="1"/>
  <c r="O487" i="1"/>
  <c r="Z487" i="1" s="1"/>
  <c r="D39" i="6"/>
  <c r="H137" i="1"/>
  <c r="D91" i="6" s="1"/>
  <c r="H161" i="1"/>
  <c r="S526" i="1"/>
  <c r="R526" i="1"/>
  <c r="S527" i="1"/>
  <c r="R527" i="1" s="1"/>
  <c r="O527" i="1"/>
  <c r="S499" i="1"/>
  <c r="Q499" i="1"/>
  <c r="S500" i="1"/>
  <c r="R500" i="1" s="1"/>
  <c r="O499" i="1"/>
  <c r="O500" i="1"/>
  <c r="A589" i="1"/>
  <c r="S589" i="1" s="1"/>
  <c r="Q589" i="1" s="1"/>
  <c r="J501" i="1"/>
  <c r="K501" i="1"/>
  <c r="J502" i="1"/>
  <c r="K502" i="1"/>
  <c r="J503" i="1"/>
  <c r="K503" i="1"/>
  <c r="J504" i="1"/>
  <c r="K504" i="1"/>
  <c r="J505" i="1"/>
  <c r="K505" i="1"/>
  <c r="J506" i="1"/>
  <c r="K506" i="1"/>
  <c r="J507" i="1"/>
  <c r="K507" i="1"/>
  <c r="J508" i="1"/>
  <c r="K508" i="1"/>
  <c r="J264" i="1"/>
  <c r="J265" i="1"/>
  <c r="J266" i="1"/>
  <c r="J267" i="1"/>
  <c r="J268" i="1"/>
  <c r="J246" i="1"/>
  <c r="J247" i="1"/>
  <c r="J248" i="1"/>
  <c r="J249" i="1"/>
  <c r="J250" i="1"/>
  <c r="O575" i="1"/>
  <c r="O576" i="1"/>
  <c r="O577" i="1"/>
  <c r="O578" i="1"/>
  <c r="O579" i="1"/>
  <c r="AG211" i="3"/>
  <c r="AG79" i="3"/>
  <c r="AG76" i="3"/>
  <c r="AG74" i="3"/>
  <c r="M575" i="1"/>
  <c r="M576" i="1"/>
  <c r="L576" i="1"/>
  <c r="K575" i="1"/>
  <c r="K576" i="1"/>
  <c r="J575" i="1"/>
  <c r="J576" i="1"/>
  <c r="J577" i="1"/>
  <c r="J578" i="1"/>
  <c r="H575" i="1"/>
  <c r="L559" i="1"/>
  <c r="L560" i="1"/>
  <c r="K554" i="1"/>
  <c r="K555" i="1"/>
  <c r="K556" i="1"/>
  <c r="K557" i="1"/>
  <c r="K558" i="1"/>
  <c r="K559" i="1"/>
  <c r="K560" i="1"/>
  <c r="J554" i="1"/>
  <c r="J555" i="1"/>
  <c r="J556" i="1"/>
  <c r="J557" i="1"/>
  <c r="J558" i="1"/>
  <c r="J559" i="1"/>
  <c r="J560" i="1"/>
  <c r="H554" i="1"/>
  <c r="H555" i="1"/>
  <c r="H556" i="1"/>
  <c r="H557" i="1"/>
  <c r="H558" i="1"/>
  <c r="H503" i="1"/>
  <c r="H505" i="1"/>
  <c r="H506" i="1"/>
  <c r="H507" i="1"/>
  <c r="H508" i="1"/>
  <c r="S498" i="1"/>
  <c r="R498" i="1"/>
  <c r="S501" i="1"/>
  <c r="R501" i="1" s="1"/>
  <c r="S502" i="1"/>
  <c r="R502" i="1"/>
  <c r="S503" i="1"/>
  <c r="Q503" i="1" s="1"/>
  <c r="S504" i="1"/>
  <c r="R504" i="1" s="1"/>
  <c r="S505" i="1"/>
  <c r="Q505" i="1" s="1"/>
  <c r="S506" i="1"/>
  <c r="Q506" i="1"/>
  <c r="S507" i="1"/>
  <c r="Q507" i="1" s="1"/>
  <c r="S508" i="1"/>
  <c r="Q508" i="1"/>
  <c r="S509" i="1"/>
  <c r="R509" i="1" s="1"/>
  <c r="S510" i="1"/>
  <c r="R510" i="1"/>
  <c r="S511" i="1"/>
  <c r="R511" i="1" s="1"/>
  <c r="S512" i="1"/>
  <c r="R512" i="1" s="1"/>
  <c r="S513" i="1"/>
  <c r="R513" i="1" s="1"/>
  <c r="S514" i="1"/>
  <c r="R514" i="1" s="1"/>
  <c r="S515" i="1"/>
  <c r="R515" i="1" s="1"/>
  <c r="S516" i="1"/>
  <c r="R516" i="1"/>
  <c r="S517" i="1"/>
  <c r="R517" i="1" s="1"/>
  <c r="S518" i="1"/>
  <c r="Q518" i="1"/>
  <c r="S519" i="1"/>
  <c r="R519" i="1" s="1"/>
  <c r="S520" i="1"/>
  <c r="R520" i="1" s="1"/>
  <c r="S521" i="1"/>
  <c r="R521" i="1" s="1"/>
  <c r="S522" i="1"/>
  <c r="Q522" i="1" s="1"/>
  <c r="S523" i="1"/>
  <c r="R523" i="1" s="1"/>
  <c r="S524" i="1"/>
  <c r="R524" i="1"/>
  <c r="S525" i="1"/>
  <c r="R525" i="1" s="1"/>
  <c r="S528" i="1"/>
  <c r="R528" i="1"/>
  <c r="S529" i="1"/>
  <c r="Q529" i="1" s="1"/>
  <c r="S530" i="1"/>
  <c r="R530" i="1" s="1"/>
  <c r="S531" i="1"/>
  <c r="R531" i="1" s="1"/>
  <c r="S532" i="1"/>
  <c r="Q532" i="1" s="1"/>
  <c r="S533" i="1"/>
  <c r="R533" i="1" s="1"/>
  <c r="S534" i="1"/>
  <c r="R534" i="1"/>
  <c r="S535" i="1"/>
  <c r="Q535" i="1" s="1"/>
  <c r="S536" i="1"/>
  <c r="R536" i="1" s="1"/>
  <c r="S537" i="1"/>
  <c r="R537" i="1" s="1"/>
  <c r="S538" i="1"/>
  <c r="R538" i="1"/>
  <c r="S539" i="1"/>
  <c r="S540" i="1"/>
  <c r="R540" i="1"/>
  <c r="S541" i="1"/>
  <c r="Q541" i="1" s="1"/>
  <c r="S542" i="1"/>
  <c r="R542" i="1" s="1"/>
  <c r="S543" i="1"/>
  <c r="R543" i="1" s="1"/>
  <c r="S544" i="1"/>
  <c r="R544" i="1" s="1"/>
  <c r="S545" i="1"/>
  <c r="R545" i="1" s="1"/>
  <c r="S546" i="1"/>
  <c r="R546" i="1"/>
  <c r="S547" i="1"/>
  <c r="Q547" i="1" s="1"/>
  <c r="S548" i="1"/>
  <c r="Q548" i="1"/>
  <c r="S549" i="1"/>
  <c r="Q549" i="1" s="1"/>
  <c r="S550" i="1"/>
  <c r="R550" i="1" s="1"/>
  <c r="S551" i="1"/>
  <c r="Q551" i="1" s="1"/>
  <c r="S552" i="1"/>
  <c r="Q552" i="1" s="1"/>
  <c r="S553" i="1"/>
  <c r="Q553" i="1" s="1"/>
  <c r="S554" i="1"/>
  <c r="R554" i="1"/>
  <c r="S555" i="1"/>
  <c r="R555" i="1" s="1"/>
  <c r="S556" i="1"/>
  <c r="Q556" i="1"/>
  <c r="S557" i="1"/>
  <c r="R557" i="1" s="1"/>
  <c r="S558" i="1"/>
  <c r="R558" i="1" s="1"/>
  <c r="S559" i="1"/>
  <c r="R559" i="1" s="1"/>
  <c r="S560" i="1"/>
  <c r="Q560" i="1" s="1"/>
  <c r="S561" i="1"/>
  <c r="Q561" i="1" s="1"/>
  <c r="S562" i="1"/>
  <c r="R562" i="1" s="1"/>
  <c r="S563" i="1"/>
  <c r="R563" i="1" s="1"/>
  <c r="S564" i="1"/>
  <c r="R564" i="1"/>
  <c r="S565" i="1"/>
  <c r="R565" i="1" s="1"/>
  <c r="S566" i="1"/>
  <c r="Q566" i="1" s="1"/>
  <c r="S567" i="1"/>
  <c r="R567" i="1" s="1"/>
  <c r="S568" i="1"/>
  <c r="Q568" i="1" s="1"/>
  <c r="S569" i="1"/>
  <c r="R569" i="1" s="1"/>
  <c r="S570" i="1"/>
  <c r="R570" i="1"/>
  <c r="S571" i="1"/>
  <c r="R571" i="1" s="1"/>
  <c r="S572" i="1"/>
  <c r="R572" i="1" s="1"/>
  <c r="S573" i="1"/>
  <c r="R573" i="1" s="1"/>
  <c r="S574" i="1"/>
  <c r="Q574" i="1" s="1"/>
  <c r="S575" i="1"/>
  <c r="Q575" i="1" s="1"/>
  <c r="S576" i="1"/>
  <c r="R576" i="1" s="1"/>
  <c r="S577" i="1"/>
  <c r="Q577" i="1" s="1"/>
  <c r="S578" i="1"/>
  <c r="R578" i="1" s="1"/>
  <c r="S579" i="1"/>
  <c r="Q579" i="1" s="1"/>
  <c r="S580" i="1"/>
  <c r="Q580" i="1"/>
  <c r="S581" i="1"/>
  <c r="Q581" i="1" s="1"/>
  <c r="S582" i="1"/>
  <c r="Q582" i="1" s="1"/>
  <c r="S583" i="1"/>
  <c r="Q583" i="1" s="1"/>
  <c r="S584" i="1"/>
  <c r="Q584" i="1" s="1"/>
  <c r="S585" i="1"/>
  <c r="Q585" i="1" s="1"/>
  <c r="S586" i="1"/>
  <c r="S587" i="1"/>
  <c r="Q587" i="1" s="1"/>
  <c r="S588" i="1"/>
  <c r="O498"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A358" i="1"/>
  <c r="S358" i="1" s="1"/>
  <c r="T512" i="1"/>
  <c r="K525" i="1"/>
  <c r="J525" i="1"/>
  <c r="H525" i="1"/>
  <c r="K524" i="1"/>
  <c r="J524" i="1"/>
  <c r="H524" i="1"/>
  <c r="A751" i="1"/>
  <c r="S751" i="1"/>
  <c r="A275" i="1"/>
  <c r="S275" i="1" s="1"/>
  <c r="Q275" i="1" s="1"/>
  <c r="L38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Y403" i="1"/>
  <c r="Y167" i="1"/>
  <c r="Y88" i="1"/>
  <c r="Y54" i="1"/>
  <c r="Y50" i="1"/>
  <c r="M563" i="1"/>
  <c r="L563" i="1"/>
  <c r="K563" i="1"/>
  <c r="J563" i="1"/>
  <c r="H563" i="1"/>
  <c r="L695"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T299" i="1"/>
  <c r="AF85" i="3"/>
  <c r="T313" i="1"/>
  <c r="S281" i="1"/>
  <c r="R281" i="1"/>
  <c r="S282" i="1"/>
  <c r="R282" i="1"/>
  <c r="S283" i="1"/>
  <c r="R283" i="1"/>
  <c r="S284" i="1"/>
  <c r="R284" i="1"/>
  <c r="S285" i="1"/>
  <c r="R285" i="1"/>
  <c r="S286" i="1"/>
  <c r="R286" i="1"/>
  <c r="S287" i="1"/>
  <c r="Q287" i="1"/>
  <c r="S288" i="1"/>
  <c r="Q288" i="1"/>
  <c r="S289" i="1"/>
  <c r="R289" i="1"/>
  <c r="S290" i="1"/>
  <c r="Q290" i="1"/>
  <c r="S291" i="1"/>
  <c r="Q291" i="1"/>
  <c r="S292" i="1"/>
  <c r="R292" i="1"/>
  <c r="S293" i="1"/>
  <c r="Q293" i="1"/>
  <c r="S294" i="1"/>
  <c r="R294" i="1"/>
  <c r="S295" i="1"/>
  <c r="R295" i="1"/>
  <c r="S296" i="1"/>
  <c r="Q296" i="1"/>
  <c r="S297" i="1"/>
  <c r="Q297" i="1"/>
  <c r="S298" i="1"/>
  <c r="R298" i="1"/>
  <c r="S299" i="1"/>
  <c r="Q299" i="1"/>
  <c r="S300" i="1"/>
  <c r="S301" i="1"/>
  <c r="R301" i="1" s="1"/>
  <c r="S302" i="1"/>
  <c r="R302" i="1"/>
  <c r="S303" i="1"/>
  <c r="R303" i="1" s="1"/>
  <c r="S304" i="1"/>
  <c r="Q304" i="1"/>
  <c r="S305" i="1"/>
  <c r="Q305" i="1" s="1"/>
  <c r="S306" i="1"/>
  <c r="Q306" i="1"/>
  <c r="S307" i="1"/>
  <c r="R307" i="1" s="1"/>
  <c r="S308" i="1"/>
  <c r="Q308" i="1"/>
  <c r="S309" i="1"/>
  <c r="R309" i="1" s="1"/>
  <c r="S310" i="1"/>
  <c r="R310" i="1"/>
  <c r="S311" i="1"/>
  <c r="Q311" i="1" s="1"/>
  <c r="S312" i="1"/>
  <c r="R312" i="1"/>
  <c r="S313" i="1"/>
  <c r="Q313" i="1" s="1"/>
  <c r="S314" i="1"/>
  <c r="R314" i="1"/>
  <c r="S315" i="1"/>
  <c r="R315" i="1" s="1"/>
  <c r="S316" i="1"/>
  <c r="R316" i="1"/>
  <c r="S317" i="1"/>
  <c r="R317" i="1" s="1"/>
  <c r="S318" i="1"/>
  <c r="Q318" i="1"/>
  <c r="S319" i="1"/>
  <c r="R319" i="1" s="1"/>
  <c r="S320" i="1"/>
  <c r="Q320" i="1"/>
  <c r="S321" i="1"/>
  <c r="Q321" i="1" s="1"/>
  <c r="S322" i="1"/>
  <c r="Q322" i="1"/>
  <c r="S323" i="1"/>
  <c r="R323" i="1" s="1"/>
  <c r="S324" i="1"/>
  <c r="R324" i="1"/>
  <c r="S325" i="1"/>
  <c r="R325" i="1" s="1"/>
  <c r="S326" i="1"/>
  <c r="Q326" i="1"/>
  <c r="S327" i="1"/>
  <c r="R327" i="1" s="1"/>
  <c r="S328" i="1"/>
  <c r="R328" i="1"/>
  <c r="S329" i="1"/>
  <c r="R329" i="1" s="1"/>
  <c r="S330" i="1"/>
  <c r="R330" i="1"/>
  <c r="S331" i="1"/>
  <c r="R331" i="1" s="1"/>
  <c r="S332" i="1"/>
  <c r="R332" i="1"/>
  <c r="S333" i="1"/>
  <c r="R333" i="1" s="1"/>
  <c r="S334" i="1"/>
  <c r="Q334" i="1"/>
  <c r="S335" i="1"/>
  <c r="R335" i="1" s="1"/>
  <c r="S336" i="1"/>
  <c r="R336" i="1"/>
  <c r="S337" i="1"/>
  <c r="Q337" i="1" s="1"/>
  <c r="S338" i="1"/>
  <c r="Q338" i="1"/>
  <c r="S339" i="1"/>
  <c r="R339" i="1" s="1"/>
  <c r="S340" i="1"/>
  <c r="Q340" i="1"/>
  <c r="S341" i="1"/>
  <c r="R341" i="1" s="1"/>
  <c r="S342" i="1"/>
  <c r="R342" i="1"/>
  <c r="S343" i="1"/>
  <c r="Q343" i="1" s="1"/>
  <c r="S344" i="1"/>
  <c r="R344" i="1"/>
  <c r="S345" i="1"/>
  <c r="Q345" i="1" s="1"/>
  <c r="S346" i="1"/>
  <c r="R346" i="1"/>
  <c r="S347" i="1"/>
  <c r="R347" i="1" s="1"/>
  <c r="S348" i="1"/>
  <c r="Q348" i="1"/>
  <c r="S349" i="1"/>
  <c r="Q349" i="1" s="1"/>
  <c r="S350" i="1"/>
  <c r="Q350" i="1"/>
  <c r="S351" i="1"/>
  <c r="Q351" i="1" s="1"/>
  <c r="S352" i="1"/>
  <c r="Q352" i="1"/>
  <c r="S353" i="1"/>
  <c r="Q353" i="1" s="1"/>
  <c r="S354" i="1"/>
  <c r="Q354" i="1"/>
  <c r="S355" i="1"/>
  <c r="R355" i="1" s="1"/>
  <c r="S356" i="1"/>
  <c r="R356" i="1"/>
  <c r="S357" i="1"/>
  <c r="R357" i="1" s="1"/>
  <c r="O281" i="1"/>
  <c r="W281" i="1" s="1"/>
  <c r="O282" i="1"/>
  <c r="W282" i="1" s="1"/>
  <c r="O283" i="1"/>
  <c r="W283" i="1" s="1"/>
  <c r="O284" i="1"/>
  <c r="W284" i="1" s="1"/>
  <c r="O285" i="1"/>
  <c r="W285" i="1" s="1"/>
  <c r="O286" i="1"/>
  <c r="W286" i="1" s="1"/>
  <c r="O287" i="1"/>
  <c r="W287" i="1" s="1"/>
  <c r="O288" i="1"/>
  <c r="W288" i="1" s="1"/>
  <c r="O289" i="1"/>
  <c r="W289" i="1" s="1"/>
  <c r="O290" i="1"/>
  <c r="W290" i="1" s="1"/>
  <c r="O291" i="1"/>
  <c r="W291" i="1" s="1"/>
  <c r="O292" i="1"/>
  <c r="W292" i="1" s="1"/>
  <c r="O293" i="1"/>
  <c r="W293" i="1" s="1"/>
  <c r="O294" i="1"/>
  <c r="W294" i="1" s="1"/>
  <c r="O295" i="1"/>
  <c r="W295" i="1" s="1"/>
  <c r="O296" i="1"/>
  <c r="W296" i="1" s="1"/>
  <c r="O297" i="1"/>
  <c r="O298" i="1"/>
  <c r="W298" i="1" s="1"/>
  <c r="O299" i="1"/>
  <c r="W299" i="1" s="1"/>
  <c r="O300" i="1"/>
  <c r="W300" i="1" s="1"/>
  <c r="O301" i="1"/>
  <c r="W301" i="1" s="1"/>
  <c r="O302" i="1"/>
  <c r="W302" i="1" s="1"/>
  <c r="O303" i="1"/>
  <c r="W303" i="1" s="1"/>
  <c r="O304" i="1"/>
  <c r="W304" i="1" s="1"/>
  <c r="O305" i="1"/>
  <c r="W305" i="1" s="1"/>
  <c r="O306" i="1"/>
  <c r="W306" i="1" s="1"/>
  <c r="O307" i="1"/>
  <c r="W307" i="1" s="1"/>
  <c r="O308" i="1"/>
  <c r="W308" i="1" s="1"/>
  <c r="O309" i="1"/>
  <c r="W309" i="1" s="1"/>
  <c r="O310" i="1"/>
  <c r="W310" i="1" s="1"/>
  <c r="O311" i="1"/>
  <c r="W311" i="1" s="1"/>
  <c r="O312" i="1"/>
  <c r="W312" i="1" s="1"/>
  <c r="O313" i="1"/>
  <c r="O314" i="1"/>
  <c r="W314" i="1" s="1"/>
  <c r="S836" i="1"/>
  <c r="R836" i="1" s="1"/>
  <c r="S837" i="1"/>
  <c r="R837" i="1"/>
  <c r="S838" i="1"/>
  <c r="Q838" i="1" s="1"/>
  <c r="S839" i="1"/>
  <c r="R839" i="1"/>
  <c r="S840" i="1"/>
  <c r="R840" i="1" s="1"/>
  <c r="L381" i="1"/>
  <c r="K373" i="1"/>
  <c r="K374" i="1"/>
  <c r="K375" i="1"/>
  <c r="K376" i="1"/>
  <c r="K377" i="1"/>
  <c r="K378" i="1"/>
  <c r="K379" i="1"/>
  <c r="K380" i="1"/>
  <c r="K381" i="1"/>
  <c r="K382" i="1"/>
  <c r="K383" i="1"/>
  <c r="K384" i="1"/>
  <c r="K385" i="1"/>
  <c r="J373" i="1"/>
  <c r="J374" i="1"/>
  <c r="J375" i="1"/>
  <c r="J376" i="1"/>
  <c r="J377" i="1"/>
  <c r="J378" i="1"/>
  <c r="J379" i="1"/>
  <c r="J380" i="1"/>
  <c r="J381" i="1"/>
  <c r="J382" i="1"/>
  <c r="J383" i="1"/>
  <c r="J384" i="1"/>
  <c r="J385" i="1"/>
  <c r="H373" i="1"/>
  <c r="H375" i="1"/>
  <c r="H376" i="1"/>
  <c r="H377" i="1"/>
  <c r="H378" i="1"/>
  <c r="H379" i="1"/>
  <c r="H380" i="1"/>
  <c r="H381" i="1"/>
  <c r="H384" i="1"/>
  <c r="H385" i="1"/>
  <c r="O385" i="1"/>
  <c r="J725" i="1"/>
  <c r="J726" i="1"/>
  <c r="J727" i="1"/>
  <c r="J728" i="1"/>
  <c r="J729" i="1"/>
  <c r="J730" i="1"/>
  <c r="J731" i="1"/>
  <c r="J732" i="1"/>
  <c r="J733" i="1"/>
  <c r="J734" i="1"/>
  <c r="J735" i="1"/>
  <c r="J736" i="1"/>
  <c r="J737" i="1"/>
  <c r="J738" i="1"/>
  <c r="J739" i="1"/>
  <c r="J740" i="1"/>
  <c r="J741" i="1"/>
  <c r="J742" i="1"/>
  <c r="J743" i="1"/>
  <c r="J744" i="1"/>
  <c r="J745" i="1"/>
  <c r="J746" i="1"/>
  <c r="J722" i="1"/>
  <c r="J723" i="1"/>
  <c r="J713" i="1"/>
  <c r="J714" i="1"/>
  <c r="J579" i="1"/>
  <c r="S739" i="1"/>
  <c r="R739" i="1"/>
  <c r="O739" i="1"/>
  <c r="H393" i="1"/>
  <c r="K386" i="1"/>
  <c r="J386" i="1"/>
  <c r="H386" i="1"/>
  <c r="AF66" i="3"/>
  <c r="T386" i="1"/>
  <c r="L386" i="1" s="1"/>
  <c r="X386" i="1"/>
  <c r="X89" i="1"/>
  <c r="X88" i="1"/>
  <c r="H66" i="1"/>
  <c r="H91" i="1"/>
  <c r="D69" i="6" s="1"/>
  <c r="H96" i="1"/>
  <c r="H98" i="1"/>
  <c r="H139" i="1"/>
  <c r="H155" i="1"/>
  <c r="D37" i="6" s="1"/>
  <c r="D89" i="6"/>
  <c r="H172" i="1"/>
  <c r="H176" i="1"/>
  <c r="H182" i="1"/>
  <c r="H196" i="1"/>
  <c r="H205" i="1"/>
  <c r="H217" i="1"/>
  <c r="AE253" i="3"/>
  <c r="T217" i="1" s="1"/>
  <c r="L217" i="1" s="1"/>
  <c r="A227" i="1"/>
  <c r="X81" i="1"/>
  <c r="X82" i="1"/>
  <c r="X83" i="1"/>
  <c r="X84" i="1"/>
  <c r="X85" i="1"/>
  <c r="X86" i="1"/>
  <c r="X87" i="1"/>
  <c r="X171" i="1"/>
  <c r="X266" i="1"/>
  <c r="O238" i="1"/>
  <c r="W238" i="1" s="1"/>
  <c r="O747" i="1"/>
  <c r="S806" i="1"/>
  <c r="AB806" i="1" s="1"/>
  <c r="O807" i="1"/>
  <c r="O808" i="1"/>
  <c r="Z808" i="1" s="1"/>
  <c r="O809" i="1"/>
  <c r="O810" i="1"/>
  <c r="Z810" i="1" s="1"/>
  <c r="O811" i="1"/>
  <c r="Z811" i="1" s="1"/>
  <c r="O813" i="1"/>
  <c r="O814" i="1"/>
  <c r="Z814" i="1" s="1"/>
  <c r="O611" i="1"/>
  <c r="O612" i="1"/>
  <c r="S612" i="1"/>
  <c r="O613" i="1"/>
  <c r="S613" i="1"/>
  <c r="Q613" i="1" s="1"/>
  <c r="O614" i="1"/>
  <c r="S614" i="1"/>
  <c r="R614" i="1" s="1"/>
  <c r="Q359" i="1"/>
  <c r="R359" i="1"/>
  <c r="Q360" i="1"/>
  <c r="R360" i="1"/>
  <c r="Q361" i="1"/>
  <c r="R361" i="1"/>
  <c r="Q489" i="1"/>
  <c r="R489" i="1"/>
  <c r="Q490" i="1"/>
  <c r="R490" i="1"/>
  <c r="Q491" i="1"/>
  <c r="R491" i="1"/>
  <c r="O644" i="1"/>
  <c r="Z644" i="1" s="1"/>
  <c r="S645" i="1"/>
  <c r="Q645" i="1" s="1"/>
  <c r="AG73" i="3"/>
  <c r="T529" i="1"/>
  <c r="AF73" i="3"/>
  <c r="T393" i="1" s="1"/>
  <c r="L393" i="1" s="1"/>
  <c r="AE73" i="3"/>
  <c r="T89" i="1" s="1"/>
  <c r="X393" i="1"/>
  <c r="M393" i="1"/>
  <c r="K393" i="1"/>
  <c r="J393" i="1"/>
  <c r="H612" i="1"/>
  <c r="H613" i="1"/>
  <c r="H614" i="1"/>
  <c r="K612" i="1"/>
  <c r="K613" i="1"/>
  <c r="K614" i="1"/>
  <c r="J612" i="1"/>
  <c r="J613" i="1"/>
  <c r="J614" i="1"/>
  <c r="A815" i="1"/>
  <c r="S815" i="1" s="1"/>
  <c r="Q815" i="1" s="1"/>
  <c r="R832" i="1"/>
  <c r="R833" i="1"/>
  <c r="R834" i="1"/>
  <c r="R842" i="1"/>
  <c r="R843" i="1"/>
  <c r="R844" i="1"/>
  <c r="Q832" i="1"/>
  <c r="Q833" i="1"/>
  <c r="Q834" i="1"/>
  <c r="Q842" i="1"/>
  <c r="Q843" i="1"/>
  <c r="Q844" i="1"/>
  <c r="S657" i="1"/>
  <c r="Q657" i="1" s="1"/>
  <c r="H257" i="1"/>
  <c r="H258" i="1"/>
  <c r="H259" i="1"/>
  <c r="O258" i="1"/>
  <c r="S258" i="1"/>
  <c r="R258" i="1"/>
  <c r="T258" i="1"/>
  <c r="X258" i="1"/>
  <c r="Z812" i="1"/>
  <c r="J812" i="1"/>
  <c r="K812" i="1"/>
  <c r="S841" i="1"/>
  <c r="Q841" i="1"/>
  <c r="O268" i="1"/>
  <c r="W268" i="1" s="1"/>
  <c r="A615" i="1"/>
  <c r="S615" i="1" s="1"/>
  <c r="Q615" i="1" s="1"/>
  <c r="X415" i="1"/>
  <c r="A493" i="1"/>
  <c r="A488" i="1"/>
  <c r="S743" i="1"/>
  <c r="R743" i="1" s="1"/>
  <c r="S744" i="1"/>
  <c r="Q744" i="1"/>
  <c r="S745" i="1"/>
  <c r="R745" i="1" s="1"/>
  <c r="S746" i="1"/>
  <c r="R746" i="1"/>
  <c r="S747" i="1"/>
  <c r="R747" i="1" s="1"/>
  <c r="K415" i="1"/>
  <c r="J415" i="1"/>
  <c r="J747" i="1"/>
  <c r="O743" i="1"/>
  <c r="O744" i="1"/>
  <c r="O745" i="1"/>
  <c r="O746" i="1"/>
  <c r="O748" i="1"/>
  <c r="O749" i="1"/>
  <c r="AF126" i="3"/>
  <c r="T415" i="1"/>
  <c r="L415" i="1" s="1"/>
  <c r="AE126" i="3"/>
  <c r="S231" i="1"/>
  <c r="AB231" i="1" s="1"/>
  <c r="Y171" i="1"/>
  <c r="Y143" i="1"/>
  <c r="Y118" i="1"/>
  <c r="Y106" i="1"/>
  <c r="Y62" i="1"/>
  <c r="Y227" i="1" s="1"/>
  <c r="Y51" i="1"/>
  <c r="K725" i="1"/>
  <c r="K726" i="1"/>
  <c r="K727" i="1"/>
  <c r="K728" i="1"/>
  <c r="S23" i="1"/>
  <c r="X267" i="1"/>
  <c r="T267" i="1"/>
  <c r="L267" i="1" s="1"/>
  <c r="O267" i="1"/>
  <c r="W267" i="1" s="1"/>
  <c r="T232" i="1"/>
  <c r="L232" i="1" s="1"/>
  <c r="O232" i="1"/>
  <c r="W232" i="1" s="1"/>
  <c r="H232" i="1"/>
  <c r="T233" i="1"/>
  <c r="L233" i="1" s="1"/>
  <c r="O233" i="1"/>
  <c r="W233" i="1" s="1"/>
  <c r="T236" i="1"/>
  <c r="R5" i="5" s="1"/>
  <c r="O236" i="1"/>
  <c r="W236" i="1" s="1"/>
  <c r="H236" i="1"/>
  <c r="T237" i="1"/>
  <c r="O237" i="1"/>
  <c r="W237" i="1" s="1"/>
  <c r="H237" i="1"/>
  <c r="D7" i="6"/>
  <c r="T240" i="1"/>
  <c r="L240" i="1" s="1"/>
  <c r="O240" i="1"/>
  <c r="W240" i="1" s="1"/>
  <c r="T241" i="1"/>
  <c r="L241" i="1" s="1"/>
  <c r="O241" i="1"/>
  <c r="W241" i="1" s="1"/>
  <c r="T242" i="1"/>
  <c r="L242" i="1" s="1"/>
  <c r="O242" i="1"/>
  <c r="W242" i="1" s="1"/>
  <c r="T244" i="1"/>
  <c r="L244" i="1" s="1"/>
  <c r="O244" i="1"/>
  <c r="W244" i="1" s="1"/>
  <c r="H244" i="1"/>
  <c r="D40" i="6" s="1"/>
  <c r="D49" i="6"/>
  <c r="D8" i="6"/>
  <c r="T248" i="1"/>
  <c r="L248" i="1" s="1"/>
  <c r="O248" i="1"/>
  <c r="Z248" i="1" s="1"/>
  <c r="H248" i="1"/>
  <c r="T250" i="1"/>
  <c r="L250" i="1" s="1"/>
  <c r="O250" i="1"/>
  <c r="W250" i="1" s="1"/>
  <c r="Q254" i="1"/>
  <c r="K509" i="1"/>
  <c r="K534" i="1"/>
  <c r="Q228" i="1"/>
  <c r="R228" i="1"/>
  <c r="Q229" i="1"/>
  <c r="R229" i="1"/>
  <c r="Q230" i="1"/>
  <c r="R230" i="1"/>
  <c r="X233" i="1"/>
  <c r="K233" i="1"/>
  <c r="K234" i="1"/>
  <c r="K235" i="1"/>
  <c r="J233" i="1"/>
  <c r="J234" i="1"/>
  <c r="J235" i="1"/>
  <c r="H234" i="1"/>
  <c r="H235" i="1"/>
  <c r="T263" i="1"/>
  <c r="L263" i="1" s="1"/>
  <c r="X263" i="1"/>
  <c r="O263" i="1"/>
  <c r="Z263" i="1" s="1"/>
  <c r="J262" i="1"/>
  <c r="J263" i="1"/>
  <c r="T262" i="1"/>
  <c r="L262" i="1" s="1"/>
  <c r="O262" i="1"/>
  <c r="Z262" i="1" s="1"/>
  <c r="H262" i="1"/>
  <c r="O264" i="1"/>
  <c r="Z264" i="1" s="1"/>
  <c r="O265" i="1"/>
  <c r="T265" i="1"/>
  <c r="L265" i="1" s="1"/>
  <c r="X184" i="1"/>
  <c r="L184" i="1"/>
  <c r="M184" i="1"/>
  <c r="K184" i="1"/>
  <c r="J184" i="1"/>
  <c r="T260" i="1"/>
  <c r="L260" i="1" s="1"/>
  <c r="T261" i="1"/>
  <c r="L261" i="1" s="1"/>
  <c r="T264" i="1"/>
  <c r="L264" i="1" s="1"/>
  <c r="T266" i="1"/>
  <c r="L266" i="1" s="1"/>
  <c r="T268" i="1"/>
  <c r="L268" i="1" s="1"/>
  <c r="T269" i="1"/>
  <c r="L269" i="1" s="1"/>
  <c r="T270" i="1"/>
  <c r="L270" i="1" s="1"/>
  <c r="T271" i="1"/>
  <c r="L271" i="1" s="1"/>
  <c r="T272" i="1"/>
  <c r="L272" i="1" s="1"/>
  <c r="T273" i="1"/>
  <c r="L273" i="1" s="1"/>
  <c r="O259" i="1"/>
  <c r="W259" i="1" s="1"/>
  <c r="O260" i="1"/>
  <c r="W260" i="1" s="1"/>
  <c r="H260" i="1"/>
  <c r="O261" i="1"/>
  <c r="W261" i="1" s="1"/>
  <c r="O266" i="1"/>
  <c r="W266" i="1" s="1"/>
  <c r="O269" i="1"/>
  <c r="W269" i="1" s="1"/>
  <c r="O270" i="1"/>
  <c r="W270" i="1" s="1"/>
  <c r="O271" i="1"/>
  <c r="Z271" i="1" s="1"/>
  <c r="O272" i="1"/>
  <c r="Z272" i="1" s="1"/>
  <c r="H272" i="1"/>
  <c r="O273" i="1"/>
  <c r="W273" i="1" s="1"/>
  <c r="O274" i="1"/>
  <c r="W274" i="1" s="1"/>
  <c r="H195" i="1"/>
  <c r="H197" i="1"/>
  <c r="O197" i="1"/>
  <c r="W197" i="1" s="1"/>
  <c r="AH228" i="3"/>
  <c r="AG228" i="3"/>
  <c r="AF228" i="3"/>
  <c r="AE228" i="3"/>
  <c r="J63" i="1"/>
  <c r="K63" i="1"/>
  <c r="J64" i="1"/>
  <c r="K64" i="1"/>
  <c r="J65" i="1"/>
  <c r="K65" i="1"/>
  <c r="J66" i="1"/>
  <c r="K66" i="1"/>
  <c r="J67" i="1"/>
  <c r="K67" i="1"/>
  <c r="L67" i="1"/>
  <c r="J68" i="1"/>
  <c r="K68" i="1"/>
  <c r="L68" i="1"/>
  <c r="J69" i="1"/>
  <c r="K69" i="1"/>
  <c r="L69" i="1"/>
  <c r="J70" i="1"/>
  <c r="K70" i="1"/>
  <c r="L70" i="1"/>
  <c r="J71" i="1"/>
  <c r="K71" i="1"/>
  <c r="L71" i="1"/>
  <c r="J72" i="1"/>
  <c r="K72" i="1"/>
  <c r="L72" i="1"/>
  <c r="J73" i="1"/>
  <c r="K73" i="1"/>
  <c r="L73" i="1"/>
  <c r="J74" i="1"/>
  <c r="K74" i="1"/>
  <c r="J75" i="1"/>
  <c r="K75" i="1"/>
  <c r="J76" i="1"/>
  <c r="K76" i="1"/>
  <c r="J77" i="1"/>
  <c r="K77" i="1"/>
  <c r="J78" i="1"/>
  <c r="K78" i="1"/>
  <c r="J79" i="1"/>
  <c r="K79" i="1"/>
  <c r="X78" i="1"/>
  <c r="AE13" i="3"/>
  <c r="T55" i="1" s="1"/>
  <c r="L55" i="1" s="1"/>
  <c r="H76" i="1"/>
  <c r="X384" i="1"/>
  <c r="X387" i="1"/>
  <c r="X388" i="1"/>
  <c r="X389" i="1"/>
  <c r="X390" i="1"/>
  <c r="X391" i="1"/>
  <c r="X392" i="1"/>
  <c r="X394" i="1"/>
  <c r="X395" i="1"/>
  <c r="X396" i="1"/>
  <c r="X397" i="1"/>
  <c r="X398" i="1"/>
  <c r="H398" i="1"/>
  <c r="AF88" i="3"/>
  <c r="T398" i="1"/>
  <c r="L398" i="1" s="1"/>
  <c r="X399" i="1"/>
  <c r="X400" i="1"/>
  <c r="X401" i="1"/>
  <c r="X402" i="1"/>
  <c r="X403" i="1"/>
  <c r="X404" i="1"/>
  <c r="X405" i="1"/>
  <c r="AF116" i="3"/>
  <c r="T405" i="1" s="1"/>
  <c r="L405" i="1" s="1"/>
  <c r="X406" i="1"/>
  <c r="X407" i="1"/>
  <c r="X408" i="1"/>
  <c r="X409" i="1"/>
  <c r="X410" i="1"/>
  <c r="X242" i="1"/>
  <c r="O234" i="1"/>
  <c r="W234" i="1" s="1"/>
  <c r="T234" i="1"/>
  <c r="L234" i="1" s="1"/>
  <c r="O235" i="1"/>
  <c r="W235" i="1" s="1"/>
  <c r="T235" i="1"/>
  <c r="L235" i="1" s="1"/>
  <c r="O239" i="1"/>
  <c r="O243" i="1"/>
  <c r="Z243" i="1" s="1"/>
  <c r="T243" i="1"/>
  <c r="L243" i="1" s="1"/>
  <c r="O246" i="1"/>
  <c r="Z246" i="1" s="1"/>
  <c r="O247" i="1"/>
  <c r="W247" i="1" s="1"/>
  <c r="H247" i="1"/>
  <c r="T247" i="1"/>
  <c r="L247" i="1" s="1"/>
  <c r="O249" i="1"/>
  <c r="W249" i="1" s="1"/>
  <c r="T249" i="1"/>
  <c r="L249" i="1" s="1"/>
  <c r="O251" i="1"/>
  <c r="W251" i="1" s="1"/>
  <c r="H251" i="1"/>
  <c r="D51" i="6" s="1"/>
  <c r="T251" i="1"/>
  <c r="L251" i="1" s="1"/>
  <c r="O252" i="1"/>
  <c r="W252" i="1" s="1"/>
  <c r="H252" i="1"/>
  <c r="T252" i="1"/>
  <c r="L252" i="1" s="1"/>
  <c r="X243" i="1"/>
  <c r="X244" i="1"/>
  <c r="X246" i="1"/>
  <c r="X247" i="1"/>
  <c r="X248" i="1"/>
  <c r="X249" i="1"/>
  <c r="X250" i="1"/>
  <c r="X251" i="1"/>
  <c r="S21" i="1"/>
  <c r="K387" i="1"/>
  <c r="K388" i="1"/>
  <c r="K389" i="1"/>
  <c r="K390" i="1"/>
  <c r="K391" i="1"/>
  <c r="K392" i="1"/>
  <c r="K394" i="1"/>
  <c r="K395" i="1"/>
  <c r="K396" i="1"/>
  <c r="K397" i="1"/>
  <c r="K398" i="1"/>
  <c r="J387" i="1"/>
  <c r="J388" i="1"/>
  <c r="J389" i="1"/>
  <c r="J390" i="1"/>
  <c r="J391" i="1"/>
  <c r="J392" i="1"/>
  <c r="J394" i="1"/>
  <c r="J395" i="1"/>
  <c r="J396" i="1"/>
  <c r="J397" i="1"/>
  <c r="J398" i="1"/>
  <c r="H389" i="1"/>
  <c r="H390" i="1"/>
  <c r="H391" i="1"/>
  <c r="H395" i="1"/>
  <c r="H396" i="1"/>
  <c r="H397" i="1"/>
  <c r="H399" i="1"/>
  <c r="H400" i="1"/>
  <c r="H401" i="1"/>
  <c r="H402" i="1"/>
  <c r="H404" i="1"/>
  <c r="H406" i="1"/>
  <c r="H407" i="1"/>
  <c r="H408" i="1"/>
  <c r="H409" i="1"/>
  <c r="H410" i="1"/>
  <c r="H122" i="1"/>
  <c r="D63" i="6" s="1"/>
  <c r="H192" i="1"/>
  <c r="AE233" i="3"/>
  <c r="T199" i="1" s="1"/>
  <c r="L199" i="1" s="1"/>
  <c r="O695" i="1"/>
  <c r="K479" i="1"/>
  <c r="J479" i="1"/>
  <c r="O691" i="1"/>
  <c r="O692" i="1"/>
  <c r="O693" i="1"/>
  <c r="O694" i="1"/>
  <c r="O434" i="1"/>
  <c r="K450" i="1"/>
  <c r="K451" i="1"/>
  <c r="K452" i="1"/>
  <c r="K453" i="1"/>
  <c r="K454" i="1"/>
  <c r="K455" i="1"/>
  <c r="K456" i="1"/>
  <c r="K457" i="1"/>
  <c r="K458" i="1"/>
  <c r="K459" i="1"/>
  <c r="K460" i="1"/>
  <c r="J450" i="1"/>
  <c r="J451" i="1"/>
  <c r="J452" i="1"/>
  <c r="J453" i="1"/>
  <c r="J454" i="1"/>
  <c r="J455" i="1"/>
  <c r="J456" i="1"/>
  <c r="J457" i="1"/>
  <c r="J458" i="1"/>
  <c r="J459" i="1"/>
  <c r="J460" i="1"/>
  <c r="X460" i="1"/>
  <c r="J205" i="1"/>
  <c r="K205" i="1"/>
  <c r="M205" i="1"/>
  <c r="X205" i="1"/>
  <c r="M498" i="1"/>
  <c r="K498" i="1"/>
  <c r="J498" i="1"/>
  <c r="H498" i="1"/>
  <c r="K743" i="1"/>
  <c r="K744" i="1"/>
  <c r="K745" i="1"/>
  <c r="K746" i="1"/>
  <c r="K748" i="1"/>
  <c r="K749" i="1"/>
  <c r="K750" i="1"/>
  <c r="M518" i="1"/>
  <c r="J518" i="1"/>
  <c r="H518" i="1"/>
  <c r="M517" i="1"/>
  <c r="J517" i="1"/>
  <c r="H517" i="1"/>
  <c r="M516" i="1"/>
  <c r="J516" i="1"/>
  <c r="H516" i="1"/>
  <c r="K302" i="1"/>
  <c r="J302" i="1"/>
  <c r="M303" i="1"/>
  <c r="K303" i="1"/>
  <c r="J303" i="1"/>
  <c r="H303" i="1"/>
  <c r="K299" i="1"/>
  <c r="J299" i="1"/>
  <c r="K693" i="1"/>
  <c r="K694" i="1"/>
  <c r="K690" i="1"/>
  <c r="K691" i="1"/>
  <c r="K692" i="1"/>
  <c r="J692" i="1"/>
  <c r="K700" i="1"/>
  <c r="J661" i="1"/>
  <c r="J690" i="1"/>
  <c r="J242" i="1"/>
  <c r="J750" i="1"/>
  <c r="J748" i="1"/>
  <c r="J749" i="1"/>
  <c r="T39" i="5"/>
  <c r="Q39" i="5"/>
  <c r="S39" i="5" s="1"/>
  <c r="T38" i="5"/>
  <c r="Q38" i="5"/>
  <c r="S38" i="5" s="1"/>
  <c r="T37" i="5"/>
  <c r="Q37" i="5"/>
  <c r="S37" i="5" s="1"/>
  <c r="T36" i="5"/>
  <c r="Q36" i="5"/>
  <c r="S36" i="5" s="1"/>
  <c r="M39" i="5"/>
  <c r="J39" i="5"/>
  <c r="L39" i="5" s="1"/>
  <c r="M38" i="5"/>
  <c r="J38" i="5"/>
  <c r="L38" i="5" s="1"/>
  <c r="M37" i="5"/>
  <c r="J37" i="5"/>
  <c r="L37" i="5" s="1"/>
  <c r="M36" i="5"/>
  <c r="J36" i="5"/>
  <c r="L36" i="5" s="1"/>
  <c r="F39" i="5"/>
  <c r="C39" i="5"/>
  <c r="E39" i="5" s="1"/>
  <c r="F38" i="5"/>
  <c r="C38" i="5"/>
  <c r="E38" i="5" s="1"/>
  <c r="F37" i="5"/>
  <c r="C37" i="5"/>
  <c r="F36" i="5"/>
  <c r="C36" i="5"/>
  <c r="B51" i="6"/>
  <c r="D106" i="6"/>
  <c r="E106" i="6" s="1"/>
  <c r="F106" i="6" s="1"/>
  <c r="D107" i="6"/>
  <c r="E107" i="6" s="1"/>
  <c r="F107" i="6" s="1"/>
  <c r="D108" i="6"/>
  <c r="E108" i="6" s="1"/>
  <c r="F108" i="6" s="1"/>
  <c r="D109" i="6"/>
  <c r="E109" i="6" s="1"/>
  <c r="F109" i="6" s="1"/>
  <c r="D110" i="6"/>
  <c r="E110" i="6" s="1"/>
  <c r="F110" i="6" s="1"/>
  <c r="D111" i="6"/>
  <c r="E111" i="6" s="1"/>
  <c r="F111" i="6" s="1"/>
  <c r="D112" i="6"/>
  <c r="E112" i="6" s="1"/>
  <c r="F112" i="6" s="1"/>
  <c r="D113" i="6"/>
  <c r="E113" i="6" s="1"/>
  <c r="F113" i="6" s="1"/>
  <c r="C101" i="6"/>
  <c r="B101" i="6"/>
  <c r="B103" i="6"/>
  <c r="C103" i="6"/>
  <c r="B104" i="6"/>
  <c r="C104" i="6"/>
  <c r="B105" i="6"/>
  <c r="C105" i="6"/>
  <c r="B106" i="6"/>
  <c r="C106" i="6"/>
  <c r="B107" i="6"/>
  <c r="C107" i="6"/>
  <c r="B108" i="6"/>
  <c r="C108" i="6"/>
  <c r="B109" i="6"/>
  <c r="C109" i="6"/>
  <c r="B110" i="6"/>
  <c r="C110" i="6"/>
  <c r="B111" i="6"/>
  <c r="C111" i="6"/>
  <c r="B112" i="6"/>
  <c r="C112" i="6"/>
  <c r="B113" i="6"/>
  <c r="C113" i="6"/>
  <c r="AE161" i="3"/>
  <c r="T140" i="1" s="1"/>
  <c r="L140" i="1" s="1"/>
  <c r="X70" i="1"/>
  <c r="X73" i="1"/>
  <c r="X72" i="1"/>
  <c r="B94" i="6"/>
  <c r="C94" i="6"/>
  <c r="B95" i="6"/>
  <c r="C95" i="6"/>
  <c r="B96" i="6"/>
  <c r="C96" i="6"/>
  <c r="B97" i="6"/>
  <c r="C97" i="6"/>
  <c r="B98" i="6"/>
  <c r="C98" i="6"/>
  <c r="B99" i="6"/>
  <c r="C99" i="6"/>
  <c r="B100" i="6"/>
  <c r="C100" i="6"/>
  <c r="B102" i="6"/>
  <c r="C102" i="6"/>
  <c r="X238" i="1"/>
  <c r="AE167" i="3"/>
  <c r="K144" i="1"/>
  <c r="K145" i="1"/>
  <c r="K146" i="1"/>
  <c r="K147" i="1"/>
  <c r="J144" i="1"/>
  <c r="J145" i="1"/>
  <c r="J146" i="1"/>
  <c r="J147" i="1"/>
  <c r="J370" i="1"/>
  <c r="J371" i="1"/>
  <c r="J372" i="1"/>
  <c r="J399" i="1"/>
  <c r="J400" i="1"/>
  <c r="J401" i="1"/>
  <c r="J402" i="1"/>
  <c r="J403" i="1"/>
  <c r="J404" i="1"/>
  <c r="J405" i="1"/>
  <c r="J406" i="1"/>
  <c r="J407" i="1"/>
  <c r="J408" i="1"/>
  <c r="J409" i="1"/>
  <c r="J410" i="1"/>
  <c r="J411" i="1"/>
  <c r="J414" i="1"/>
  <c r="J413" i="1"/>
  <c r="J412" i="1"/>
  <c r="J416" i="1"/>
  <c r="J417" i="1"/>
  <c r="J418" i="1"/>
  <c r="J419" i="1"/>
  <c r="J420" i="1"/>
  <c r="J421" i="1"/>
  <c r="J422" i="1"/>
  <c r="J423" i="1"/>
  <c r="J424" i="1"/>
  <c r="J425" i="1"/>
  <c r="J426" i="1"/>
  <c r="J427" i="1"/>
  <c r="J428" i="1"/>
  <c r="J429" i="1"/>
  <c r="J430" i="1"/>
  <c r="J431" i="1"/>
  <c r="J432" i="1"/>
  <c r="J433" i="1"/>
  <c r="J435" i="1"/>
  <c r="J436" i="1"/>
  <c r="J437" i="1"/>
  <c r="J438" i="1"/>
  <c r="J439" i="1"/>
  <c r="J440" i="1"/>
  <c r="J441" i="1"/>
  <c r="J442" i="1"/>
  <c r="J443" i="1"/>
  <c r="J444" i="1"/>
  <c r="J445" i="1"/>
  <c r="J446" i="1"/>
  <c r="J447" i="1"/>
  <c r="J449" i="1"/>
  <c r="J461" i="1"/>
  <c r="J463" i="1"/>
  <c r="J464" i="1"/>
  <c r="J465" i="1"/>
  <c r="J466" i="1"/>
  <c r="J467" i="1"/>
  <c r="J468" i="1"/>
  <c r="J469" i="1"/>
  <c r="J238" i="1"/>
  <c r="L238" i="1"/>
  <c r="J239" i="1"/>
  <c r="J240" i="1"/>
  <c r="M147" i="1"/>
  <c r="X147" i="1"/>
  <c r="X413" i="1"/>
  <c r="X414" i="1"/>
  <c r="X416" i="1"/>
  <c r="X417" i="1"/>
  <c r="X418" i="1"/>
  <c r="X419" i="1"/>
  <c r="X420" i="1"/>
  <c r="X421" i="1"/>
  <c r="X422" i="1"/>
  <c r="X423" i="1"/>
  <c r="X424" i="1"/>
  <c r="X425" i="1"/>
  <c r="X426" i="1"/>
  <c r="X427" i="1"/>
  <c r="X428" i="1"/>
  <c r="X429" i="1"/>
  <c r="X430" i="1"/>
  <c r="X431" i="1"/>
  <c r="X432" i="1"/>
  <c r="X433" i="1"/>
  <c r="X435" i="1"/>
  <c r="X436" i="1"/>
  <c r="X437" i="1"/>
  <c r="X438" i="1"/>
  <c r="X439" i="1"/>
  <c r="X440" i="1"/>
  <c r="X441" i="1"/>
  <c r="X442" i="1"/>
  <c r="X443" i="1"/>
  <c r="X444" i="1"/>
  <c r="X445" i="1"/>
  <c r="X446" i="1"/>
  <c r="X447" i="1"/>
  <c r="B18" i="6"/>
  <c r="C5" i="6"/>
  <c r="B19"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T1" i="5"/>
  <c r="N2" i="6" s="1"/>
  <c r="T34" i="5"/>
  <c r="Q34" i="5"/>
  <c r="S34" i="5" s="1"/>
  <c r="T33" i="5"/>
  <c r="Q33" i="5"/>
  <c r="S33" i="5" s="1"/>
  <c r="T32" i="5"/>
  <c r="Q32" i="5"/>
  <c r="S32" i="5" s="1"/>
  <c r="T31" i="5"/>
  <c r="Q31" i="5"/>
  <c r="S31" i="5" s="1"/>
  <c r="T30" i="5"/>
  <c r="Q30" i="5"/>
  <c r="S30" i="5" s="1"/>
  <c r="T29" i="5"/>
  <c r="Q29" i="5"/>
  <c r="S29" i="5" s="1"/>
  <c r="T28" i="5"/>
  <c r="Q28" i="5"/>
  <c r="S28" i="5" s="1"/>
  <c r="T27" i="5"/>
  <c r="Q27" i="5"/>
  <c r="S27" i="5" s="1"/>
  <c r="T26" i="5"/>
  <c r="Q26" i="5"/>
  <c r="S26" i="5" s="1"/>
  <c r="T25" i="5"/>
  <c r="Q25" i="5"/>
  <c r="S25" i="5" s="1"/>
  <c r="T24" i="5"/>
  <c r="Q24" i="5"/>
  <c r="S24" i="5" s="1"/>
  <c r="T23" i="5"/>
  <c r="Q23" i="5"/>
  <c r="S23" i="5" s="1"/>
  <c r="T22" i="5"/>
  <c r="Q22" i="5"/>
  <c r="S22" i="5" s="1"/>
  <c r="T21" i="5"/>
  <c r="Q21" i="5"/>
  <c r="S21" i="5" s="1"/>
  <c r="T20" i="5"/>
  <c r="Q20" i="5"/>
  <c r="S20" i="5" s="1"/>
  <c r="AL46" i="1"/>
  <c r="AE35" i="3"/>
  <c r="T63" i="1" s="1"/>
  <c r="L63" i="1" s="1"/>
  <c r="AF35" i="3"/>
  <c r="T375" i="1"/>
  <c r="L375" i="1" s="1"/>
  <c r="AG35" i="3"/>
  <c r="AH35" i="3"/>
  <c r="AE36" i="3"/>
  <c r="T64" i="1"/>
  <c r="L64" i="1" s="1"/>
  <c r="AF36" i="3"/>
  <c r="T376" i="1"/>
  <c r="L376" i="1" s="1"/>
  <c r="AG36" i="3"/>
  <c r="T507" i="1" s="1"/>
  <c r="AH36" i="3"/>
  <c r="AE37" i="3"/>
  <c r="T65" i="1" s="1"/>
  <c r="L65" i="1" s="1"/>
  <c r="AF37" i="3"/>
  <c r="T377" i="1"/>
  <c r="L377" i="1" s="1"/>
  <c r="AG37" i="3"/>
  <c r="T508" i="1"/>
  <c r="AH37" i="3"/>
  <c r="AE38" i="3"/>
  <c r="T66" i="1" s="1"/>
  <c r="L66" i="1" s="1"/>
  <c r="AF38" i="3"/>
  <c r="T292" i="1" s="1"/>
  <c r="L292" i="1" s="1"/>
  <c r="AG38" i="3"/>
  <c r="T509" i="1"/>
  <c r="AH38" i="3"/>
  <c r="AE39" i="3"/>
  <c r="AF39" i="3"/>
  <c r="T293" i="1"/>
  <c r="L293" i="1" s="1"/>
  <c r="AG39" i="3"/>
  <c r="AH39" i="3"/>
  <c r="AE40" i="3"/>
  <c r="AF40" i="3"/>
  <c r="T294" i="1" s="1"/>
  <c r="L294" i="1" s="1"/>
  <c r="AG40" i="3"/>
  <c r="AH40" i="3"/>
  <c r="AE41" i="3"/>
  <c r="AF41" i="3"/>
  <c r="T295" i="1" s="1"/>
  <c r="L295" i="1" s="1"/>
  <c r="AG41" i="3"/>
  <c r="AH41" i="3"/>
  <c r="AE42" i="3"/>
  <c r="AF42" i="3"/>
  <c r="T296" i="1" s="1"/>
  <c r="L296" i="1" s="1"/>
  <c r="AG42" i="3"/>
  <c r="T510" i="1" s="1"/>
  <c r="AH42" i="3"/>
  <c r="AE43" i="3"/>
  <c r="AF43" i="3"/>
  <c r="T297" i="1" s="1"/>
  <c r="AG43" i="3"/>
  <c r="T511" i="1"/>
  <c r="AH43" i="3"/>
  <c r="AE44" i="3"/>
  <c r="AF44" i="3"/>
  <c r="T298" i="1"/>
  <c r="L298" i="1" s="1"/>
  <c r="AG44" i="3"/>
  <c r="AH44" i="3"/>
  <c r="AE46" i="3"/>
  <c r="AF46" i="3"/>
  <c r="T300" i="1" s="1"/>
  <c r="L300" i="1" s="1"/>
  <c r="AG46" i="3"/>
  <c r="T514" i="1"/>
  <c r="AH46" i="3"/>
  <c r="AE47" i="3"/>
  <c r="AF47" i="3"/>
  <c r="T301" i="1"/>
  <c r="L301" i="1" s="1"/>
  <c r="AG47" i="3"/>
  <c r="T513" i="1"/>
  <c r="AH47" i="3"/>
  <c r="AE48" i="3"/>
  <c r="AF48" i="3"/>
  <c r="T302" i="1"/>
  <c r="L302" i="1" s="1"/>
  <c r="AG48" i="3"/>
  <c r="T515" i="1" s="1"/>
  <c r="AH48" i="3"/>
  <c r="AE49" i="3"/>
  <c r="AF49" i="3"/>
  <c r="T304" i="1" s="1"/>
  <c r="L304" i="1" s="1"/>
  <c r="AG49" i="3"/>
  <c r="AH49" i="3"/>
  <c r="AE50" i="3"/>
  <c r="AF50" i="3"/>
  <c r="T305" i="1" s="1"/>
  <c r="L305" i="1" s="1"/>
  <c r="AG50" i="3"/>
  <c r="AH50" i="3"/>
  <c r="AE51" i="3"/>
  <c r="T74" i="1" s="1"/>
  <c r="L74" i="1" s="1"/>
  <c r="AF51" i="3"/>
  <c r="T306" i="1" s="1"/>
  <c r="L306" i="1" s="1"/>
  <c r="AG51" i="3"/>
  <c r="T516" i="1"/>
  <c r="AH51" i="3"/>
  <c r="AE52" i="3"/>
  <c r="AF52" i="3"/>
  <c r="T307" i="1"/>
  <c r="L307" i="1" s="1"/>
  <c r="AG52" i="3"/>
  <c r="T519" i="1" s="1"/>
  <c r="AH52" i="3"/>
  <c r="AE53" i="3"/>
  <c r="T75" i="1" s="1"/>
  <c r="L75" i="1" s="1"/>
  <c r="AF53" i="3"/>
  <c r="T308" i="1"/>
  <c r="L308" i="1" s="1"/>
  <c r="AG53" i="3"/>
  <c r="AH53" i="3"/>
  <c r="AE54" i="3"/>
  <c r="AF54" i="3"/>
  <c r="T309" i="1" s="1"/>
  <c r="L309" i="1" s="1"/>
  <c r="AG54" i="3"/>
  <c r="T521" i="1"/>
  <c r="AH54" i="3"/>
  <c r="AE55" i="3"/>
  <c r="T76" i="1" s="1"/>
  <c r="L76" i="1" s="1"/>
  <c r="AF55" i="3"/>
  <c r="T303" i="1"/>
  <c r="L303" i="1" s="1"/>
  <c r="AG55" i="3"/>
  <c r="T518" i="1" s="1"/>
  <c r="AH55" i="3"/>
  <c r="AE56" i="3"/>
  <c r="T77" i="1" s="1"/>
  <c r="L77" i="1" s="1"/>
  <c r="AF56" i="3"/>
  <c r="T378" i="1"/>
  <c r="L378" i="1" s="1"/>
  <c r="AG56" i="3"/>
  <c r="AH56" i="3"/>
  <c r="AE58" i="3"/>
  <c r="T79" i="1" s="1"/>
  <c r="L79" i="1" s="1"/>
  <c r="AF58" i="3"/>
  <c r="T379" i="1"/>
  <c r="L379" i="1" s="1"/>
  <c r="AG58" i="3"/>
  <c r="AH58" i="3"/>
  <c r="AE59" i="3"/>
  <c r="AF59" i="3"/>
  <c r="T380" i="1" s="1"/>
  <c r="L380" i="1" s="1"/>
  <c r="AG59" i="3"/>
  <c r="AH59" i="3"/>
  <c r="AE60" i="3"/>
  <c r="AF60" i="3"/>
  <c r="AG60" i="3"/>
  <c r="AH60" i="3"/>
  <c r="AE61" i="3"/>
  <c r="T80" i="1"/>
  <c r="L80" i="1" s="1"/>
  <c r="AF61" i="3"/>
  <c r="T383" i="1"/>
  <c r="L383" i="1" s="1"/>
  <c r="AG61" i="3"/>
  <c r="AH61" i="3"/>
  <c r="AE62" i="3"/>
  <c r="T81" i="1" s="1"/>
  <c r="L81" i="1" s="1"/>
  <c r="AF62" i="3"/>
  <c r="T382" i="1" s="1"/>
  <c r="L382" i="1" s="1"/>
  <c r="AG62" i="3"/>
  <c r="T522" i="1"/>
  <c r="AH62" i="3"/>
  <c r="X76" i="1"/>
  <c r="M76" i="1"/>
  <c r="J691" i="1"/>
  <c r="J693" i="1"/>
  <c r="H268" i="1"/>
  <c r="H269" i="1"/>
  <c r="H270" i="1"/>
  <c r="H271" i="1"/>
  <c r="X318" i="1"/>
  <c r="O318" i="1"/>
  <c r="W318" i="1" s="1"/>
  <c r="M318" i="1"/>
  <c r="K318" i="1"/>
  <c r="H318" i="1"/>
  <c r="X317" i="1"/>
  <c r="O317" i="1"/>
  <c r="W317" i="1" s="1"/>
  <c r="M317" i="1"/>
  <c r="K317" i="1"/>
  <c r="H317" i="1"/>
  <c r="X316" i="1"/>
  <c r="O316" i="1"/>
  <c r="W316" i="1" s="1"/>
  <c r="M316" i="1"/>
  <c r="K316" i="1"/>
  <c r="H316" i="1"/>
  <c r="X156" i="1"/>
  <c r="H156" i="1"/>
  <c r="J156" i="1"/>
  <c r="K156" i="1"/>
  <c r="M156" i="1"/>
  <c r="AE179" i="3"/>
  <c r="T156" i="1" s="1"/>
  <c r="L156" i="1" s="1"/>
  <c r="AL47" i="1"/>
  <c r="AK46" i="1"/>
  <c r="S625" i="1"/>
  <c r="H191" i="1"/>
  <c r="J191" i="1"/>
  <c r="K191" i="1"/>
  <c r="M191" i="1"/>
  <c r="AE224" i="3"/>
  <c r="T191" i="1"/>
  <c r="L191" i="1" s="1"/>
  <c r="X191" i="1"/>
  <c r="J192" i="1"/>
  <c r="K192" i="1"/>
  <c r="M192" i="1"/>
  <c r="X192" i="1"/>
  <c r="H193" i="1"/>
  <c r="J193" i="1"/>
  <c r="K193" i="1"/>
  <c r="M193" i="1"/>
  <c r="X193" i="1"/>
  <c r="AE226" i="3"/>
  <c r="T193" i="1"/>
  <c r="L193" i="1" s="1"/>
  <c r="S626" i="1"/>
  <c r="Q626" i="1"/>
  <c r="X268" i="1"/>
  <c r="S257" i="1"/>
  <c r="AB257" i="1" s="1"/>
  <c r="X50" i="1"/>
  <c r="AE112" i="3"/>
  <c r="AF112" i="3"/>
  <c r="T402" i="1" s="1"/>
  <c r="L402" i="1" s="1"/>
  <c r="AG112" i="3"/>
  <c r="AF113" i="3"/>
  <c r="T401" i="1" s="1"/>
  <c r="L401" i="1" s="1"/>
  <c r="A696" i="1"/>
  <c r="H439" i="1"/>
  <c r="K439" i="1"/>
  <c r="K438" i="1"/>
  <c r="H438" i="1"/>
  <c r="AF168" i="3"/>
  <c r="T439" i="1" s="1"/>
  <c r="L439" i="1" s="1"/>
  <c r="AF167" i="3"/>
  <c r="T438" i="1" s="1"/>
  <c r="L438" i="1" s="1"/>
  <c r="K402" i="1"/>
  <c r="M402" i="1"/>
  <c r="H436" i="1"/>
  <c r="K436" i="1"/>
  <c r="H437" i="1"/>
  <c r="K437" i="1"/>
  <c r="H440" i="1"/>
  <c r="K440" i="1"/>
  <c r="M146" i="1"/>
  <c r="X146" i="1"/>
  <c r="H146" i="1"/>
  <c r="H246" i="1"/>
  <c r="T246" i="1"/>
  <c r="L246" i="1" s="1"/>
  <c r="O627" i="1"/>
  <c r="Z627" i="1" s="1"/>
  <c r="AA627" i="1" s="1"/>
  <c r="X261" i="1"/>
  <c r="Z632" i="1"/>
  <c r="O639" i="1"/>
  <c r="Z639" i="1" s="1"/>
  <c r="O626" i="1"/>
  <c r="AE265" i="3"/>
  <c r="AE264" i="3"/>
  <c r="AH263" i="3"/>
  <c r="AG263" i="3"/>
  <c r="AF263" i="3"/>
  <c r="AE263" i="3"/>
  <c r="T226" i="1" s="1"/>
  <c r="L226" i="1" s="1"/>
  <c r="AH262" i="3"/>
  <c r="AG262" i="3"/>
  <c r="AF262" i="3"/>
  <c r="T487" i="1"/>
  <c r="L487" i="1" s="1"/>
  <c r="AE262" i="3"/>
  <c r="T225" i="1" s="1"/>
  <c r="L225" i="1" s="1"/>
  <c r="AH261" i="3"/>
  <c r="AG261" i="3"/>
  <c r="AF261" i="3"/>
  <c r="T486" i="1"/>
  <c r="L486" i="1" s="1"/>
  <c r="AE261" i="3"/>
  <c r="T224" i="1" s="1"/>
  <c r="L224" i="1" s="1"/>
  <c r="AH260" i="3"/>
  <c r="AG260" i="3"/>
  <c r="T588" i="1" s="1"/>
  <c r="L588" i="1" s="1"/>
  <c r="AF260" i="3"/>
  <c r="T485" i="1" s="1"/>
  <c r="L485" i="1" s="1"/>
  <c r="K37" i="5"/>
  <c r="AE260" i="3"/>
  <c r="T223" i="1" s="1"/>
  <c r="L223" i="1" s="1"/>
  <c r="K17" i="5"/>
  <c r="AH259" i="3"/>
  <c r="AG259" i="3"/>
  <c r="T587" i="1" s="1"/>
  <c r="L587" i="1" s="1"/>
  <c r="AF259" i="3"/>
  <c r="T484" i="1" s="1"/>
  <c r="L484" i="1" s="1"/>
  <c r="AE259" i="3"/>
  <c r="T222" i="1" s="1"/>
  <c r="L222" i="1" s="1"/>
  <c r="AH258" i="3"/>
  <c r="T606" i="1"/>
  <c r="AG258" i="3"/>
  <c r="T586" i="1" s="1"/>
  <c r="L586" i="1" s="1"/>
  <c r="AF258" i="3"/>
  <c r="T483" i="1"/>
  <c r="R20" i="5" s="1"/>
  <c r="D36" i="5"/>
  <c r="AE258" i="3"/>
  <c r="T221" i="1"/>
  <c r="L221" i="1" s="1"/>
  <c r="AH257" i="3"/>
  <c r="AG257" i="3"/>
  <c r="T585" i="1"/>
  <c r="L585" i="1" s="1"/>
  <c r="AF257" i="3"/>
  <c r="T482" i="1" s="1"/>
  <c r="L482" i="1" s="1"/>
  <c r="AE257" i="3"/>
  <c r="T220" i="1"/>
  <c r="L220" i="1" s="1"/>
  <c r="AH256" i="3"/>
  <c r="T605" i="1" s="1"/>
  <c r="AG256" i="3"/>
  <c r="T584" i="1" s="1"/>
  <c r="L584" i="1" s="1"/>
  <c r="AF256" i="3"/>
  <c r="T481" i="1" s="1"/>
  <c r="L481" i="1" s="1"/>
  <c r="AE256" i="3"/>
  <c r="T219" i="1"/>
  <c r="L219" i="1" s="1"/>
  <c r="AH255" i="3"/>
  <c r="AG255" i="3"/>
  <c r="AF255" i="3"/>
  <c r="T480" i="1" s="1"/>
  <c r="L480" i="1" s="1"/>
  <c r="AE255" i="3"/>
  <c r="AH254" i="3"/>
  <c r="AG254" i="3"/>
  <c r="T583" i="1" s="1"/>
  <c r="L583" i="1" s="1"/>
  <c r="AF254" i="3"/>
  <c r="T479" i="1" s="1"/>
  <c r="L479" i="1" s="1"/>
  <c r="AE254" i="3"/>
  <c r="T218" i="1" s="1"/>
  <c r="R27" i="5" s="1"/>
  <c r="AH253" i="3"/>
  <c r="AG253" i="3"/>
  <c r="AF253" i="3"/>
  <c r="T357" i="1" s="1"/>
  <c r="L357" i="1" s="1"/>
  <c r="AH252" i="3"/>
  <c r="T604" i="1"/>
  <c r="AG252" i="3"/>
  <c r="T582" i="1" s="1"/>
  <c r="L582" i="1" s="1"/>
  <c r="AF252" i="3"/>
  <c r="T478" i="1"/>
  <c r="L478" i="1" s="1"/>
  <c r="AE252" i="3"/>
  <c r="T216" i="1"/>
  <c r="L216" i="1" s="1"/>
  <c r="AH251" i="3"/>
  <c r="AG251" i="3"/>
  <c r="AF251" i="3"/>
  <c r="AE251" i="3"/>
  <c r="T215" i="1" s="1"/>
  <c r="L215" i="1" s="1"/>
  <c r="AH250" i="3"/>
  <c r="AG250" i="3"/>
  <c r="AF250" i="3"/>
  <c r="T477" i="1" s="1"/>
  <c r="L477" i="1" s="1"/>
  <c r="AE250" i="3"/>
  <c r="T214" i="1"/>
  <c r="L214" i="1" s="1"/>
  <c r="AH249" i="3"/>
  <c r="AG249" i="3"/>
  <c r="AF249" i="3"/>
  <c r="T476" i="1" s="1"/>
  <c r="L476" i="1" s="1"/>
  <c r="AE249" i="3"/>
  <c r="T213" i="1" s="1"/>
  <c r="L213" i="1" s="1"/>
  <c r="AH248" i="3"/>
  <c r="AG248" i="3"/>
  <c r="AF248" i="3"/>
  <c r="AE248" i="3"/>
  <c r="T212" i="1" s="1"/>
  <c r="L212" i="1" s="1"/>
  <c r="AH247" i="3"/>
  <c r="T603" i="1"/>
  <c r="AG247" i="3"/>
  <c r="AF247" i="3"/>
  <c r="AE247" i="3"/>
  <c r="T211" i="1"/>
  <c r="L211" i="1" s="1"/>
  <c r="AH246" i="3"/>
  <c r="T602" i="1" s="1"/>
  <c r="AG246" i="3"/>
  <c r="T581" i="1" s="1"/>
  <c r="L581" i="1" s="1"/>
  <c r="AF246" i="3"/>
  <c r="T475" i="1" s="1"/>
  <c r="L475" i="1" s="1"/>
  <c r="AE246" i="3"/>
  <c r="T210" i="1"/>
  <c r="L210" i="1" s="1"/>
  <c r="AH245" i="3"/>
  <c r="AG245" i="3"/>
  <c r="AF245" i="3"/>
  <c r="T474" i="1" s="1"/>
  <c r="L474" i="1" s="1"/>
  <c r="AE245" i="3"/>
  <c r="T209" i="1" s="1"/>
  <c r="L209" i="1" s="1"/>
  <c r="AH244" i="3"/>
  <c r="T601" i="1"/>
  <c r="AG244" i="3"/>
  <c r="AF244" i="3"/>
  <c r="AE244" i="3"/>
  <c r="T208" i="1"/>
  <c r="L208" i="1" s="1"/>
  <c r="AH243" i="3"/>
  <c r="AG243" i="3"/>
  <c r="AF243" i="3"/>
  <c r="T356" i="1" s="1"/>
  <c r="L356" i="1" s="1"/>
  <c r="AE243" i="3"/>
  <c r="T207" i="1"/>
  <c r="L207" i="1" s="1"/>
  <c r="AH242" i="3"/>
  <c r="AG242" i="3"/>
  <c r="AF242" i="3"/>
  <c r="T355" i="1" s="1"/>
  <c r="L355" i="1" s="1"/>
  <c r="AE242" i="3"/>
  <c r="T206" i="1"/>
  <c r="L206" i="1" s="1"/>
  <c r="AH241" i="3"/>
  <c r="AG241" i="3"/>
  <c r="AF241" i="3"/>
  <c r="AE241" i="3"/>
  <c r="T205" i="1"/>
  <c r="L205" i="1" s="1"/>
  <c r="AH240" i="3"/>
  <c r="AG240" i="3"/>
  <c r="AF240" i="3"/>
  <c r="T354" i="1" s="1"/>
  <c r="L354" i="1" s="1"/>
  <c r="AE240" i="3"/>
  <c r="T204" i="1" s="1"/>
  <c r="L204" i="1" s="1"/>
  <c r="AH239" i="3"/>
  <c r="AG239" i="3"/>
  <c r="T579" i="1" s="1"/>
  <c r="AF239" i="3"/>
  <c r="T472" i="1"/>
  <c r="L472" i="1" s="1"/>
  <c r="AE239" i="3"/>
  <c r="T203" i="1" s="1"/>
  <c r="L203" i="1" s="1"/>
  <c r="AH238" i="3"/>
  <c r="AG238" i="3"/>
  <c r="AF238" i="3"/>
  <c r="T471" i="1"/>
  <c r="L471" i="1" s="1"/>
  <c r="AE238" i="3"/>
  <c r="T202" i="1" s="1"/>
  <c r="L202" i="1" s="1"/>
  <c r="AH237" i="3"/>
  <c r="AG237" i="3"/>
  <c r="T580" i="1" s="1"/>
  <c r="L580" i="1" s="1"/>
  <c r="AF237" i="3"/>
  <c r="T470" i="1" s="1"/>
  <c r="L470" i="1" s="1"/>
  <c r="H470" i="1"/>
  <c r="AE237" i="3"/>
  <c r="T201" i="1" s="1"/>
  <c r="L201" i="1" s="1"/>
  <c r="AH236" i="3"/>
  <c r="AG236" i="3"/>
  <c r="AF236" i="3"/>
  <c r="AE236" i="3"/>
  <c r="T200" i="1"/>
  <c r="L200" i="1" s="1"/>
  <c r="AH235" i="3"/>
  <c r="AG235" i="3"/>
  <c r="T578" i="1"/>
  <c r="L578" i="1" s="1"/>
  <c r="AF235" i="3"/>
  <c r="AE235" i="3"/>
  <c r="AH234" i="3"/>
  <c r="AG234" i="3"/>
  <c r="AF234" i="3"/>
  <c r="T353" i="1" s="1"/>
  <c r="L353" i="1" s="1"/>
  <c r="AE234" i="3"/>
  <c r="AH233" i="3"/>
  <c r="AG233" i="3"/>
  <c r="AH232" i="3"/>
  <c r="AG232" i="3"/>
  <c r="T577" i="1" s="1"/>
  <c r="L577" i="1" s="1"/>
  <c r="AF232" i="3"/>
  <c r="T468" i="1" s="1"/>
  <c r="Z468" i="1" s="1"/>
  <c r="AE232" i="3"/>
  <c r="T198" i="1"/>
  <c r="L198" i="1" s="1"/>
  <c r="AH231" i="3"/>
  <c r="AG231" i="3"/>
  <c r="AF231" i="3"/>
  <c r="AE231" i="3"/>
  <c r="T197" i="1"/>
  <c r="L197" i="1" s="1"/>
  <c r="AH230" i="3"/>
  <c r="AG230" i="3"/>
  <c r="AF230" i="3"/>
  <c r="T352" i="1" s="1"/>
  <c r="L352" i="1" s="1"/>
  <c r="AE230" i="3"/>
  <c r="T196" i="1"/>
  <c r="L196" i="1" s="1"/>
  <c r="AH229" i="3"/>
  <c r="AG229" i="3"/>
  <c r="AF229" i="3"/>
  <c r="AE229" i="3"/>
  <c r="T195" i="1"/>
  <c r="L195" i="1" s="1"/>
  <c r="AH227" i="3"/>
  <c r="AG227" i="3"/>
  <c r="AF227" i="3"/>
  <c r="AH225" i="3"/>
  <c r="AG225" i="3"/>
  <c r="AF225" i="3"/>
  <c r="AE225" i="3"/>
  <c r="T192" i="1" s="1"/>
  <c r="L192" i="1" s="1"/>
  <c r="AH224" i="3"/>
  <c r="AG224" i="3"/>
  <c r="AF224" i="3"/>
  <c r="AH223" i="3"/>
  <c r="AG223" i="3"/>
  <c r="AF223" i="3"/>
  <c r="AE223" i="3"/>
  <c r="T190" i="1" s="1"/>
  <c r="L190" i="1" s="1"/>
  <c r="AH222" i="3"/>
  <c r="AG222" i="3"/>
  <c r="AF222" i="3"/>
  <c r="AE222" i="3"/>
  <c r="T189" i="1"/>
  <c r="L189" i="1" s="1"/>
  <c r="AH221" i="3"/>
  <c r="AG221" i="3"/>
  <c r="AF221" i="3"/>
  <c r="AH220" i="3"/>
  <c r="AG220" i="3"/>
  <c r="AF220" i="3"/>
  <c r="AH219" i="3"/>
  <c r="AG219" i="3"/>
  <c r="AF219" i="3"/>
  <c r="AE219" i="3"/>
  <c r="L186" i="1"/>
  <c r="AH218" i="3"/>
  <c r="AG218" i="3"/>
  <c r="AF218" i="3"/>
  <c r="AH216" i="3"/>
  <c r="AG216" i="3"/>
  <c r="AF216" i="3"/>
  <c r="AH215" i="3"/>
  <c r="AG215" i="3"/>
  <c r="AF215" i="3"/>
  <c r="AE215" i="3"/>
  <c r="T182" i="1" s="1"/>
  <c r="L182" i="1" s="1"/>
  <c r="AH214" i="3"/>
  <c r="AG214" i="3"/>
  <c r="AF214" i="3"/>
  <c r="AE214" i="3"/>
  <c r="T181" i="1"/>
  <c r="L181" i="1" s="1"/>
  <c r="AH213" i="3"/>
  <c r="AG213" i="3"/>
  <c r="AF213" i="3"/>
  <c r="AE213" i="3"/>
  <c r="T180" i="1" s="1"/>
  <c r="L180" i="1" s="1"/>
  <c r="AH212" i="3"/>
  <c r="AG212" i="3"/>
  <c r="T575" i="1" s="1"/>
  <c r="L575" i="1" s="1"/>
  <c r="AF212" i="3"/>
  <c r="AE212" i="3"/>
  <c r="T179" i="1" s="1"/>
  <c r="L179" i="1" s="1"/>
  <c r="AH210" i="3"/>
  <c r="AG210" i="3"/>
  <c r="T574" i="1" s="1"/>
  <c r="L574" i="1" s="1"/>
  <c r="AF210" i="3"/>
  <c r="T466" i="1" s="1"/>
  <c r="L466" i="1" s="1"/>
  <c r="AE210" i="3"/>
  <c r="T178" i="1" s="1"/>
  <c r="L178" i="1" s="1"/>
  <c r="AH209" i="3"/>
  <c r="AG209" i="3"/>
  <c r="T572" i="1" s="1"/>
  <c r="L572" i="1" s="1"/>
  <c r="AF209" i="3"/>
  <c r="T465" i="1"/>
  <c r="L465" i="1" s="1"/>
  <c r="AE209" i="3"/>
  <c r="T177" i="1" s="1"/>
  <c r="L177" i="1" s="1"/>
  <c r="AH208" i="3"/>
  <c r="AG208" i="3"/>
  <c r="T573" i="1" s="1"/>
  <c r="L573" i="1" s="1"/>
  <c r="AF208" i="3"/>
  <c r="AE208" i="3"/>
  <c r="T176" i="1" s="1"/>
  <c r="L176" i="1" s="1"/>
  <c r="AH206" i="3"/>
  <c r="AG206" i="3"/>
  <c r="AF206" i="3"/>
  <c r="T351" i="1"/>
  <c r="L351" i="1" s="1"/>
  <c r="AE206" i="3"/>
  <c r="AG205" i="3"/>
  <c r="AF205" i="3"/>
  <c r="AE205" i="3"/>
  <c r="T175" i="1" s="1"/>
  <c r="L175" i="1" s="1"/>
  <c r="AH204" i="3"/>
  <c r="AG204" i="3"/>
  <c r="AF204" i="3"/>
  <c r="T350" i="1" s="1"/>
  <c r="L350" i="1" s="1"/>
  <c r="AE204" i="3"/>
  <c r="AH203" i="3"/>
  <c r="AG203" i="3"/>
  <c r="AF203" i="3"/>
  <c r="T463" i="1"/>
  <c r="L463" i="1" s="1"/>
  <c r="AE203" i="3"/>
  <c r="T174" i="1"/>
  <c r="L174" i="1" s="1"/>
  <c r="AH202" i="3"/>
  <c r="AG202" i="3"/>
  <c r="AF202" i="3"/>
  <c r="T460" i="1"/>
  <c r="L460" i="1" s="1"/>
  <c r="AE202" i="3"/>
  <c r="T173" i="1"/>
  <c r="L173" i="1" s="1"/>
  <c r="AH201" i="3"/>
  <c r="AG201" i="3"/>
  <c r="T571" i="1"/>
  <c r="L571" i="1" s="1"/>
  <c r="AF201" i="3"/>
  <c r="T461" i="1" s="1"/>
  <c r="L461" i="1" s="1"/>
  <c r="AE201" i="3"/>
  <c r="T172" i="1" s="1"/>
  <c r="L172" i="1" s="1"/>
  <c r="AH200" i="3"/>
  <c r="AG200" i="3"/>
  <c r="AF200" i="3"/>
  <c r="T462" i="1" s="1"/>
  <c r="L462" i="1" s="1"/>
  <c r="AE200" i="3"/>
  <c r="AH199" i="3"/>
  <c r="AG199" i="3"/>
  <c r="AF199" i="3"/>
  <c r="T349" i="1" s="1"/>
  <c r="L349" i="1" s="1"/>
  <c r="AE199" i="3"/>
  <c r="AH198" i="3"/>
  <c r="AG198" i="3"/>
  <c r="T570" i="1"/>
  <c r="L570" i="1" s="1"/>
  <c r="AF198" i="3"/>
  <c r="T459" i="1" s="1"/>
  <c r="AE198" i="3"/>
  <c r="T171" i="1"/>
  <c r="L171" i="1" s="1"/>
  <c r="AH197" i="3"/>
  <c r="AG197" i="3"/>
  <c r="T569" i="1"/>
  <c r="L569" i="1" s="1"/>
  <c r="AF197" i="3"/>
  <c r="AE197" i="3"/>
  <c r="T170" i="1"/>
  <c r="L170" i="1" s="1"/>
  <c r="AH196" i="3"/>
  <c r="AG196" i="3"/>
  <c r="T568" i="1"/>
  <c r="L568" i="1" s="1"/>
  <c r="AF196" i="3"/>
  <c r="T458" i="1" s="1"/>
  <c r="L458" i="1" s="1"/>
  <c r="AE196" i="3"/>
  <c r="T169" i="1" s="1"/>
  <c r="L169" i="1" s="1"/>
  <c r="AH195" i="3"/>
  <c r="AG195" i="3"/>
  <c r="T567" i="1" s="1"/>
  <c r="L567" i="1" s="1"/>
  <c r="AF195" i="3"/>
  <c r="AE195" i="3"/>
  <c r="AH194" i="3"/>
  <c r="AG194" i="3"/>
  <c r="T566" i="1"/>
  <c r="L566" i="1" s="1"/>
  <c r="AF194" i="3"/>
  <c r="T457" i="1" s="1"/>
  <c r="L457" i="1" s="1"/>
  <c r="AE194" i="3"/>
  <c r="T168" i="1" s="1"/>
  <c r="L168" i="1" s="1"/>
  <c r="AH193" i="3"/>
  <c r="AG193" i="3"/>
  <c r="T565" i="1"/>
  <c r="L565" i="1" s="1"/>
  <c r="AF193" i="3"/>
  <c r="AE193" i="3"/>
  <c r="T167" i="1"/>
  <c r="AH192" i="3"/>
  <c r="AG192" i="3"/>
  <c r="AF192" i="3"/>
  <c r="T455" i="1" s="1"/>
  <c r="L455" i="1" s="1"/>
  <c r="AE192" i="3"/>
  <c r="T166" i="1"/>
  <c r="L166" i="1" s="1"/>
  <c r="AH191" i="3"/>
  <c r="AG191" i="3"/>
  <c r="AF191" i="3"/>
  <c r="T454" i="1" s="1"/>
  <c r="L454" i="1" s="1"/>
  <c r="AE191" i="3"/>
  <c r="T165" i="1"/>
  <c r="L165" i="1" s="1"/>
  <c r="AH190" i="3"/>
  <c r="AG190" i="3"/>
  <c r="T564" i="1"/>
  <c r="L564" i="1" s="1"/>
  <c r="AF190" i="3"/>
  <c r="T453" i="1" s="1"/>
  <c r="L453" i="1" s="1"/>
  <c r="AE190" i="3"/>
  <c r="T164" i="1" s="1"/>
  <c r="L164" i="1" s="1"/>
  <c r="AH189" i="3"/>
  <c r="AG189" i="3"/>
  <c r="AF189" i="3"/>
  <c r="AE189" i="3"/>
  <c r="T163" i="1"/>
  <c r="L163" i="1" s="1"/>
  <c r="AH188" i="3"/>
  <c r="T600" i="1" s="1"/>
  <c r="AG188" i="3"/>
  <c r="AF188" i="3"/>
  <c r="T452" i="1"/>
  <c r="L452" i="1" s="1"/>
  <c r="AE188" i="3"/>
  <c r="T162" i="1" s="1"/>
  <c r="L162" i="1" s="1"/>
  <c r="AH187" i="3"/>
  <c r="AG187" i="3"/>
  <c r="T562" i="1" s="1"/>
  <c r="L562" i="1" s="1"/>
  <c r="AF187" i="3"/>
  <c r="AE187" i="3"/>
  <c r="T161" i="1" s="1"/>
  <c r="L161" i="1" s="1"/>
  <c r="AH186" i="3"/>
  <c r="AG186" i="3"/>
  <c r="T561" i="1" s="1"/>
  <c r="L561" i="1" s="1"/>
  <c r="AE186" i="3"/>
  <c r="T160" i="1" s="1"/>
  <c r="L160" i="1" s="1"/>
  <c r="AH185" i="3"/>
  <c r="AG185" i="3"/>
  <c r="AF185" i="3"/>
  <c r="AE185" i="3"/>
  <c r="T159" i="1" s="1"/>
  <c r="L159" i="1" s="1"/>
  <c r="AH184" i="3"/>
  <c r="AG184" i="3"/>
  <c r="AF184" i="3"/>
  <c r="AE184" i="3"/>
  <c r="T158" i="1"/>
  <c r="K7" i="5" s="1"/>
  <c r="AH183" i="3"/>
  <c r="AG183" i="3"/>
  <c r="AF183" i="3"/>
  <c r="T348" i="1" s="1"/>
  <c r="L348" i="1" s="1"/>
  <c r="AE183" i="3"/>
  <c r="AH181" i="3"/>
  <c r="AG181" i="3"/>
  <c r="T557" i="1" s="1"/>
  <c r="L557" i="1" s="1"/>
  <c r="AF181" i="3"/>
  <c r="T449" i="1"/>
  <c r="L449" i="1" s="1"/>
  <c r="AE181" i="3"/>
  <c r="T157" i="1" s="1"/>
  <c r="L157" i="1" s="1"/>
  <c r="AH180" i="3"/>
  <c r="AG180" i="3"/>
  <c r="AF180" i="3"/>
  <c r="T448" i="1" s="1"/>
  <c r="L448" i="1" s="1"/>
  <c r="AE180" i="3"/>
  <c r="AH178" i="3"/>
  <c r="AG178" i="3"/>
  <c r="T558" i="1" s="1"/>
  <c r="L558" i="1" s="1"/>
  <c r="AE178" i="3"/>
  <c r="T155" i="1"/>
  <c r="L155" i="1" s="1"/>
  <c r="AH177" i="3"/>
  <c r="AG177" i="3"/>
  <c r="AF177" i="3"/>
  <c r="T446" i="1" s="1"/>
  <c r="L446" i="1" s="1"/>
  <c r="L154" i="1"/>
  <c r="AH176" i="3"/>
  <c r="AG176" i="3"/>
  <c r="AF176" i="3"/>
  <c r="T445" i="1"/>
  <c r="L445" i="1" s="1"/>
  <c r="AE176" i="3"/>
  <c r="T153" i="1"/>
  <c r="L153" i="1" s="1"/>
  <c r="AH175" i="3"/>
  <c r="AG175" i="3"/>
  <c r="AF175" i="3"/>
  <c r="T347" i="1"/>
  <c r="L347" i="1" s="1"/>
  <c r="AE175" i="3"/>
  <c r="AH174" i="3"/>
  <c r="AG174" i="3"/>
  <c r="AF174" i="3"/>
  <c r="AE174" i="3"/>
  <c r="T152" i="1"/>
  <c r="L152" i="1" s="1"/>
  <c r="AH173" i="3"/>
  <c r="AG173" i="3"/>
  <c r="AF173" i="3"/>
  <c r="T444" i="1"/>
  <c r="L444" i="1" s="1"/>
  <c r="AE173" i="3"/>
  <c r="T151" i="1"/>
  <c r="AH172" i="3"/>
  <c r="AG172" i="3"/>
  <c r="AF172" i="3"/>
  <c r="T443" i="1"/>
  <c r="L443" i="1" s="1"/>
  <c r="AE172" i="3"/>
  <c r="T150" i="1" s="1"/>
  <c r="L150" i="1" s="1"/>
  <c r="AH171" i="3"/>
  <c r="AG171" i="3"/>
  <c r="AF171" i="3"/>
  <c r="T442" i="1"/>
  <c r="L442" i="1" s="1"/>
  <c r="L149" i="1"/>
  <c r="AH170" i="3"/>
  <c r="AG170" i="3"/>
  <c r="AF170" i="3"/>
  <c r="T441" i="1" s="1"/>
  <c r="L441" i="1" s="1"/>
  <c r="AH169" i="3"/>
  <c r="AG169" i="3"/>
  <c r="AF169" i="3"/>
  <c r="T440" i="1"/>
  <c r="L440" i="1" s="1"/>
  <c r="AE169" i="3"/>
  <c r="T146" i="1" s="1"/>
  <c r="L146" i="1" s="1"/>
  <c r="AH166" i="3"/>
  <c r="AG166" i="3"/>
  <c r="AF166" i="3"/>
  <c r="T437" i="1"/>
  <c r="L437" i="1" s="1"/>
  <c r="AE166" i="3"/>
  <c r="T145" i="1" s="1"/>
  <c r="L145" i="1" s="1"/>
  <c r="AH165" i="3"/>
  <c r="AG165" i="3"/>
  <c r="AF165" i="3"/>
  <c r="T436" i="1"/>
  <c r="L436" i="1" s="1"/>
  <c r="AE165" i="3"/>
  <c r="T141" i="1" s="1"/>
  <c r="L141" i="1" s="1"/>
  <c r="AH164" i="3"/>
  <c r="AG164" i="3"/>
  <c r="T556" i="1" s="1"/>
  <c r="L556" i="1" s="1"/>
  <c r="AF164" i="3"/>
  <c r="T435" i="1" s="1"/>
  <c r="L435" i="1" s="1"/>
  <c r="L143" i="1"/>
  <c r="AH163" i="3"/>
  <c r="AG163" i="3"/>
  <c r="AF163" i="3"/>
  <c r="AE163" i="3"/>
  <c r="T142" i="1"/>
  <c r="L142" i="1" s="1"/>
  <c r="AH162" i="3"/>
  <c r="AG162" i="3"/>
  <c r="AF162" i="3"/>
  <c r="AE162" i="3"/>
  <c r="AH161" i="3"/>
  <c r="AG161" i="3"/>
  <c r="AF161" i="3"/>
  <c r="AH160" i="3"/>
  <c r="AG160" i="3"/>
  <c r="AF160" i="3"/>
  <c r="T346" i="1"/>
  <c r="L346" i="1" s="1"/>
  <c r="AE160" i="3"/>
  <c r="AH159" i="3"/>
  <c r="AG159" i="3"/>
  <c r="T555" i="1"/>
  <c r="L555" i="1" s="1"/>
  <c r="AF159" i="3"/>
  <c r="T433" i="1"/>
  <c r="R22" i="5" s="1"/>
  <c r="AE159" i="3"/>
  <c r="T139" i="1" s="1"/>
  <c r="L139" i="1" s="1"/>
  <c r="AH158" i="3"/>
  <c r="AG158" i="3"/>
  <c r="AF158" i="3"/>
  <c r="AE158" i="3"/>
  <c r="T138" i="1"/>
  <c r="L138" i="1" s="1"/>
  <c r="AH157" i="3"/>
  <c r="AG157" i="3"/>
  <c r="T554" i="1"/>
  <c r="L554" i="1" s="1"/>
  <c r="AF157" i="3"/>
  <c r="T432" i="1" s="1"/>
  <c r="L432" i="1" s="1"/>
  <c r="AE157" i="3"/>
  <c r="T137" i="1" s="1"/>
  <c r="L137" i="1" s="1"/>
  <c r="AH156" i="3"/>
  <c r="AG156" i="3"/>
  <c r="AF156" i="3"/>
  <c r="T431" i="1" s="1"/>
  <c r="L431" i="1" s="1"/>
  <c r="AE156" i="3"/>
  <c r="T136" i="1"/>
  <c r="L136" i="1" s="1"/>
  <c r="AH155" i="3"/>
  <c r="AG155" i="3"/>
  <c r="AF155" i="3"/>
  <c r="AE155" i="3"/>
  <c r="AH154" i="3"/>
  <c r="AG154" i="3"/>
  <c r="AF154" i="3"/>
  <c r="T429" i="1" s="1"/>
  <c r="L429" i="1" s="1"/>
  <c r="AE154" i="3"/>
  <c r="T135" i="1"/>
  <c r="L135" i="1" s="1"/>
  <c r="AH153" i="3"/>
  <c r="AG153" i="3"/>
  <c r="AF153" i="3"/>
  <c r="T428" i="1" s="1"/>
  <c r="L428" i="1" s="1"/>
  <c r="AE153" i="3"/>
  <c r="AH152" i="3"/>
  <c r="AG152" i="3"/>
  <c r="AF152" i="3"/>
  <c r="T427" i="1"/>
  <c r="L427" i="1" s="1"/>
  <c r="AE152" i="3"/>
  <c r="AH151" i="3"/>
  <c r="T599" i="1"/>
  <c r="AG151" i="3"/>
  <c r="T553" i="1" s="1"/>
  <c r="AF151" i="3"/>
  <c r="T426" i="1"/>
  <c r="R23" i="5" s="1"/>
  <c r="AE151" i="3"/>
  <c r="T133" i="1"/>
  <c r="K4" i="5"/>
  <c r="AH150" i="3"/>
  <c r="AG150" i="3"/>
  <c r="AF150" i="3"/>
  <c r="T425" i="1"/>
  <c r="L425" i="1" s="1"/>
  <c r="AE150" i="3"/>
  <c r="T132" i="1"/>
  <c r="L132" i="1" s="1"/>
  <c r="AH149" i="3"/>
  <c r="AG149" i="3"/>
  <c r="T552" i="1"/>
  <c r="AF149" i="3"/>
  <c r="AE149" i="3"/>
  <c r="T131" i="1" s="1"/>
  <c r="L131" i="1" s="1"/>
  <c r="AH148" i="3"/>
  <c r="AG148" i="3"/>
  <c r="AF148" i="3"/>
  <c r="T345" i="1"/>
  <c r="L345" i="1" s="1"/>
  <c r="AE148" i="3"/>
  <c r="T130" i="1" s="1"/>
  <c r="L130" i="1" s="1"/>
  <c r="AH147" i="3"/>
  <c r="AG147" i="3"/>
  <c r="AF147" i="3"/>
  <c r="T344" i="1"/>
  <c r="L344" i="1" s="1"/>
  <c r="AE147" i="3"/>
  <c r="T129" i="1" s="1"/>
  <c r="L129" i="1" s="1"/>
  <c r="AH146" i="3"/>
  <c r="AG146" i="3"/>
  <c r="AF146" i="3"/>
  <c r="T343" i="1"/>
  <c r="L343" i="1" s="1"/>
  <c r="AE146" i="3"/>
  <c r="T128" i="1" s="1"/>
  <c r="L128" i="1" s="1"/>
  <c r="AH145" i="3"/>
  <c r="AG145" i="3"/>
  <c r="AF145" i="3"/>
  <c r="T342" i="1"/>
  <c r="L342" i="1" s="1"/>
  <c r="AE145" i="3"/>
  <c r="AH144" i="3"/>
  <c r="AG144" i="3"/>
  <c r="T550" i="1" s="1"/>
  <c r="AF144" i="3"/>
  <c r="T340" i="1" s="1"/>
  <c r="L340" i="1" s="1"/>
  <c r="AE144" i="3"/>
  <c r="T127" i="1" s="1"/>
  <c r="L127" i="1" s="1"/>
  <c r="AH143" i="3"/>
  <c r="AG143" i="3"/>
  <c r="T551" i="1" s="1"/>
  <c r="AF143" i="3"/>
  <c r="T341" i="1"/>
  <c r="L341" i="1" s="1"/>
  <c r="AE143" i="3"/>
  <c r="T126" i="1" s="1"/>
  <c r="L126" i="1" s="1"/>
  <c r="AH142" i="3"/>
  <c r="AG142" i="3"/>
  <c r="AF142" i="3"/>
  <c r="T339" i="1"/>
  <c r="L339" i="1" s="1"/>
  <c r="AE142" i="3"/>
  <c r="AH141" i="3"/>
  <c r="AG141" i="3"/>
  <c r="T549" i="1" s="1"/>
  <c r="AF141" i="3"/>
  <c r="AE141" i="3"/>
  <c r="T125" i="1"/>
  <c r="L125" i="1" s="1"/>
  <c r="AH140" i="3"/>
  <c r="AG140" i="3"/>
  <c r="AF140" i="3"/>
  <c r="T338" i="1" s="1"/>
  <c r="L338" i="1" s="1"/>
  <c r="AE140" i="3"/>
  <c r="T124" i="1"/>
  <c r="L124" i="1" s="1"/>
  <c r="AH139" i="3"/>
  <c r="AG139" i="3"/>
  <c r="AF139" i="3"/>
  <c r="T337" i="1" s="1"/>
  <c r="L337" i="1" s="1"/>
  <c r="AE139" i="3"/>
  <c r="T123" i="1"/>
  <c r="L123" i="1" s="1"/>
  <c r="AH138" i="3"/>
  <c r="AG138" i="3"/>
  <c r="AF138" i="3"/>
  <c r="T336" i="1" s="1"/>
  <c r="L336" i="1" s="1"/>
  <c r="AE138" i="3"/>
  <c r="AH137" i="3"/>
  <c r="AG137" i="3"/>
  <c r="T548" i="1" s="1"/>
  <c r="AF137" i="3"/>
  <c r="T335" i="1"/>
  <c r="L335" i="1" s="1"/>
  <c r="AE137" i="3"/>
  <c r="T122" i="1" s="1"/>
  <c r="L122" i="1" s="1"/>
  <c r="AH136" i="3"/>
  <c r="AG136" i="3"/>
  <c r="AF136" i="3"/>
  <c r="AE136" i="3"/>
  <c r="T121" i="1" s="1"/>
  <c r="L121" i="1" s="1"/>
  <c r="AH135" i="3"/>
  <c r="AG135" i="3"/>
  <c r="AF135" i="3"/>
  <c r="T424" i="1" s="1"/>
  <c r="L424" i="1" s="1"/>
  <c r="AE135" i="3"/>
  <c r="T120" i="1" s="1"/>
  <c r="L120" i="1" s="1"/>
  <c r="AH134" i="3"/>
  <c r="AG134" i="3"/>
  <c r="T547" i="1"/>
  <c r="AF134" i="3"/>
  <c r="AE134" i="3"/>
  <c r="T119" i="1"/>
  <c r="L119" i="1" s="1"/>
  <c r="AH133" i="3"/>
  <c r="AG133" i="3"/>
  <c r="AF133" i="3"/>
  <c r="T422" i="1" s="1"/>
  <c r="L422" i="1" s="1"/>
  <c r="AE133" i="3"/>
  <c r="AH132" i="3"/>
  <c r="AG132" i="3"/>
  <c r="AF132" i="3"/>
  <c r="T421" i="1" s="1"/>
  <c r="L421" i="1" s="1"/>
  <c r="AE132" i="3"/>
  <c r="AH131" i="3"/>
  <c r="AG131" i="3"/>
  <c r="AF131" i="3"/>
  <c r="T420" i="1"/>
  <c r="L420" i="1" s="1"/>
  <c r="AE131" i="3"/>
  <c r="AH130" i="3"/>
  <c r="T598" i="1"/>
  <c r="AG130" i="3"/>
  <c r="T546" i="1" s="1"/>
  <c r="AF130" i="3"/>
  <c r="T419" i="1"/>
  <c r="L419" i="1" s="1"/>
  <c r="AE130" i="3"/>
  <c r="T118" i="1"/>
  <c r="L118" i="1" s="1"/>
  <c r="AH129" i="3"/>
  <c r="AG129" i="3"/>
  <c r="AF129" i="3"/>
  <c r="T418" i="1"/>
  <c r="L418" i="1" s="1"/>
  <c r="AE129" i="3"/>
  <c r="AH128" i="3"/>
  <c r="AG128" i="3"/>
  <c r="T545" i="1" s="1"/>
  <c r="AF128" i="3"/>
  <c r="T417" i="1"/>
  <c r="L417" i="1" s="1"/>
  <c r="AE128" i="3"/>
  <c r="T117" i="1" s="1"/>
  <c r="L117" i="1" s="1"/>
  <c r="AH127" i="3"/>
  <c r="AG127" i="3"/>
  <c r="AF127" i="3"/>
  <c r="T416" i="1"/>
  <c r="L416" i="1" s="1"/>
  <c r="AE127" i="3"/>
  <c r="T116" i="1" s="1"/>
  <c r="L116" i="1" s="1"/>
  <c r="AH125" i="3"/>
  <c r="AG125" i="3"/>
  <c r="AF125" i="3"/>
  <c r="T414" i="1"/>
  <c r="L414" i="1" s="1"/>
  <c r="AE125" i="3"/>
  <c r="T115" i="1" s="1"/>
  <c r="L115" i="1" s="1"/>
  <c r="AH124" i="3"/>
  <c r="AG124" i="3"/>
  <c r="AF124" i="3"/>
  <c r="T412" i="1"/>
  <c r="L412" i="1" s="1"/>
  <c r="AE124" i="3"/>
  <c r="T114" i="1" s="1"/>
  <c r="L114" i="1" s="1"/>
  <c r="AH123" i="3"/>
  <c r="AG123" i="3"/>
  <c r="AF123" i="3"/>
  <c r="T413" i="1"/>
  <c r="L413" i="1" s="1"/>
  <c r="AE123" i="3"/>
  <c r="AH122" i="3"/>
  <c r="AG122" i="3"/>
  <c r="T544" i="1" s="1"/>
  <c r="AF122" i="3"/>
  <c r="T411" i="1" s="1"/>
  <c r="L411" i="1" s="1"/>
  <c r="AE122" i="3"/>
  <c r="T113" i="1" s="1"/>
  <c r="L113" i="1" s="1"/>
  <c r="AH121" i="3"/>
  <c r="AG121" i="3"/>
  <c r="AF121" i="3"/>
  <c r="T410" i="1" s="1"/>
  <c r="L410" i="1" s="1"/>
  <c r="AE121" i="3"/>
  <c r="T112" i="1" s="1"/>
  <c r="L112" i="1" s="1"/>
  <c r="AG120" i="3"/>
  <c r="AF120" i="3"/>
  <c r="T409" i="1" s="1"/>
  <c r="L409" i="1" s="1"/>
  <c r="AE120" i="3"/>
  <c r="T111" i="1" s="1"/>
  <c r="L111" i="1" s="1"/>
  <c r="AH119" i="3"/>
  <c r="AG119" i="3"/>
  <c r="AF119" i="3"/>
  <c r="T408" i="1" s="1"/>
  <c r="L408" i="1" s="1"/>
  <c r="AE119" i="3"/>
  <c r="T110" i="1"/>
  <c r="L110" i="1" s="1"/>
  <c r="AH118" i="3"/>
  <c r="T597" i="1"/>
  <c r="AG118" i="3"/>
  <c r="AF118" i="3"/>
  <c r="T406" i="1" s="1"/>
  <c r="L406" i="1" s="1"/>
  <c r="AE118" i="3"/>
  <c r="AH117" i="3"/>
  <c r="AG117" i="3"/>
  <c r="AF117" i="3"/>
  <c r="T407" i="1" s="1"/>
  <c r="L407" i="1" s="1"/>
  <c r="AE117" i="3"/>
  <c r="T109" i="1"/>
  <c r="L109" i="1" s="1"/>
  <c r="AH116" i="3"/>
  <c r="T596" i="1" s="1"/>
  <c r="AG116" i="3"/>
  <c r="T543" i="1"/>
  <c r="AE116" i="3"/>
  <c r="AH115" i="3"/>
  <c r="AG115" i="3"/>
  <c r="T542" i="1"/>
  <c r="AF115" i="3"/>
  <c r="T404" i="1" s="1"/>
  <c r="L404" i="1" s="1"/>
  <c r="AE115" i="3"/>
  <c r="T107" i="1" s="1"/>
  <c r="L107" i="1" s="1"/>
  <c r="AH114" i="3"/>
  <c r="AG114" i="3"/>
  <c r="T541" i="1" s="1"/>
  <c r="AF114" i="3"/>
  <c r="T403" i="1"/>
  <c r="L403" i="1" s="1"/>
  <c r="AE114" i="3"/>
  <c r="T106" i="1" s="1"/>
  <c r="L106" i="1" s="1"/>
  <c r="AH113" i="3"/>
  <c r="AG113" i="3"/>
  <c r="T540" i="1" s="1"/>
  <c r="AE113" i="3"/>
  <c r="T105" i="1" s="1"/>
  <c r="L105" i="1" s="1"/>
  <c r="AH111" i="3"/>
  <c r="AG111" i="3"/>
  <c r="AF111" i="3"/>
  <c r="T400" i="1" s="1"/>
  <c r="L400" i="1" s="1"/>
  <c r="AE111" i="3"/>
  <c r="T104" i="1"/>
  <c r="L104" i="1" s="1"/>
  <c r="AH110" i="3"/>
  <c r="AG110" i="3"/>
  <c r="T539" i="1"/>
  <c r="AF110" i="3"/>
  <c r="L103" i="1"/>
  <c r="AH109" i="3"/>
  <c r="AG109" i="3"/>
  <c r="AF109" i="3"/>
  <c r="T334" i="1" s="1"/>
  <c r="L334" i="1" s="1"/>
  <c r="AE109" i="3"/>
  <c r="AH108" i="3"/>
  <c r="AG108" i="3"/>
  <c r="AF108" i="3"/>
  <c r="T333" i="1" s="1"/>
  <c r="L333" i="1" s="1"/>
  <c r="AE108" i="3"/>
  <c r="AH107" i="3"/>
  <c r="AG107" i="3"/>
  <c r="AF107" i="3"/>
  <c r="T332" i="1" s="1"/>
  <c r="L332" i="1" s="1"/>
  <c r="AE107" i="3"/>
  <c r="AH106" i="3"/>
  <c r="AG106" i="3"/>
  <c r="AF106" i="3"/>
  <c r="T331" i="1" s="1"/>
  <c r="L331" i="1" s="1"/>
  <c r="AE106" i="3"/>
  <c r="AH105" i="3"/>
  <c r="AG105" i="3"/>
  <c r="AF105" i="3"/>
  <c r="T330" i="1" s="1"/>
  <c r="L330" i="1" s="1"/>
  <c r="AE105" i="3"/>
  <c r="AH104" i="3"/>
  <c r="AG104" i="3"/>
  <c r="AF104" i="3"/>
  <c r="T329" i="1" s="1"/>
  <c r="L329" i="1" s="1"/>
  <c r="AE104" i="3"/>
  <c r="AH103" i="3"/>
  <c r="AG103" i="3"/>
  <c r="AF103" i="3"/>
  <c r="T328" i="1" s="1"/>
  <c r="L328" i="1" s="1"/>
  <c r="AE103" i="3"/>
  <c r="AH102" i="3"/>
  <c r="AG102" i="3"/>
  <c r="AF102" i="3"/>
  <c r="T327" i="1"/>
  <c r="L327" i="1" s="1"/>
  <c r="AE102" i="3"/>
  <c r="AH101" i="3"/>
  <c r="AG101" i="3"/>
  <c r="AF101" i="3"/>
  <c r="T326" i="1" s="1"/>
  <c r="L326" i="1" s="1"/>
  <c r="AE101" i="3"/>
  <c r="AH100" i="3"/>
  <c r="AG100" i="3"/>
  <c r="AF100" i="3"/>
  <c r="T325" i="1" s="1"/>
  <c r="L325" i="1" s="1"/>
  <c r="AE100" i="3"/>
  <c r="AH99" i="3"/>
  <c r="AG99" i="3"/>
  <c r="AF99" i="3"/>
  <c r="T324" i="1" s="1"/>
  <c r="L324" i="1" s="1"/>
  <c r="AE99" i="3"/>
  <c r="AH98" i="3"/>
  <c r="AG98" i="3"/>
  <c r="AF98" i="3"/>
  <c r="T323" i="1" s="1"/>
  <c r="L323" i="1" s="1"/>
  <c r="AE98" i="3"/>
  <c r="AH97" i="3"/>
  <c r="AG97" i="3"/>
  <c r="AF97" i="3"/>
  <c r="T322" i="1" s="1"/>
  <c r="L322" i="1" s="1"/>
  <c r="AE97" i="3"/>
  <c r="AH96" i="3"/>
  <c r="AG96" i="3"/>
  <c r="AF96" i="3"/>
  <c r="T321" i="1" s="1"/>
  <c r="L321" i="1" s="1"/>
  <c r="AE96" i="3"/>
  <c r="AH95" i="3"/>
  <c r="AG95" i="3"/>
  <c r="AF95" i="3"/>
  <c r="T320" i="1" s="1"/>
  <c r="L320" i="1" s="1"/>
  <c r="AE95" i="3"/>
  <c r="AH94" i="3"/>
  <c r="AG94" i="3"/>
  <c r="AF94" i="3"/>
  <c r="T319" i="1"/>
  <c r="L319" i="1" s="1"/>
  <c r="AE94" i="3"/>
  <c r="AH93" i="3"/>
  <c r="AG93" i="3"/>
  <c r="T538" i="1" s="1"/>
  <c r="AF93" i="3"/>
  <c r="T315" i="1" s="1"/>
  <c r="L315" i="1" s="1"/>
  <c r="AE93" i="3"/>
  <c r="T102" i="1" s="1"/>
  <c r="L102" i="1" s="1"/>
  <c r="AH92" i="3"/>
  <c r="AG92" i="3"/>
  <c r="AF92" i="3"/>
  <c r="T314" i="1" s="1"/>
  <c r="L314" i="1" s="1"/>
  <c r="AE92" i="3"/>
  <c r="AH91" i="3"/>
  <c r="AG91" i="3"/>
  <c r="AF91" i="3"/>
  <c r="AE91" i="3"/>
  <c r="AH90" i="3"/>
  <c r="AG90" i="3"/>
  <c r="T536" i="1"/>
  <c r="AF90" i="3"/>
  <c r="AE90" i="3"/>
  <c r="T101" i="1" s="1"/>
  <c r="L101" i="1" s="1"/>
  <c r="AH89" i="3"/>
  <c r="AG89" i="3"/>
  <c r="T535" i="1" s="1"/>
  <c r="AF89" i="3"/>
  <c r="T399" i="1" s="1"/>
  <c r="L399" i="1" s="1"/>
  <c r="AE89" i="3"/>
  <c r="T100" i="1"/>
  <c r="L100" i="1" s="1"/>
  <c r="AH88" i="3"/>
  <c r="AG88" i="3"/>
  <c r="AE88" i="3"/>
  <c r="T99" i="1" s="1"/>
  <c r="L99" i="1" s="1"/>
  <c r="AH87" i="3"/>
  <c r="AG87" i="3"/>
  <c r="AF87" i="3"/>
  <c r="T397" i="1" s="1"/>
  <c r="L397" i="1" s="1"/>
  <c r="AE87" i="3"/>
  <c r="T98" i="1" s="1"/>
  <c r="L98" i="1" s="1"/>
  <c r="AH86" i="3"/>
  <c r="AG86" i="3"/>
  <c r="AF86" i="3"/>
  <c r="AE86" i="3"/>
  <c r="T97" i="1" s="1"/>
  <c r="L97" i="1" s="1"/>
  <c r="AH85" i="3"/>
  <c r="AG85" i="3"/>
  <c r="AE85" i="3"/>
  <c r="T96" i="1"/>
  <c r="L96" i="1" s="1"/>
  <c r="AH84" i="3"/>
  <c r="AG84" i="3"/>
  <c r="T537" i="1"/>
  <c r="AF84" i="3"/>
  <c r="T280" i="1" s="1"/>
  <c r="AE84" i="3"/>
  <c r="T95" i="1"/>
  <c r="L95" i="1" s="1"/>
  <c r="AH83" i="3"/>
  <c r="AG83" i="3"/>
  <c r="AF83" i="3"/>
  <c r="T396" i="1" s="1"/>
  <c r="L396" i="1" s="1"/>
  <c r="AE83" i="3"/>
  <c r="T94" i="1"/>
  <c r="L94" i="1" s="1"/>
  <c r="AH82" i="3"/>
  <c r="AG82" i="3"/>
  <c r="AF82" i="3"/>
  <c r="T395" i="1" s="1"/>
  <c r="L395" i="1" s="1"/>
  <c r="AE82" i="3"/>
  <c r="T93" i="1"/>
  <c r="L93" i="1" s="1"/>
  <c r="AH81" i="3"/>
  <c r="AG81" i="3"/>
  <c r="AF81" i="3"/>
  <c r="AE81" i="3"/>
  <c r="T92" i="1" s="1"/>
  <c r="L92" i="1" s="1"/>
  <c r="AH80" i="3"/>
  <c r="AG80" i="3"/>
  <c r="T534" i="1" s="1"/>
  <c r="AF80" i="3"/>
  <c r="T394" i="1"/>
  <c r="L394" i="1" s="1"/>
  <c r="AE80" i="3"/>
  <c r="T91" i="1" s="1"/>
  <c r="L91" i="1" s="1"/>
  <c r="AH78" i="3"/>
  <c r="AG78" i="3"/>
  <c r="AF78" i="3"/>
  <c r="T312" i="1" s="1"/>
  <c r="L312" i="1" s="1"/>
  <c r="AE78" i="3"/>
  <c r="AH77" i="3"/>
  <c r="AG77" i="3"/>
  <c r="AF77" i="3"/>
  <c r="T311" i="1" s="1"/>
  <c r="L311" i="1" s="1"/>
  <c r="AE77" i="3"/>
  <c r="T90" i="1"/>
  <c r="L90" i="1" s="1"/>
  <c r="AH75" i="3"/>
  <c r="AG75" i="3"/>
  <c r="AF75" i="3"/>
  <c r="T310" i="1" s="1"/>
  <c r="L310" i="1" s="1"/>
  <c r="AE75" i="3"/>
  <c r="AH72" i="3"/>
  <c r="AG72" i="3"/>
  <c r="T528" i="1" s="1"/>
  <c r="AF72" i="3"/>
  <c r="T392" i="1"/>
  <c r="L392" i="1" s="1"/>
  <c r="AE72" i="3"/>
  <c r="T88" i="1" s="1"/>
  <c r="L88" i="1" s="1"/>
  <c r="AH71" i="3"/>
  <c r="AG71" i="3"/>
  <c r="AF71" i="3"/>
  <c r="T391" i="1"/>
  <c r="L391" i="1" s="1"/>
  <c r="AE71" i="3"/>
  <c r="T87" i="1" s="1"/>
  <c r="L87" i="1" s="1"/>
  <c r="AH70" i="3"/>
  <c r="AG70" i="3"/>
  <c r="AF70" i="3"/>
  <c r="T390" i="1"/>
  <c r="L390" i="1" s="1"/>
  <c r="AE70" i="3"/>
  <c r="T86" i="1" s="1"/>
  <c r="L86" i="1" s="1"/>
  <c r="AH69" i="3"/>
  <c r="AG69" i="3"/>
  <c r="AF69" i="3"/>
  <c r="T389" i="1"/>
  <c r="L389" i="1" s="1"/>
  <c r="AE69" i="3"/>
  <c r="T85" i="1" s="1"/>
  <c r="L85" i="1" s="1"/>
  <c r="AH68" i="3"/>
  <c r="AG68" i="3"/>
  <c r="AF68" i="3"/>
  <c r="T388" i="1"/>
  <c r="L388" i="1" s="1"/>
  <c r="AE68" i="3"/>
  <c r="T84" i="1" s="1"/>
  <c r="L84" i="1" s="1"/>
  <c r="AH67" i="3"/>
  <c r="AG67" i="3"/>
  <c r="T523" i="1" s="1"/>
  <c r="AF67" i="3"/>
  <c r="T387" i="1" s="1"/>
  <c r="L387" i="1" s="1"/>
  <c r="AE67" i="3"/>
  <c r="T83" i="1"/>
  <c r="L83" i="1" s="1"/>
  <c r="AG64" i="3"/>
  <c r="AF64" i="3"/>
  <c r="T384" i="1"/>
  <c r="L384" i="1" s="1"/>
  <c r="AE64" i="3"/>
  <c r="AH63" i="3"/>
  <c r="AG63" i="3"/>
  <c r="AF63" i="3"/>
  <c r="AE63" i="3"/>
  <c r="T82" i="1" s="1"/>
  <c r="L82" i="1" s="1"/>
  <c r="AH34" i="3"/>
  <c r="T595" i="1" s="1"/>
  <c r="AG34" i="3"/>
  <c r="T506" i="1"/>
  <c r="AF34" i="3"/>
  <c r="T374" i="1" s="1"/>
  <c r="L374" i="1" s="1"/>
  <c r="AE34" i="3"/>
  <c r="T62" i="1" s="1"/>
  <c r="L62" i="1" s="1"/>
  <c r="AH33" i="3"/>
  <c r="AG33" i="3"/>
  <c r="AF33" i="3"/>
  <c r="T373" i="1" s="1"/>
  <c r="L373" i="1" s="1"/>
  <c r="AE33" i="3"/>
  <c r="T61" i="1" s="1"/>
  <c r="L61" i="1" s="1"/>
  <c r="AH32" i="3"/>
  <c r="AG32" i="3"/>
  <c r="T505" i="1" s="1"/>
  <c r="AF32" i="3"/>
  <c r="T372" i="1" s="1"/>
  <c r="L372" i="1" s="1"/>
  <c r="AE32" i="3"/>
  <c r="T60" i="1" s="1"/>
  <c r="AH31" i="3"/>
  <c r="AG31" i="3"/>
  <c r="AF31" i="3"/>
  <c r="T291" i="1" s="1"/>
  <c r="L291" i="1" s="1"/>
  <c r="AE31" i="3"/>
  <c r="AH30" i="3"/>
  <c r="AG30" i="3"/>
  <c r="AF30" i="3"/>
  <c r="T290" i="1" s="1"/>
  <c r="L290" i="1" s="1"/>
  <c r="AE30" i="3"/>
  <c r="AH29" i="3"/>
  <c r="AG29" i="3"/>
  <c r="AF29" i="3"/>
  <c r="T289" i="1" s="1"/>
  <c r="L289" i="1" s="1"/>
  <c r="AE29" i="3"/>
  <c r="AH28" i="3"/>
  <c r="AG28" i="3"/>
  <c r="AF28" i="3"/>
  <c r="T288" i="1" s="1"/>
  <c r="L288" i="1" s="1"/>
  <c r="AE28" i="3"/>
  <c r="AH27" i="3"/>
  <c r="AG27" i="3"/>
  <c r="AF27" i="3"/>
  <c r="T318" i="1" s="1"/>
  <c r="L318" i="1" s="1"/>
  <c r="AE27" i="3"/>
  <c r="AH26" i="3"/>
  <c r="AG26" i="3"/>
  <c r="AF26" i="3"/>
  <c r="T317" i="1" s="1"/>
  <c r="L317" i="1" s="1"/>
  <c r="AE26" i="3"/>
  <c r="AH25" i="3"/>
  <c r="AG25" i="3"/>
  <c r="AF25" i="3"/>
  <c r="T316" i="1" s="1"/>
  <c r="L316" i="1" s="1"/>
  <c r="AE25" i="3"/>
  <c r="AH24" i="3"/>
  <c r="AG24" i="3"/>
  <c r="AF24" i="3"/>
  <c r="T287" i="1" s="1"/>
  <c r="L287" i="1" s="1"/>
  <c r="AE24" i="3"/>
  <c r="AH23" i="3"/>
  <c r="AG23" i="3"/>
  <c r="AF23" i="3"/>
  <c r="T286" i="1" s="1"/>
  <c r="L286" i="1" s="1"/>
  <c r="AE23" i="3"/>
  <c r="AH22" i="3"/>
  <c r="AG22" i="3"/>
  <c r="AF22" i="3"/>
  <c r="T285" i="1" s="1"/>
  <c r="L285" i="1" s="1"/>
  <c r="AE22" i="3"/>
  <c r="AH21" i="3"/>
  <c r="AG21" i="3"/>
  <c r="AF21" i="3"/>
  <c r="T284" i="1" s="1"/>
  <c r="L284" i="1" s="1"/>
  <c r="AE21" i="3"/>
  <c r="AH20" i="3"/>
  <c r="AG20" i="3"/>
  <c r="AF20" i="3"/>
  <c r="T283" i="1" s="1"/>
  <c r="L283" i="1" s="1"/>
  <c r="AE20" i="3"/>
  <c r="AH19" i="3"/>
  <c r="AG19" i="3"/>
  <c r="AF19" i="3"/>
  <c r="T282" i="1" s="1"/>
  <c r="L282" i="1" s="1"/>
  <c r="AE19" i="3"/>
  <c r="AH18" i="3"/>
  <c r="AG18" i="3"/>
  <c r="AF18" i="3"/>
  <c r="AE18" i="3"/>
  <c r="T59" i="1" s="1"/>
  <c r="L59" i="1" s="1"/>
  <c r="AH17" i="3"/>
  <c r="AG17" i="3"/>
  <c r="AF17" i="3"/>
  <c r="T371" i="1" s="1"/>
  <c r="L371" i="1" s="1"/>
  <c r="AE17" i="3"/>
  <c r="T58" i="1" s="1"/>
  <c r="L58" i="1" s="1"/>
  <c r="AH16" i="3"/>
  <c r="AG16" i="3"/>
  <c r="AF16" i="3"/>
  <c r="AE16" i="3"/>
  <c r="T57" i="1"/>
  <c r="L57" i="1" s="1"/>
  <c r="AH15" i="3"/>
  <c r="AG15" i="3"/>
  <c r="AF15" i="3"/>
  <c r="T370" i="1" s="1"/>
  <c r="L370" i="1" s="1"/>
  <c r="AE15" i="3"/>
  <c r="T56" i="1"/>
  <c r="L56" i="1" s="1"/>
  <c r="AH14" i="3"/>
  <c r="AG14" i="3"/>
  <c r="AF14" i="3"/>
  <c r="T281" i="1" s="1"/>
  <c r="L281" i="1" s="1"/>
  <c r="AE14" i="3"/>
  <c r="AH13" i="3"/>
  <c r="AG13" i="3"/>
  <c r="T503" i="1" s="1"/>
  <c r="AF13" i="3"/>
  <c r="T369" i="1"/>
  <c r="L369" i="1" s="1"/>
  <c r="AH12" i="3"/>
  <c r="AG12" i="3"/>
  <c r="AF12" i="3"/>
  <c r="T368" i="1" s="1"/>
  <c r="AE12" i="3"/>
  <c r="T54" i="1" s="1"/>
  <c r="L54" i="1" s="1"/>
  <c r="AH11" i="3"/>
  <c r="AG11" i="3"/>
  <c r="AF11" i="3"/>
  <c r="AE11" i="3"/>
  <c r="T52" i="1" s="1"/>
  <c r="L52" i="1" s="1"/>
  <c r="AG10" i="3"/>
  <c r="AF10" i="3"/>
  <c r="AE10" i="3"/>
  <c r="T53" i="1" s="1"/>
  <c r="L53" i="1" s="1"/>
  <c r="AH9" i="3"/>
  <c r="T594" i="1" s="1"/>
  <c r="AG9" i="3"/>
  <c r="T502" i="1" s="1"/>
  <c r="AF9" i="3"/>
  <c r="T367" i="1" s="1"/>
  <c r="K25" i="5" s="1"/>
  <c r="AE9" i="3"/>
  <c r="T51" i="1" s="1"/>
  <c r="D22" i="5" s="1"/>
  <c r="D11" i="5"/>
  <c r="AH8" i="3"/>
  <c r="AG8" i="3"/>
  <c r="T501" i="1" s="1"/>
  <c r="AF8" i="3"/>
  <c r="T366" i="1" s="1"/>
  <c r="R16" i="5" s="1"/>
  <c r="AE8" i="3"/>
  <c r="T50" i="1" s="1"/>
  <c r="D10" i="5"/>
  <c r="AH7" i="3"/>
  <c r="AG7" i="3"/>
  <c r="T500" i="1"/>
  <c r="AF7" i="3"/>
  <c r="T365" i="1" s="1"/>
  <c r="L365" i="1" s="1"/>
  <c r="AE7" i="3"/>
  <c r="T49" i="1" s="1"/>
  <c r="L49" i="1" s="1"/>
  <c r="AH6" i="3"/>
  <c r="AG6" i="3"/>
  <c r="T499" i="1" s="1"/>
  <c r="AF6" i="3"/>
  <c r="T364" i="1" s="1"/>
  <c r="L364" i="1" s="1"/>
  <c r="AE6" i="3"/>
  <c r="T48" i="1" s="1"/>
  <c r="L48" i="1" s="1"/>
  <c r="AH5" i="3"/>
  <c r="AG5" i="3"/>
  <c r="T498" i="1" s="1"/>
  <c r="AF5" i="3"/>
  <c r="T363" i="1"/>
  <c r="L363" i="1" s="1"/>
  <c r="AE5" i="3"/>
  <c r="T47" i="1" s="1"/>
  <c r="L47" i="1" s="1"/>
  <c r="AH4" i="3"/>
  <c r="AG4" i="3"/>
  <c r="AF4" i="3"/>
  <c r="AE4" i="3"/>
  <c r="AH3" i="3"/>
  <c r="AG3" i="3"/>
  <c r="AF3" i="3"/>
  <c r="T279" i="1" s="1"/>
  <c r="AE3" i="3"/>
  <c r="AH2" i="3"/>
  <c r="T593" i="1" s="1"/>
  <c r="AG2" i="3"/>
  <c r="T497" i="1"/>
  <c r="K18" i="5"/>
  <c r="K39" i="5"/>
  <c r="R37" i="5"/>
  <c r="AF2" i="3"/>
  <c r="AE2" i="3"/>
  <c r="T46" i="1" s="1"/>
  <c r="M281" i="1"/>
  <c r="L473" i="1"/>
  <c r="L464" i="1"/>
  <c r="R850" i="1"/>
  <c r="R851" i="1"/>
  <c r="R852" i="1"/>
  <c r="Q850" i="1"/>
  <c r="Q851" i="1"/>
  <c r="Q852" i="1"/>
  <c r="S849" i="1"/>
  <c r="Q849" i="1" s="1"/>
  <c r="S848" i="1"/>
  <c r="R848" i="1" s="1"/>
  <c r="S847" i="1"/>
  <c r="Q847" i="1" s="1"/>
  <c r="S846" i="1"/>
  <c r="Q846" i="1" s="1"/>
  <c r="S845" i="1"/>
  <c r="Q845" i="1" s="1"/>
  <c r="L456" i="1"/>
  <c r="L451" i="1"/>
  <c r="L430" i="1"/>
  <c r="L423" i="1"/>
  <c r="L108" i="1"/>
  <c r="L134" i="1"/>
  <c r="T824" i="1"/>
  <c r="U829" i="1"/>
  <c r="T829" i="1"/>
  <c r="S824" i="1"/>
  <c r="S828" i="1"/>
  <c r="R828" i="1" s="1"/>
  <c r="T828" i="1"/>
  <c r="H807" i="1"/>
  <c r="Z807" i="1" s="1"/>
  <c r="H809" i="1"/>
  <c r="T813" i="1"/>
  <c r="Y822" i="1"/>
  <c r="Y823" i="1"/>
  <c r="Y824" i="1"/>
  <c r="Y826" i="1"/>
  <c r="Y827" i="1"/>
  <c r="Y828" i="1"/>
  <c r="Y829" i="1"/>
  <c r="Y830" i="1"/>
  <c r="Y821" i="1"/>
  <c r="AR1" i="7"/>
  <c r="O750" i="1"/>
  <c r="S742" i="1"/>
  <c r="Q742" i="1" s="1"/>
  <c r="C4" i="5"/>
  <c r="E4" i="5" s="1"/>
  <c r="S858" i="1"/>
  <c r="Q858" i="1" s="1"/>
  <c r="S855" i="1"/>
  <c r="Q855" i="1"/>
  <c r="H413" i="1"/>
  <c r="H416" i="1"/>
  <c r="H417" i="1"/>
  <c r="H418" i="1"/>
  <c r="H420" i="1"/>
  <c r="H421" i="1"/>
  <c r="H422" i="1"/>
  <c r="H424" i="1"/>
  <c r="H425" i="1"/>
  <c r="H427" i="1"/>
  <c r="H428" i="1"/>
  <c r="H429" i="1"/>
  <c r="H430" i="1"/>
  <c r="H461" i="1"/>
  <c r="D77" i="6" s="1"/>
  <c r="D104" i="6"/>
  <c r="H464" i="1"/>
  <c r="H472" i="1"/>
  <c r="H475" i="1"/>
  <c r="H540" i="1"/>
  <c r="J540" i="1"/>
  <c r="K540" i="1"/>
  <c r="M540" i="1"/>
  <c r="X48" i="1"/>
  <c r="X49" i="1"/>
  <c r="X51" i="1"/>
  <c r="X52" i="1"/>
  <c r="X53" i="1"/>
  <c r="X54" i="1"/>
  <c r="X55" i="1"/>
  <c r="X56" i="1"/>
  <c r="X57" i="1"/>
  <c r="X58" i="1"/>
  <c r="X59" i="1"/>
  <c r="X60" i="1"/>
  <c r="X61" i="1"/>
  <c r="X62" i="1"/>
  <c r="X63" i="1"/>
  <c r="X64" i="1"/>
  <c r="X65" i="1"/>
  <c r="X66" i="1"/>
  <c r="X67" i="1"/>
  <c r="X68" i="1"/>
  <c r="X69" i="1"/>
  <c r="X71" i="1"/>
  <c r="X74" i="1"/>
  <c r="X75" i="1"/>
  <c r="X77" i="1"/>
  <c r="X79" i="1"/>
  <c r="X80"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30" i="1"/>
  <c r="X131" i="1"/>
  <c r="X132" i="1"/>
  <c r="X133" i="1"/>
  <c r="X134" i="1"/>
  <c r="X135" i="1"/>
  <c r="X136" i="1"/>
  <c r="X137" i="1"/>
  <c r="X138" i="1"/>
  <c r="X139" i="1"/>
  <c r="X140" i="1"/>
  <c r="X141" i="1"/>
  <c r="X142" i="1"/>
  <c r="X143" i="1"/>
  <c r="X144" i="1"/>
  <c r="X145" i="1"/>
  <c r="X148" i="1"/>
  <c r="X149" i="1"/>
  <c r="X150" i="1"/>
  <c r="X151" i="1"/>
  <c r="X152" i="1"/>
  <c r="X153" i="1"/>
  <c r="X154" i="1"/>
  <c r="X155" i="1"/>
  <c r="X157" i="1"/>
  <c r="X158" i="1"/>
  <c r="X159" i="1"/>
  <c r="X160" i="1"/>
  <c r="X161" i="1"/>
  <c r="X162" i="1"/>
  <c r="X163" i="1"/>
  <c r="X164" i="1"/>
  <c r="X165" i="1"/>
  <c r="X166" i="1"/>
  <c r="X167" i="1"/>
  <c r="X169" i="1"/>
  <c r="X170" i="1"/>
  <c r="X172" i="1"/>
  <c r="X173" i="1"/>
  <c r="X174" i="1"/>
  <c r="X175" i="1"/>
  <c r="X176" i="1"/>
  <c r="X177" i="1"/>
  <c r="X178" i="1"/>
  <c r="X179" i="1"/>
  <c r="X180" i="1"/>
  <c r="X181" i="1"/>
  <c r="X182" i="1"/>
  <c r="X183" i="1"/>
  <c r="X185" i="1"/>
  <c r="X186" i="1"/>
  <c r="X187" i="1"/>
  <c r="X188" i="1"/>
  <c r="X189" i="1"/>
  <c r="X190" i="1"/>
  <c r="X194" i="1"/>
  <c r="X195" i="1"/>
  <c r="X196" i="1"/>
  <c r="X197" i="1"/>
  <c r="X198" i="1"/>
  <c r="X199" i="1"/>
  <c r="X200" i="1"/>
  <c r="X201" i="1"/>
  <c r="X202" i="1"/>
  <c r="X203" i="1"/>
  <c r="X204" i="1"/>
  <c r="X206" i="1"/>
  <c r="X207" i="1"/>
  <c r="X208" i="1"/>
  <c r="X209" i="1"/>
  <c r="X210" i="1"/>
  <c r="X211" i="1"/>
  <c r="X212" i="1"/>
  <c r="X213" i="1"/>
  <c r="X214" i="1"/>
  <c r="X215" i="1"/>
  <c r="X216" i="1"/>
  <c r="X217" i="1"/>
  <c r="X218" i="1"/>
  <c r="X219" i="1"/>
  <c r="X220" i="1"/>
  <c r="X222" i="1"/>
  <c r="X223" i="1"/>
  <c r="X224" i="1"/>
  <c r="X225" i="1"/>
  <c r="X226" i="1"/>
  <c r="X227" i="1"/>
  <c r="X228" i="1"/>
  <c r="X229" i="1"/>
  <c r="X230" i="1"/>
  <c r="X231" i="1"/>
  <c r="X232" i="1"/>
  <c r="X234" i="1"/>
  <c r="X235" i="1"/>
  <c r="X236" i="1"/>
  <c r="X237" i="1"/>
  <c r="X239" i="1"/>
  <c r="X240" i="1"/>
  <c r="X241" i="1"/>
  <c r="X252" i="1"/>
  <c r="X253" i="1"/>
  <c r="X254" i="1"/>
  <c r="X255" i="1"/>
  <c r="X256" i="1"/>
  <c r="X257" i="1"/>
  <c r="X259" i="1"/>
  <c r="X260" i="1"/>
  <c r="X262" i="1"/>
  <c r="X264" i="1"/>
  <c r="X265" i="1"/>
  <c r="X269" i="1"/>
  <c r="X270" i="1"/>
  <c r="X271" i="1"/>
  <c r="X272" i="1"/>
  <c r="X273" i="1"/>
  <c r="X274" i="1"/>
  <c r="X275" i="1"/>
  <c r="X276" i="1"/>
  <c r="X277" i="1"/>
  <c r="X278" i="1"/>
  <c r="X279" i="1"/>
  <c r="X280"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60" i="1"/>
  <c r="X361" i="1"/>
  <c r="X362" i="1"/>
  <c r="X363" i="1"/>
  <c r="X364" i="1"/>
  <c r="X365" i="1"/>
  <c r="X366" i="1"/>
  <c r="X367" i="1"/>
  <c r="X368" i="1"/>
  <c r="X369" i="1"/>
  <c r="X370" i="1"/>
  <c r="X371" i="1"/>
  <c r="X372" i="1"/>
  <c r="X373" i="1"/>
  <c r="X374" i="1"/>
  <c r="X375" i="1"/>
  <c r="X376" i="1"/>
  <c r="X377" i="1"/>
  <c r="X378" i="1"/>
  <c r="X379" i="1"/>
  <c r="X380" i="1"/>
  <c r="X381" i="1"/>
  <c r="X382" i="1"/>
  <c r="X383" i="1"/>
  <c r="X411" i="1"/>
  <c r="X412" i="1"/>
  <c r="X448" i="1"/>
  <c r="X449" i="1"/>
  <c r="X450" i="1"/>
  <c r="X451" i="1"/>
  <c r="X452" i="1"/>
  <c r="X453" i="1"/>
  <c r="X454" i="1"/>
  <c r="X455" i="1"/>
  <c r="X456" i="1"/>
  <c r="X457" i="1"/>
  <c r="X458" i="1"/>
  <c r="X459"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7" i="1"/>
  <c r="W227" i="1"/>
  <c r="W228" i="1"/>
  <c r="W229" i="1"/>
  <c r="W230" i="1"/>
  <c r="W253" i="1"/>
  <c r="W254" i="1"/>
  <c r="W255" i="1"/>
  <c r="W256" i="1"/>
  <c r="W275" i="1"/>
  <c r="W276" i="1"/>
  <c r="W277" i="1"/>
  <c r="W278" i="1"/>
  <c r="W358" i="1"/>
  <c r="W360" i="1"/>
  <c r="W361" i="1"/>
  <c r="W488" i="1"/>
  <c r="W489" i="1"/>
  <c r="W490" i="1"/>
  <c r="W491" i="1"/>
  <c r="W493" i="1"/>
  <c r="W494" i="1"/>
  <c r="AB3" i="8"/>
  <c r="AB1" i="8"/>
  <c r="AZ37" i="7"/>
  <c r="O492" i="1"/>
  <c r="W492" i="1" s="1"/>
  <c r="R254" i="1"/>
  <c r="R255" i="1"/>
  <c r="R256" i="1"/>
  <c r="R277" i="1"/>
  <c r="R278" i="1"/>
  <c r="R494" i="1"/>
  <c r="R495" i="1"/>
  <c r="R496" i="1"/>
  <c r="R591" i="1"/>
  <c r="R592" i="1"/>
  <c r="R608" i="1"/>
  <c r="R609" i="1"/>
  <c r="R610" i="1"/>
  <c r="R622" i="1"/>
  <c r="R623" i="1"/>
  <c r="R624" i="1"/>
  <c r="R647" i="1"/>
  <c r="R648" i="1"/>
  <c r="R649" i="1"/>
  <c r="R658" i="1"/>
  <c r="R659" i="1"/>
  <c r="R660" i="1"/>
  <c r="R688" i="1"/>
  <c r="R689" i="1"/>
  <c r="R697" i="1"/>
  <c r="R698" i="1"/>
  <c r="R699" i="1"/>
  <c r="R753" i="1"/>
  <c r="R754" i="1"/>
  <c r="R794" i="1"/>
  <c r="R795" i="1"/>
  <c r="R796" i="1"/>
  <c r="R803" i="1"/>
  <c r="R804" i="1"/>
  <c r="R805" i="1"/>
  <c r="R816" i="1"/>
  <c r="R818" i="1"/>
  <c r="R819" i="1"/>
  <c r="R859" i="1"/>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F4" i="5"/>
  <c r="B4" i="6"/>
  <c r="B5" i="6"/>
  <c r="B6" i="6"/>
  <c r="B7" i="6"/>
  <c r="B8" i="6"/>
  <c r="B9" i="6"/>
  <c r="B10" i="6"/>
  <c r="B11" i="6"/>
  <c r="B12" i="6"/>
  <c r="B13" i="6"/>
  <c r="B14" i="6"/>
  <c r="B15" i="6"/>
  <c r="B16" i="6"/>
  <c r="B17"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2" i="6"/>
  <c r="B53" i="6"/>
  <c r="B54" i="6"/>
  <c r="B55" i="6"/>
  <c r="B56" i="6"/>
  <c r="B57" i="6"/>
  <c r="B58" i="6"/>
  <c r="B59" i="6"/>
  <c r="B60" i="6"/>
  <c r="B61" i="6"/>
  <c r="B62" i="6"/>
  <c r="B63" i="6"/>
  <c r="B64" i="6"/>
  <c r="B65" i="6"/>
  <c r="B66" i="6"/>
  <c r="B67" i="6"/>
  <c r="B68" i="6"/>
  <c r="B69" i="6"/>
  <c r="B70" i="6"/>
  <c r="B71" i="6"/>
  <c r="B72" i="6"/>
  <c r="B73" i="6"/>
  <c r="B74" i="6"/>
  <c r="B75" i="6"/>
  <c r="B76" i="6"/>
  <c r="B77" i="6"/>
  <c r="B78" i="6"/>
  <c r="M34" i="5"/>
  <c r="J34" i="5"/>
  <c r="L34" i="5" s="1"/>
  <c r="M33" i="5"/>
  <c r="J33" i="5"/>
  <c r="L33" i="5" s="1"/>
  <c r="M32" i="5"/>
  <c r="J32" i="5"/>
  <c r="L32" i="5" s="1"/>
  <c r="M31" i="5"/>
  <c r="J31" i="5"/>
  <c r="L31" i="5" s="1"/>
  <c r="M30" i="5"/>
  <c r="J30" i="5"/>
  <c r="L30" i="5" s="1"/>
  <c r="M29" i="5"/>
  <c r="J29" i="5"/>
  <c r="L29" i="5" s="1"/>
  <c r="M28" i="5"/>
  <c r="J28" i="5"/>
  <c r="L28" i="5" s="1"/>
  <c r="M27" i="5"/>
  <c r="J27" i="5"/>
  <c r="L27" i="5" s="1"/>
  <c r="M26" i="5"/>
  <c r="J26" i="5"/>
  <c r="L26" i="5" s="1"/>
  <c r="M25" i="5"/>
  <c r="J25" i="5"/>
  <c r="L25" i="5" s="1"/>
  <c r="M24" i="5"/>
  <c r="J24" i="5"/>
  <c r="L24" i="5" s="1"/>
  <c r="M23" i="5"/>
  <c r="J23" i="5"/>
  <c r="L23" i="5" s="1"/>
  <c r="M22" i="5"/>
  <c r="J22" i="5"/>
  <c r="L22" i="5" s="1"/>
  <c r="M21" i="5"/>
  <c r="J21" i="5"/>
  <c r="L21" i="5" s="1"/>
  <c r="M20" i="5"/>
  <c r="J20" i="5"/>
  <c r="L20" i="5" s="1"/>
  <c r="F34" i="5"/>
  <c r="C34" i="5"/>
  <c r="E34" i="5" s="1"/>
  <c r="F33" i="5"/>
  <c r="C33" i="5"/>
  <c r="E33" i="5" s="1"/>
  <c r="F32" i="5"/>
  <c r="C32" i="5"/>
  <c r="E32" i="5" s="1"/>
  <c r="F31" i="5"/>
  <c r="C31" i="5"/>
  <c r="E31" i="5" s="1"/>
  <c r="F30" i="5"/>
  <c r="C30" i="5"/>
  <c r="E30" i="5" s="1"/>
  <c r="F29" i="5"/>
  <c r="C29" i="5"/>
  <c r="E29" i="5" s="1"/>
  <c r="F28" i="5"/>
  <c r="C28" i="5"/>
  <c r="E28" i="5" s="1"/>
  <c r="F27" i="5"/>
  <c r="C27" i="5"/>
  <c r="E27" i="5" s="1"/>
  <c r="F26" i="5"/>
  <c r="C26" i="5"/>
  <c r="E26" i="5" s="1"/>
  <c r="F25" i="5"/>
  <c r="C25" i="5"/>
  <c r="E25" i="5" s="1"/>
  <c r="F24" i="5"/>
  <c r="C24" i="5"/>
  <c r="E24" i="5" s="1"/>
  <c r="F23" i="5"/>
  <c r="C23" i="5"/>
  <c r="E23" i="5" s="1"/>
  <c r="F22" i="5"/>
  <c r="C22" i="5"/>
  <c r="E22" i="5" s="1"/>
  <c r="F21" i="5"/>
  <c r="C21" i="5"/>
  <c r="E21" i="5" s="1"/>
  <c r="F20" i="5"/>
  <c r="C20" i="5"/>
  <c r="E20" i="5" s="1"/>
  <c r="T18" i="5"/>
  <c r="Q18" i="5"/>
  <c r="S18" i="5" s="1"/>
  <c r="T17" i="5"/>
  <c r="Q17" i="5"/>
  <c r="S17" i="5" s="1"/>
  <c r="T16" i="5"/>
  <c r="Q16" i="5"/>
  <c r="S16" i="5" s="1"/>
  <c r="T15" i="5"/>
  <c r="Q15" i="5"/>
  <c r="S15" i="5" s="1"/>
  <c r="T14" i="5"/>
  <c r="Q14" i="5"/>
  <c r="S14" i="5" s="1"/>
  <c r="T13" i="5"/>
  <c r="Q13" i="5"/>
  <c r="S13" i="5" s="1"/>
  <c r="T12" i="5"/>
  <c r="Q12" i="5"/>
  <c r="S12" i="5" s="1"/>
  <c r="T11" i="5"/>
  <c r="Q11" i="5"/>
  <c r="S11" i="5" s="1"/>
  <c r="T10" i="5"/>
  <c r="Q10" i="5"/>
  <c r="S10" i="5" s="1"/>
  <c r="T9" i="5"/>
  <c r="Q9" i="5"/>
  <c r="S9" i="5" s="1"/>
  <c r="T8" i="5"/>
  <c r="Q8" i="5"/>
  <c r="S8" i="5" s="1"/>
  <c r="T7" i="5"/>
  <c r="Q7" i="5"/>
  <c r="S7" i="5" s="1"/>
  <c r="T6" i="5"/>
  <c r="Q6" i="5"/>
  <c r="S6" i="5" s="1"/>
  <c r="T5" i="5"/>
  <c r="Q5" i="5"/>
  <c r="S5" i="5" s="1"/>
  <c r="T4" i="5"/>
  <c r="Q4" i="5"/>
  <c r="S4" i="5" s="1"/>
  <c r="M18" i="5"/>
  <c r="J18" i="5"/>
  <c r="L18" i="5" s="1"/>
  <c r="M17" i="5"/>
  <c r="J17" i="5"/>
  <c r="L17" i="5" s="1"/>
  <c r="M16" i="5"/>
  <c r="J16" i="5"/>
  <c r="L16" i="5" s="1"/>
  <c r="M15" i="5"/>
  <c r="J15" i="5"/>
  <c r="L15" i="5" s="1"/>
  <c r="M14" i="5"/>
  <c r="J14" i="5"/>
  <c r="L14" i="5" s="1"/>
  <c r="M13" i="5"/>
  <c r="J13" i="5"/>
  <c r="L13" i="5" s="1"/>
  <c r="M12" i="5"/>
  <c r="J12" i="5"/>
  <c r="L12" i="5" s="1"/>
  <c r="M11" i="5"/>
  <c r="J11" i="5"/>
  <c r="L11" i="5" s="1"/>
  <c r="M10" i="5"/>
  <c r="J10" i="5"/>
  <c r="L10" i="5" s="1"/>
  <c r="M9" i="5"/>
  <c r="J9" i="5"/>
  <c r="L9" i="5" s="1"/>
  <c r="M8" i="5"/>
  <c r="J8" i="5"/>
  <c r="L8" i="5" s="1"/>
  <c r="M7" i="5"/>
  <c r="J7" i="5"/>
  <c r="L7" i="5" s="1"/>
  <c r="M6" i="5"/>
  <c r="J6" i="5"/>
  <c r="L6" i="5" s="1"/>
  <c r="M5" i="5"/>
  <c r="J5" i="5"/>
  <c r="L5" i="5" s="1"/>
  <c r="M4" i="5"/>
  <c r="J4" i="5"/>
  <c r="L4" i="5" s="1"/>
  <c r="C5" i="5"/>
  <c r="E5" i="5" s="1"/>
  <c r="F5" i="5"/>
  <c r="C6" i="5"/>
  <c r="E6" i="5" s="1"/>
  <c r="F6" i="5"/>
  <c r="C7" i="5"/>
  <c r="E7" i="5" s="1"/>
  <c r="F7" i="5"/>
  <c r="C8" i="5"/>
  <c r="E8" i="5" s="1"/>
  <c r="F8" i="5"/>
  <c r="C9" i="5"/>
  <c r="E9" i="5" s="1"/>
  <c r="F9" i="5"/>
  <c r="C10" i="5"/>
  <c r="E10" i="5" s="1"/>
  <c r="F10" i="5"/>
  <c r="C11" i="5"/>
  <c r="E11" i="5" s="1"/>
  <c r="F11" i="5"/>
  <c r="C12" i="5"/>
  <c r="E12" i="5" s="1"/>
  <c r="F12" i="5"/>
  <c r="C13" i="5"/>
  <c r="E13" i="5" s="1"/>
  <c r="F13" i="5"/>
  <c r="C14" i="5"/>
  <c r="E14" i="5" s="1"/>
  <c r="F14" i="5"/>
  <c r="C15" i="5"/>
  <c r="E15" i="5" s="1"/>
  <c r="F15" i="5"/>
  <c r="C16" i="5"/>
  <c r="E16" i="5" s="1"/>
  <c r="F16" i="5"/>
  <c r="C17" i="5"/>
  <c r="E17" i="5" s="1"/>
  <c r="F17" i="5"/>
  <c r="C18" i="5"/>
  <c r="E18" i="5" s="1"/>
  <c r="F18" i="5"/>
  <c r="Q255" i="1"/>
  <c r="Q256" i="1"/>
  <c r="Q277" i="1"/>
  <c r="Q278" i="1"/>
  <c r="Q494" i="1"/>
  <c r="Q495" i="1"/>
  <c r="Q496" i="1"/>
  <c r="Q591" i="1"/>
  <c r="Q592" i="1"/>
  <c r="Q608" i="1"/>
  <c r="Q609" i="1"/>
  <c r="Q610" i="1"/>
  <c r="Q622" i="1"/>
  <c r="Q623" i="1"/>
  <c r="Q624" i="1"/>
  <c r="Q647" i="1"/>
  <c r="Q648" i="1"/>
  <c r="Q649" i="1"/>
  <c r="Q658" i="1"/>
  <c r="Q659" i="1"/>
  <c r="Q660" i="1"/>
  <c r="M389" i="1"/>
  <c r="M391" i="1"/>
  <c r="M378" i="1"/>
  <c r="B1" i="2"/>
  <c r="K347" i="1"/>
  <c r="K348" i="1"/>
  <c r="K349" i="1"/>
  <c r="K350" i="1"/>
  <c r="K351" i="1"/>
  <c r="K352" i="1"/>
  <c r="K353" i="1"/>
  <c r="J269" i="1"/>
  <c r="K399" i="1"/>
  <c r="K400" i="1"/>
  <c r="K401" i="1"/>
  <c r="K403" i="1"/>
  <c r="K404" i="1"/>
  <c r="K405" i="1"/>
  <c r="K406" i="1"/>
  <c r="K407" i="1"/>
  <c r="K408" i="1"/>
  <c r="K409" i="1"/>
  <c r="O707"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40" i="1"/>
  <c r="M741" i="1"/>
  <c r="M742" i="1"/>
  <c r="M743" i="1"/>
  <c r="O705" i="1"/>
  <c r="O706" i="1"/>
  <c r="O708" i="1"/>
  <c r="O709" i="1"/>
  <c r="J293" i="1"/>
  <c r="J294" i="1"/>
  <c r="J295" i="1"/>
  <c r="J476" i="1"/>
  <c r="J477" i="1"/>
  <c r="O652" i="1"/>
  <c r="J707" i="1"/>
  <c r="J669" i="1"/>
  <c r="J662" i="1"/>
  <c r="J663" i="1"/>
  <c r="J664" i="1"/>
  <c r="J665" i="1"/>
  <c r="J668" i="1"/>
  <c r="K588" i="1"/>
  <c r="J588" i="1"/>
  <c r="K587" i="1"/>
  <c r="J587" i="1"/>
  <c r="K586" i="1"/>
  <c r="J586" i="1"/>
  <c r="K585" i="1"/>
  <c r="J585" i="1"/>
  <c r="K584" i="1"/>
  <c r="J584" i="1"/>
  <c r="K583" i="1"/>
  <c r="J583" i="1"/>
  <c r="K582" i="1"/>
  <c r="J582" i="1"/>
  <c r="K581" i="1"/>
  <c r="J581" i="1"/>
  <c r="K580" i="1"/>
  <c r="J580" i="1"/>
  <c r="K578" i="1"/>
  <c r="K577" i="1"/>
  <c r="K574" i="1"/>
  <c r="J574" i="1"/>
  <c r="K573" i="1"/>
  <c r="J573" i="1"/>
  <c r="K572" i="1"/>
  <c r="J572" i="1"/>
  <c r="K571" i="1"/>
  <c r="J571" i="1"/>
  <c r="K570" i="1"/>
  <c r="J570" i="1"/>
  <c r="K569" i="1"/>
  <c r="J569" i="1"/>
  <c r="K568" i="1"/>
  <c r="J568" i="1"/>
  <c r="K567" i="1"/>
  <c r="J567" i="1"/>
  <c r="K566" i="1"/>
  <c r="J566" i="1"/>
  <c r="K565" i="1"/>
  <c r="J565" i="1"/>
  <c r="K564" i="1"/>
  <c r="J564" i="1"/>
  <c r="K562" i="1"/>
  <c r="J562" i="1"/>
  <c r="K561" i="1"/>
  <c r="J561" i="1"/>
  <c r="K553" i="1"/>
  <c r="J553" i="1"/>
  <c r="K552" i="1"/>
  <c r="K551" i="1"/>
  <c r="K550" i="1"/>
  <c r="K549" i="1"/>
  <c r="K548" i="1"/>
  <c r="K547" i="1"/>
  <c r="K546" i="1"/>
  <c r="J546" i="1"/>
  <c r="K544" i="1"/>
  <c r="J544" i="1"/>
  <c r="K543" i="1"/>
  <c r="J543" i="1"/>
  <c r="K542" i="1"/>
  <c r="J542" i="1"/>
  <c r="K541" i="1"/>
  <c r="J541" i="1"/>
  <c r="K539" i="1"/>
  <c r="J539" i="1"/>
  <c r="K538" i="1"/>
  <c r="J538" i="1"/>
  <c r="K537" i="1"/>
  <c r="J537" i="1"/>
  <c r="K535" i="1"/>
  <c r="J535" i="1"/>
  <c r="J534" i="1"/>
  <c r="J528" i="1"/>
  <c r="J523" i="1"/>
  <c r="J522" i="1"/>
  <c r="J521" i="1"/>
  <c r="J520" i="1"/>
  <c r="J519" i="1"/>
  <c r="J509" i="1"/>
  <c r="K497" i="1"/>
  <c r="J497" i="1"/>
  <c r="K500" i="1"/>
  <c r="J500" i="1"/>
  <c r="K492" i="1"/>
  <c r="J492" i="1"/>
  <c r="K86" i="1"/>
  <c r="Q24" i="1"/>
  <c r="Q26" i="1"/>
  <c r="Q44" i="1"/>
  <c r="Q688" i="1"/>
  <c r="Q689" i="1"/>
  <c r="Q697" i="1"/>
  <c r="Q698" i="1"/>
  <c r="Q699" i="1"/>
  <c r="Q753" i="1"/>
  <c r="Q754" i="1"/>
  <c r="Q794" i="1"/>
  <c r="Q795" i="1"/>
  <c r="Q796" i="1"/>
  <c r="Q803" i="1"/>
  <c r="Q804" i="1"/>
  <c r="Q805" i="1"/>
  <c r="Q816" i="1"/>
  <c r="Q818" i="1"/>
  <c r="Q819" i="1"/>
  <c r="K482" i="1"/>
  <c r="K483" i="1"/>
  <c r="K484" i="1"/>
  <c r="K485" i="1"/>
  <c r="K293" i="1"/>
  <c r="K294" i="1"/>
  <c r="K295" i="1"/>
  <c r="K296" i="1"/>
  <c r="K298" i="1"/>
  <c r="K300" i="1"/>
  <c r="K301" i="1"/>
  <c r="J296" i="1"/>
  <c r="J298" i="1"/>
  <c r="J300" i="1"/>
  <c r="J301" i="1"/>
  <c r="H293" i="1"/>
  <c r="H294" i="1"/>
  <c r="H295" i="1"/>
  <c r="H296" i="1"/>
  <c r="H298" i="1"/>
  <c r="H300" i="1"/>
  <c r="H301" i="1"/>
  <c r="H304" i="1"/>
  <c r="D54" i="6"/>
  <c r="K481" i="1"/>
  <c r="J811" i="1"/>
  <c r="J813" i="1"/>
  <c r="J814" i="1"/>
  <c r="K463" i="1"/>
  <c r="J706" i="1"/>
  <c r="J708" i="1"/>
  <c r="S707" i="1"/>
  <c r="R707" i="1" s="1"/>
  <c r="S708" i="1"/>
  <c r="J705" i="1"/>
  <c r="J111" i="1"/>
  <c r="H111" i="1"/>
  <c r="H509" i="1"/>
  <c r="T231" i="1"/>
  <c r="T239" i="1"/>
  <c r="L239" i="1" s="1"/>
  <c r="T257" i="1"/>
  <c r="T259" i="1"/>
  <c r="T274" i="1"/>
  <c r="T814" i="1"/>
  <c r="N1" i="1"/>
  <c r="M569" i="1"/>
  <c r="M561" i="1"/>
  <c r="H561" i="1"/>
  <c r="H562" i="1"/>
  <c r="H564" i="1"/>
  <c r="H565" i="1"/>
  <c r="H566" i="1"/>
  <c r="H567" i="1"/>
  <c r="H568" i="1"/>
  <c r="H570" i="1"/>
  <c r="H571" i="1"/>
  <c r="H572" i="1"/>
  <c r="J241" i="1"/>
  <c r="J244" i="1"/>
  <c r="J232" i="1"/>
  <c r="J211" i="1"/>
  <c r="J212" i="1"/>
  <c r="J55" i="1"/>
  <c r="J80" i="1"/>
  <c r="J81" i="1"/>
  <c r="J82" i="1"/>
  <c r="J83" i="1"/>
  <c r="J84" i="1"/>
  <c r="J85" i="1"/>
  <c r="J86" i="1"/>
  <c r="L777" i="1"/>
  <c r="S750" i="1"/>
  <c r="Q750" i="1" s="1"/>
  <c r="H292" i="1"/>
  <c r="D47" i="6"/>
  <c r="D58" i="6"/>
  <c r="E58" i="6" s="1"/>
  <c r="F58" i="6" s="1"/>
  <c r="S705" i="1"/>
  <c r="Q705" i="1" s="1"/>
  <c r="A831" i="1"/>
  <c r="S831" i="1"/>
  <c r="A793" i="1"/>
  <c r="S793" i="1" s="1"/>
  <c r="Q793" i="1" s="1"/>
  <c r="S654" i="1"/>
  <c r="Q654" i="1"/>
  <c r="M381" i="1"/>
  <c r="A670" i="1"/>
  <c r="S670" i="1"/>
  <c r="S830" i="1"/>
  <c r="R830" i="1" s="1"/>
  <c r="H473" i="1"/>
  <c r="K473" i="1"/>
  <c r="J756" i="1"/>
  <c r="O653" i="1"/>
  <c r="O654" i="1"/>
  <c r="O655" i="1"/>
  <c r="O656" i="1"/>
  <c r="S667" i="1"/>
  <c r="Q667" i="1" s="1"/>
  <c r="O667" i="1"/>
  <c r="H814" i="1"/>
  <c r="K814" i="1"/>
  <c r="L814" i="1"/>
  <c r="M814" i="1"/>
  <c r="O625" i="1"/>
  <c r="S15" i="1"/>
  <c r="Q15" i="1" s="1"/>
  <c r="S19" i="1"/>
  <c r="S17" i="1"/>
  <c r="Q17" i="1" s="1"/>
  <c r="M497" i="1"/>
  <c r="H500" i="1"/>
  <c r="M500" i="1"/>
  <c r="H501" i="1"/>
  <c r="M501" i="1"/>
  <c r="H502" i="1"/>
  <c r="M502" i="1"/>
  <c r="M505" i="1"/>
  <c r="M506" i="1"/>
  <c r="C1" i="2"/>
  <c r="K811" i="1"/>
  <c r="M810" i="1"/>
  <c r="K810" i="1"/>
  <c r="J810" i="1"/>
  <c r="M809" i="1"/>
  <c r="K809" i="1"/>
  <c r="J809" i="1"/>
  <c r="M808" i="1"/>
  <c r="K808" i="1"/>
  <c r="J808" i="1"/>
  <c r="H808" i="1"/>
  <c r="M807" i="1"/>
  <c r="K807" i="1"/>
  <c r="J807" i="1"/>
  <c r="O806" i="1"/>
  <c r="M806" i="1"/>
  <c r="K806" i="1"/>
  <c r="J806" i="1"/>
  <c r="O801" i="1"/>
  <c r="M801" i="1"/>
  <c r="L801" i="1"/>
  <c r="K801" i="1"/>
  <c r="J801" i="1"/>
  <c r="O800" i="1"/>
  <c r="M800" i="1"/>
  <c r="L800" i="1"/>
  <c r="K800" i="1"/>
  <c r="J800" i="1"/>
  <c r="O799" i="1"/>
  <c r="M799" i="1"/>
  <c r="L799" i="1"/>
  <c r="K799" i="1"/>
  <c r="J799" i="1"/>
  <c r="O798" i="1"/>
  <c r="M798" i="1"/>
  <c r="L798" i="1"/>
  <c r="K798" i="1"/>
  <c r="J798" i="1"/>
  <c r="O797" i="1"/>
  <c r="M797" i="1"/>
  <c r="L797" i="1"/>
  <c r="K797" i="1"/>
  <c r="J797" i="1"/>
  <c r="O792" i="1"/>
  <c r="M792" i="1"/>
  <c r="L792" i="1"/>
  <c r="K792" i="1"/>
  <c r="J792" i="1"/>
  <c r="O791" i="1"/>
  <c r="M791" i="1"/>
  <c r="L791" i="1"/>
  <c r="K791" i="1"/>
  <c r="J791" i="1"/>
  <c r="O790" i="1"/>
  <c r="M790" i="1"/>
  <c r="L790" i="1"/>
  <c r="K790" i="1"/>
  <c r="J790" i="1"/>
  <c r="O789" i="1"/>
  <c r="M789" i="1"/>
  <c r="L789" i="1"/>
  <c r="K789" i="1"/>
  <c r="J789" i="1"/>
  <c r="O788" i="1"/>
  <c r="M788" i="1"/>
  <c r="L788" i="1"/>
  <c r="K788" i="1"/>
  <c r="J788" i="1"/>
  <c r="O787" i="1"/>
  <c r="M787" i="1"/>
  <c r="L787" i="1"/>
  <c r="K787" i="1"/>
  <c r="J787" i="1"/>
  <c r="O786" i="1"/>
  <c r="M786" i="1"/>
  <c r="L786" i="1"/>
  <c r="K786" i="1"/>
  <c r="J786" i="1"/>
  <c r="M785" i="1"/>
  <c r="L785" i="1"/>
  <c r="K785" i="1"/>
  <c r="J785" i="1"/>
  <c r="M784" i="1"/>
  <c r="L784" i="1"/>
  <c r="K784" i="1"/>
  <c r="J784" i="1"/>
  <c r="M783" i="1"/>
  <c r="L783" i="1"/>
  <c r="K783" i="1"/>
  <c r="J783" i="1"/>
  <c r="M782" i="1"/>
  <c r="L782" i="1"/>
  <c r="K782" i="1"/>
  <c r="J782" i="1"/>
  <c r="M781" i="1"/>
  <c r="L781" i="1"/>
  <c r="K781" i="1"/>
  <c r="J781" i="1"/>
  <c r="M780" i="1"/>
  <c r="L780" i="1"/>
  <c r="K780" i="1"/>
  <c r="J780" i="1"/>
  <c r="M779" i="1"/>
  <c r="M778" i="1"/>
  <c r="L778" i="1"/>
  <c r="K778" i="1"/>
  <c r="J778" i="1"/>
  <c r="M777" i="1"/>
  <c r="M776" i="1"/>
  <c r="L776" i="1"/>
  <c r="M775" i="1"/>
  <c r="L775" i="1"/>
  <c r="M774" i="1"/>
  <c r="L774" i="1"/>
  <c r="M773" i="1"/>
  <c r="L773" i="1"/>
  <c r="M772" i="1"/>
  <c r="L772" i="1"/>
  <c r="M771" i="1"/>
  <c r="L771" i="1"/>
  <c r="M770" i="1"/>
  <c r="L770" i="1"/>
  <c r="M769" i="1"/>
  <c r="L769" i="1"/>
  <c r="M768" i="1"/>
  <c r="L768" i="1"/>
  <c r="M767" i="1"/>
  <c r="L767" i="1"/>
  <c r="M766" i="1"/>
  <c r="L766" i="1"/>
  <c r="M765" i="1"/>
  <c r="L765" i="1"/>
  <c r="M764" i="1"/>
  <c r="L764" i="1"/>
  <c r="M763" i="1"/>
  <c r="M762" i="1"/>
  <c r="L762" i="1"/>
  <c r="M761" i="1"/>
  <c r="L761" i="1"/>
  <c r="M760" i="1"/>
  <c r="L760" i="1"/>
  <c r="M759" i="1"/>
  <c r="L759" i="1"/>
  <c r="M758" i="1"/>
  <c r="L758" i="1"/>
  <c r="M757" i="1"/>
  <c r="L757" i="1"/>
  <c r="M756" i="1"/>
  <c r="L756" i="1"/>
  <c r="M755" i="1"/>
  <c r="O703" i="1"/>
  <c r="M703" i="1"/>
  <c r="K703" i="1"/>
  <c r="J703" i="1"/>
  <c r="M749" i="1"/>
  <c r="M748" i="1"/>
  <c r="M746" i="1"/>
  <c r="M745" i="1"/>
  <c r="M744" i="1"/>
  <c r="O742" i="1"/>
  <c r="K742" i="1"/>
  <c r="O741" i="1"/>
  <c r="K741" i="1"/>
  <c r="O740" i="1"/>
  <c r="K740" i="1"/>
  <c r="O738" i="1"/>
  <c r="K738" i="1"/>
  <c r="O737" i="1"/>
  <c r="K737" i="1"/>
  <c r="O736" i="1"/>
  <c r="K736" i="1"/>
  <c r="O735" i="1"/>
  <c r="K735" i="1"/>
  <c r="O734" i="1"/>
  <c r="K734" i="1"/>
  <c r="O733" i="1"/>
  <c r="K733" i="1"/>
  <c r="O732" i="1"/>
  <c r="K732" i="1"/>
  <c r="O731" i="1"/>
  <c r="K731" i="1"/>
  <c r="O730" i="1"/>
  <c r="K730" i="1"/>
  <c r="O729" i="1"/>
  <c r="K729" i="1"/>
  <c r="O728" i="1"/>
  <c r="O727" i="1"/>
  <c r="O726" i="1"/>
  <c r="O725" i="1"/>
  <c r="O724" i="1"/>
  <c r="K724" i="1"/>
  <c r="J724" i="1"/>
  <c r="O723" i="1"/>
  <c r="K723" i="1"/>
  <c r="O722" i="1"/>
  <c r="K722" i="1"/>
  <c r="O721" i="1"/>
  <c r="K721" i="1"/>
  <c r="J721" i="1"/>
  <c r="O720" i="1"/>
  <c r="K720" i="1"/>
  <c r="J720" i="1"/>
  <c r="O719" i="1"/>
  <c r="K719" i="1"/>
  <c r="J719" i="1"/>
  <c r="O718" i="1"/>
  <c r="K718" i="1"/>
  <c r="J718" i="1"/>
  <c r="O717" i="1"/>
  <c r="K717" i="1"/>
  <c r="J717" i="1"/>
  <c r="O716" i="1"/>
  <c r="K716" i="1"/>
  <c r="J716" i="1"/>
  <c r="O715" i="1"/>
  <c r="K715" i="1"/>
  <c r="J715" i="1"/>
  <c r="O714" i="1"/>
  <c r="K714" i="1"/>
  <c r="O713" i="1"/>
  <c r="K713" i="1"/>
  <c r="O712" i="1"/>
  <c r="M712" i="1"/>
  <c r="K712" i="1"/>
  <c r="J712" i="1"/>
  <c r="O711" i="1"/>
  <c r="M711" i="1"/>
  <c r="K711" i="1"/>
  <c r="J711" i="1"/>
  <c r="O710" i="1"/>
  <c r="M710" i="1"/>
  <c r="K710" i="1"/>
  <c r="J710" i="1"/>
  <c r="M709" i="1"/>
  <c r="K709" i="1"/>
  <c r="J709" i="1"/>
  <c r="M708" i="1"/>
  <c r="K708" i="1"/>
  <c r="M706" i="1"/>
  <c r="O704" i="1"/>
  <c r="M704" i="1"/>
  <c r="K704" i="1"/>
  <c r="J704" i="1"/>
  <c r="O702" i="1"/>
  <c r="M702" i="1"/>
  <c r="K702" i="1"/>
  <c r="J702" i="1"/>
  <c r="O701" i="1"/>
  <c r="M701" i="1"/>
  <c r="K701" i="1"/>
  <c r="J701" i="1"/>
  <c r="M700" i="1"/>
  <c r="J700" i="1"/>
  <c r="M695" i="1"/>
  <c r="K695" i="1"/>
  <c r="J695" i="1"/>
  <c r="M694" i="1"/>
  <c r="J694" i="1"/>
  <c r="M693" i="1"/>
  <c r="M692" i="1"/>
  <c r="M691" i="1"/>
  <c r="O690" i="1"/>
  <c r="M690" i="1"/>
  <c r="O669" i="1"/>
  <c r="M669" i="1"/>
  <c r="O668" i="1"/>
  <c r="M668" i="1"/>
  <c r="O665" i="1"/>
  <c r="M665" i="1"/>
  <c r="O664" i="1"/>
  <c r="M664" i="1"/>
  <c r="K664" i="1"/>
  <c r="O663" i="1"/>
  <c r="M663" i="1"/>
  <c r="K663" i="1"/>
  <c r="O662" i="1"/>
  <c r="M662" i="1"/>
  <c r="K662" i="1"/>
  <c r="O661" i="1"/>
  <c r="M661" i="1"/>
  <c r="K661" i="1"/>
  <c r="O651" i="1"/>
  <c r="O650" i="1"/>
  <c r="O629" i="1"/>
  <c r="Z629" i="1" s="1"/>
  <c r="O636" i="1"/>
  <c r="Z636" i="1" s="1"/>
  <c r="O628" i="1"/>
  <c r="Z628" i="1" s="1"/>
  <c r="O638" i="1"/>
  <c r="Z638" i="1" s="1"/>
  <c r="O637" i="1"/>
  <c r="Z637" i="1" s="1"/>
  <c r="O635" i="1"/>
  <c r="Z635" i="1" s="1"/>
  <c r="O630" i="1"/>
  <c r="Z630" i="1" s="1"/>
  <c r="M614" i="1"/>
  <c r="M613" i="1"/>
  <c r="M612" i="1"/>
  <c r="M611" i="1"/>
  <c r="K611" i="1"/>
  <c r="H611" i="1"/>
  <c r="O606" i="1"/>
  <c r="M606" i="1"/>
  <c r="L606" i="1"/>
  <c r="K606" i="1"/>
  <c r="J606" i="1"/>
  <c r="H606" i="1"/>
  <c r="O605" i="1"/>
  <c r="M605" i="1"/>
  <c r="L605" i="1"/>
  <c r="K605" i="1"/>
  <c r="J605" i="1"/>
  <c r="H605" i="1"/>
  <c r="O604" i="1"/>
  <c r="M604" i="1"/>
  <c r="L604" i="1"/>
  <c r="K604" i="1"/>
  <c r="J604" i="1"/>
  <c r="H604" i="1"/>
  <c r="O603" i="1"/>
  <c r="M603" i="1"/>
  <c r="L603" i="1"/>
  <c r="K603" i="1"/>
  <c r="J603" i="1"/>
  <c r="H603" i="1"/>
  <c r="O602" i="1"/>
  <c r="M602" i="1"/>
  <c r="L602" i="1"/>
  <c r="K602" i="1"/>
  <c r="J602" i="1"/>
  <c r="H602" i="1"/>
  <c r="O601" i="1"/>
  <c r="M601" i="1"/>
  <c r="L601" i="1"/>
  <c r="K601" i="1"/>
  <c r="J601" i="1"/>
  <c r="H601" i="1"/>
  <c r="O600" i="1"/>
  <c r="M600" i="1"/>
  <c r="L600" i="1"/>
  <c r="K600" i="1"/>
  <c r="J600" i="1"/>
  <c r="H600" i="1"/>
  <c r="O599" i="1"/>
  <c r="M599" i="1"/>
  <c r="L599" i="1"/>
  <c r="K599" i="1"/>
  <c r="J599" i="1"/>
  <c r="H599" i="1"/>
  <c r="O598" i="1"/>
  <c r="M598" i="1"/>
  <c r="L598" i="1"/>
  <c r="K598" i="1"/>
  <c r="J598" i="1"/>
  <c r="H598" i="1"/>
  <c r="O597" i="1"/>
  <c r="M597" i="1"/>
  <c r="L597" i="1"/>
  <c r="K597" i="1"/>
  <c r="J597" i="1"/>
  <c r="H597" i="1"/>
  <c r="O596" i="1"/>
  <c r="M596" i="1"/>
  <c r="L596" i="1"/>
  <c r="K596" i="1"/>
  <c r="J596" i="1"/>
  <c r="H596" i="1"/>
  <c r="O595" i="1"/>
  <c r="M595" i="1"/>
  <c r="L595" i="1"/>
  <c r="K595" i="1"/>
  <c r="J595" i="1"/>
  <c r="H595" i="1"/>
  <c r="O594" i="1"/>
  <c r="M594" i="1"/>
  <c r="L594" i="1"/>
  <c r="K594" i="1"/>
  <c r="J594" i="1"/>
  <c r="H594" i="1"/>
  <c r="O593" i="1"/>
  <c r="M593" i="1"/>
  <c r="L593" i="1"/>
  <c r="K593" i="1"/>
  <c r="J593" i="1"/>
  <c r="O588" i="1"/>
  <c r="M588" i="1"/>
  <c r="H588" i="1"/>
  <c r="O587" i="1"/>
  <c r="M587" i="1"/>
  <c r="H587" i="1"/>
  <c r="O586" i="1"/>
  <c r="M586" i="1"/>
  <c r="H586" i="1"/>
  <c r="O585" i="1"/>
  <c r="M585" i="1"/>
  <c r="H585" i="1"/>
  <c r="O584" i="1"/>
  <c r="M584" i="1"/>
  <c r="H584" i="1"/>
  <c r="O583" i="1"/>
  <c r="M583" i="1"/>
  <c r="H583" i="1"/>
  <c r="O582" i="1"/>
  <c r="M582" i="1"/>
  <c r="H582" i="1"/>
  <c r="O581" i="1"/>
  <c r="M581" i="1"/>
  <c r="H581" i="1"/>
  <c r="O580" i="1"/>
  <c r="M580" i="1"/>
  <c r="H580" i="1"/>
  <c r="M578" i="1"/>
  <c r="H578" i="1"/>
  <c r="M577" i="1"/>
  <c r="H577" i="1"/>
  <c r="M574" i="1"/>
  <c r="H574" i="1"/>
  <c r="M573" i="1"/>
  <c r="H573" i="1"/>
  <c r="M571" i="1"/>
  <c r="M570" i="1"/>
  <c r="M568" i="1"/>
  <c r="M567" i="1"/>
  <c r="M566" i="1"/>
  <c r="M565" i="1"/>
  <c r="M564" i="1"/>
  <c r="M562" i="1"/>
  <c r="M557" i="1"/>
  <c r="M556" i="1"/>
  <c r="M555" i="1"/>
  <c r="M554" i="1"/>
  <c r="M553" i="1"/>
  <c r="H553" i="1"/>
  <c r="M552" i="1"/>
  <c r="H552" i="1"/>
  <c r="M551" i="1"/>
  <c r="H551" i="1"/>
  <c r="M550" i="1"/>
  <c r="H550" i="1"/>
  <c r="M549" i="1"/>
  <c r="H549" i="1"/>
  <c r="M548" i="1"/>
  <c r="H548" i="1"/>
  <c r="M547" i="1"/>
  <c r="H547" i="1"/>
  <c r="M546" i="1"/>
  <c r="H546" i="1"/>
  <c r="M544" i="1"/>
  <c r="H544" i="1"/>
  <c r="M543" i="1"/>
  <c r="H543" i="1"/>
  <c r="M542" i="1"/>
  <c r="H542" i="1"/>
  <c r="M541" i="1"/>
  <c r="H541" i="1"/>
  <c r="M539" i="1"/>
  <c r="H539" i="1"/>
  <c r="M538" i="1"/>
  <c r="H538" i="1"/>
  <c r="M535" i="1"/>
  <c r="H535" i="1"/>
  <c r="M534" i="1"/>
  <c r="M528" i="1"/>
  <c r="H528" i="1"/>
  <c r="M526" i="1"/>
  <c r="H526" i="1"/>
  <c r="M523" i="1"/>
  <c r="H523" i="1"/>
  <c r="M522" i="1"/>
  <c r="H522" i="1"/>
  <c r="M521" i="1"/>
  <c r="H521" i="1"/>
  <c r="M520" i="1"/>
  <c r="H520" i="1"/>
  <c r="M519" i="1"/>
  <c r="H519" i="1"/>
  <c r="M509" i="1"/>
  <c r="M508" i="1"/>
  <c r="M507" i="1"/>
  <c r="O497" i="1"/>
  <c r="M487" i="1"/>
  <c r="K487" i="1"/>
  <c r="J487" i="1"/>
  <c r="H487" i="1"/>
  <c r="M486" i="1"/>
  <c r="K486" i="1"/>
  <c r="J486" i="1"/>
  <c r="H486" i="1"/>
  <c r="M485" i="1"/>
  <c r="J485" i="1"/>
  <c r="M484" i="1"/>
  <c r="J484" i="1"/>
  <c r="H484" i="1"/>
  <c r="M483" i="1"/>
  <c r="J483" i="1"/>
  <c r="M482" i="1"/>
  <c r="J482" i="1"/>
  <c r="D76" i="6"/>
  <c r="H481" i="1"/>
  <c r="M481" i="1"/>
  <c r="J481" i="1"/>
  <c r="M480" i="1"/>
  <c r="K480" i="1"/>
  <c r="J480" i="1"/>
  <c r="H480" i="1"/>
  <c r="M478" i="1"/>
  <c r="K478" i="1"/>
  <c r="J478" i="1"/>
  <c r="H478" i="1"/>
  <c r="M476" i="1"/>
  <c r="K476" i="1"/>
  <c r="H476" i="1"/>
  <c r="M475" i="1"/>
  <c r="K475" i="1"/>
  <c r="J475" i="1"/>
  <c r="M474" i="1"/>
  <c r="K474" i="1"/>
  <c r="J474" i="1"/>
  <c r="H474" i="1"/>
  <c r="M473" i="1"/>
  <c r="J473" i="1"/>
  <c r="M472" i="1"/>
  <c r="K472" i="1"/>
  <c r="J472" i="1"/>
  <c r="M471" i="1"/>
  <c r="K471" i="1"/>
  <c r="J471" i="1"/>
  <c r="H471" i="1"/>
  <c r="M470" i="1"/>
  <c r="K470" i="1"/>
  <c r="J470" i="1"/>
  <c r="M469" i="1"/>
  <c r="K469" i="1"/>
  <c r="M468" i="1"/>
  <c r="K468" i="1"/>
  <c r="M466" i="1"/>
  <c r="K466" i="1"/>
  <c r="M465" i="1"/>
  <c r="K465" i="1"/>
  <c r="M464" i="1"/>
  <c r="K464" i="1"/>
  <c r="M463" i="1"/>
  <c r="H463" i="1"/>
  <c r="M461" i="1"/>
  <c r="K461" i="1"/>
  <c r="H459" i="1"/>
  <c r="D5" i="6" s="1"/>
  <c r="M459" i="1"/>
  <c r="M458" i="1"/>
  <c r="H458" i="1"/>
  <c r="M457" i="1"/>
  <c r="H457" i="1"/>
  <c r="H456" i="1"/>
  <c r="Z456" i="1" s="1"/>
  <c r="M456" i="1"/>
  <c r="M455" i="1"/>
  <c r="H455" i="1"/>
  <c r="M454" i="1"/>
  <c r="H454" i="1"/>
  <c r="M453" i="1"/>
  <c r="H453" i="1"/>
  <c r="M452" i="1"/>
  <c r="H452" i="1"/>
  <c r="M451" i="1"/>
  <c r="M450" i="1"/>
  <c r="M449" i="1"/>
  <c r="K449" i="1"/>
  <c r="K447" i="1"/>
  <c r="K446" i="1"/>
  <c r="H445" i="1"/>
  <c r="K445" i="1"/>
  <c r="H444" i="1"/>
  <c r="D105" i="6"/>
  <c r="K444" i="1"/>
  <c r="K443" i="1"/>
  <c r="H443" i="1"/>
  <c r="K442" i="1"/>
  <c r="H441" i="1"/>
  <c r="K441" i="1"/>
  <c r="K435" i="1"/>
  <c r="K433" i="1"/>
  <c r="K432" i="1"/>
  <c r="M431" i="1"/>
  <c r="K431" i="1"/>
  <c r="M429" i="1"/>
  <c r="K429" i="1"/>
  <c r="M428" i="1"/>
  <c r="K428" i="1"/>
  <c r="M427" i="1"/>
  <c r="K427" i="1"/>
  <c r="M426" i="1"/>
  <c r="K426" i="1"/>
  <c r="M425" i="1"/>
  <c r="K425" i="1"/>
  <c r="M424" i="1"/>
  <c r="K424" i="1"/>
  <c r="M423" i="1"/>
  <c r="K423" i="1"/>
  <c r="M422" i="1"/>
  <c r="K422" i="1"/>
  <c r="M421" i="1"/>
  <c r="K421" i="1"/>
  <c r="M420" i="1"/>
  <c r="K420" i="1"/>
  <c r="M419" i="1"/>
  <c r="K419" i="1"/>
  <c r="M418" i="1"/>
  <c r="K418" i="1"/>
  <c r="M417" i="1"/>
  <c r="K417" i="1"/>
  <c r="M416" i="1"/>
  <c r="K416" i="1"/>
  <c r="M412" i="1"/>
  <c r="K412" i="1"/>
  <c r="M413" i="1"/>
  <c r="K413" i="1"/>
  <c r="M414" i="1"/>
  <c r="K414" i="1"/>
  <c r="M410" i="1"/>
  <c r="K410" i="1"/>
  <c r="M408" i="1"/>
  <c r="M407" i="1"/>
  <c r="M405" i="1"/>
  <c r="M404" i="1"/>
  <c r="M403" i="1"/>
  <c r="M401" i="1"/>
  <c r="M400" i="1"/>
  <c r="M399" i="1"/>
  <c r="M396" i="1"/>
  <c r="M395" i="1"/>
  <c r="M394" i="1"/>
  <c r="M392" i="1"/>
  <c r="M388" i="1"/>
  <c r="M387" i="1"/>
  <c r="M383" i="1"/>
  <c r="M382" i="1"/>
  <c r="M380" i="1"/>
  <c r="M379" i="1"/>
  <c r="M377" i="1"/>
  <c r="M376" i="1"/>
  <c r="M375" i="1"/>
  <c r="M373" i="1"/>
  <c r="M372" i="1"/>
  <c r="K372" i="1"/>
  <c r="M371" i="1"/>
  <c r="K371" i="1"/>
  <c r="H371" i="1"/>
  <c r="M370" i="1"/>
  <c r="K370" i="1"/>
  <c r="H369" i="1"/>
  <c r="M369" i="1"/>
  <c r="K369" i="1"/>
  <c r="J369" i="1"/>
  <c r="M368" i="1"/>
  <c r="K368" i="1"/>
  <c r="J368" i="1"/>
  <c r="M367" i="1"/>
  <c r="K367" i="1"/>
  <c r="J367" i="1"/>
  <c r="M366" i="1"/>
  <c r="K366" i="1"/>
  <c r="J366" i="1"/>
  <c r="M365" i="1"/>
  <c r="K365" i="1"/>
  <c r="J365" i="1"/>
  <c r="H365" i="1"/>
  <c r="M364" i="1"/>
  <c r="K364" i="1"/>
  <c r="J364" i="1"/>
  <c r="M363" i="1"/>
  <c r="K363" i="1"/>
  <c r="J363" i="1"/>
  <c r="O362" i="1"/>
  <c r="M362" i="1"/>
  <c r="L362" i="1"/>
  <c r="K362" i="1"/>
  <c r="J362" i="1"/>
  <c r="O357" i="1"/>
  <c r="W357" i="1" s="1"/>
  <c r="M357" i="1"/>
  <c r="K357" i="1"/>
  <c r="J357" i="1"/>
  <c r="H357" i="1"/>
  <c r="O356" i="1"/>
  <c r="W356" i="1" s="1"/>
  <c r="M356" i="1"/>
  <c r="K356" i="1"/>
  <c r="J356" i="1"/>
  <c r="H356" i="1"/>
  <c r="O355" i="1"/>
  <c r="W355" i="1" s="1"/>
  <c r="M355" i="1"/>
  <c r="K355" i="1"/>
  <c r="J355" i="1"/>
  <c r="H355" i="1"/>
  <c r="O354" i="1"/>
  <c r="W354" i="1" s="1"/>
  <c r="M354" i="1"/>
  <c r="J354" i="1"/>
  <c r="H354" i="1"/>
  <c r="O353" i="1"/>
  <c r="W353" i="1" s="1"/>
  <c r="M353" i="1"/>
  <c r="H353" i="1"/>
  <c r="D57" i="6"/>
  <c r="E57" i="6" s="1"/>
  <c r="F57" i="6" s="1"/>
  <c r="O352" i="1"/>
  <c r="W352" i="1" s="1"/>
  <c r="M352" i="1"/>
  <c r="H352" i="1"/>
  <c r="O351" i="1"/>
  <c r="W351" i="1" s="1"/>
  <c r="M351" i="1"/>
  <c r="H351" i="1"/>
  <c r="O350" i="1"/>
  <c r="W350" i="1" s="1"/>
  <c r="M350" i="1"/>
  <c r="H350" i="1"/>
  <c r="O349" i="1"/>
  <c r="W349" i="1" s="1"/>
  <c r="M349" i="1"/>
  <c r="H349" i="1"/>
  <c r="O348" i="1"/>
  <c r="W348" i="1" s="1"/>
  <c r="M348" i="1"/>
  <c r="H348" i="1"/>
  <c r="O347" i="1"/>
  <c r="W347" i="1" s="1"/>
  <c r="M347" i="1"/>
  <c r="H347" i="1"/>
  <c r="O346" i="1"/>
  <c r="W346" i="1" s="1"/>
  <c r="M346" i="1"/>
  <c r="K346" i="1"/>
  <c r="H346" i="1"/>
  <c r="O345" i="1"/>
  <c r="W345" i="1" s="1"/>
  <c r="M345" i="1"/>
  <c r="K345" i="1"/>
  <c r="H345" i="1"/>
  <c r="O344" i="1"/>
  <c r="W344" i="1" s="1"/>
  <c r="M344" i="1"/>
  <c r="K344" i="1"/>
  <c r="H344" i="1"/>
  <c r="O343" i="1"/>
  <c r="W343" i="1" s="1"/>
  <c r="M343" i="1"/>
  <c r="K343" i="1"/>
  <c r="H343" i="1"/>
  <c r="O342" i="1"/>
  <c r="W342" i="1" s="1"/>
  <c r="M342" i="1"/>
  <c r="K342" i="1"/>
  <c r="H342" i="1"/>
  <c r="O341" i="1"/>
  <c r="W341" i="1" s="1"/>
  <c r="M341" i="1"/>
  <c r="K341" i="1"/>
  <c r="H341" i="1"/>
  <c r="O340" i="1"/>
  <c r="W340" i="1" s="1"/>
  <c r="M340" i="1"/>
  <c r="K340" i="1"/>
  <c r="H340" i="1"/>
  <c r="O339" i="1"/>
  <c r="W339" i="1" s="1"/>
  <c r="M339" i="1"/>
  <c r="K339" i="1"/>
  <c r="H339" i="1"/>
  <c r="O338" i="1"/>
  <c r="W338" i="1" s="1"/>
  <c r="M338" i="1"/>
  <c r="K338" i="1"/>
  <c r="H338" i="1"/>
  <c r="O337" i="1"/>
  <c r="W337" i="1" s="1"/>
  <c r="M337" i="1"/>
  <c r="K337" i="1"/>
  <c r="H337" i="1"/>
  <c r="O336" i="1"/>
  <c r="W336" i="1" s="1"/>
  <c r="M336" i="1"/>
  <c r="K336" i="1"/>
  <c r="H336" i="1"/>
  <c r="O335" i="1"/>
  <c r="W335" i="1" s="1"/>
  <c r="M335" i="1"/>
  <c r="K335" i="1"/>
  <c r="H335" i="1"/>
  <c r="O334" i="1"/>
  <c r="W334" i="1" s="1"/>
  <c r="M334" i="1"/>
  <c r="K334" i="1"/>
  <c r="H334" i="1"/>
  <c r="O333" i="1"/>
  <c r="W333" i="1" s="1"/>
  <c r="M333" i="1"/>
  <c r="K333" i="1"/>
  <c r="H333" i="1"/>
  <c r="O332" i="1"/>
  <c r="W332" i="1" s="1"/>
  <c r="M332" i="1"/>
  <c r="K332" i="1"/>
  <c r="H332" i="1"/>
  <c r="O331" i="1"/>
  <c r="W331" i="1" s="1"/>
  <c r="M331" i="1"/>
  <c r="K331" i="1"/>
  <c r="H331" i="1"/>
  <c r="O330" i="1"/>
  <c r="W330" i="1" s="1"/>
  <c r="M330" i="1"/>
  <c r="K330" i="1"/>
  <c r="H330" i="1"/>
  <c r="O329" i="1"/>
  <c r="W329" i="1" s="1"/>
  <c r="M329" i="1"/>
  <c r="K329" i="1"/>
  <c r="H329" i="1"/>
  <c r="O328" i="1"/>
  <c r="W328" i="1" s="1"/>
  <c r="M328" i="1"/>
  <c r="K328" i="1"/>
  <c r="H328" i="1"/>
  <c r="O327" i="1"/>
  <c r="W327" i="1" s="1"/>
  <c r="M327" i="1"/>
  <c r="K327" i="1"/>
  <c r="H327" i="1"/>
  <c r="O326" i="1"/>
  <c r="W326" i="1" s="1"/>
  <c r="M326" i="1"/>
  <c r="K326" i="1"/>
  <c r="H326" i="1"/>
  <c r="O325" i="1"/>
  <c r="W325" i="1" s="1"/>
  <c r="M325" i="1"/>
  <c r="K325" i="1"/>
  <c r="H325" i="1"/>
  <c r="O324" i="1"/>
  <c r="W324" i="1" s="1"/>
  <c r="M324" i="1"/>
  <c r="K324" i="1"/>
  <c r="H324" i="1"/>
  <c r="O323" i="1"/>
  <c r="W323" i="1" s="1"/>
  <c r="M323" i="1"/>
  <c r="K323" i="1"/>
  <c r="H323" i="1"/>
  <c r="O322" i="1"/>
  <c r="W322" i="1" s="1"/>
  <c r="M322" i="1"/>
  <c r="K322" i="1"/>
  <c r="H322" i="1"/>
  <c r="O321" i="1"/>
  <c r="W321" i="1" s="1"/>
  <c r="M321" i="1"/>
  <c r="K321" i="1"/>
  <c r="H321" i="1"/>
  <c r="O320" i="1"/>
  <c r="W320" i="1" s="1"/>
  <c r="M320" i="1"/>
  <c r="K320" i="1"/>
  <c r="H320" i="1"/>
  <c r="O319" i="1"/>
  <c r="W319" i="1" s="1"/>
  <c r="M319" i="1"/>
  <c r="K319" i="1"/>
  <c r="H319" i="1"/>
  <c r="O315" i="1"/>
  <c r="W315" i="1" s="1"/>
  <c r="M315" i="1"/>
  <c r="K315" i="1"/>
  <c r="J315" i="1"/>
  <c r="H315" i="1"/>
  <c r="D50" i="6"/>
  <c r="M314" i="1"/>
  <c r="K314" i="1"/>
  <c r="J314" i="1"/>
  <c r="H314" i="1"/>
  <c r="M312" i="1"/>
  <c r="K312" i="1"/>
  <c r="J312" i="1"/>
  <c r="H312" i="1"/>
  <c r="M311" i="1"/>
  <c r="K311" i="1"/>
  <c r="J311" i="1"/>
  <c r="H311" i="1"/>
  <c r="M310" i="1"/>
  <c r="K310" i="1"/>
  <c r="J310" i="1"/>
  <c r="H310" i="1"/>
  <c r="M309" i="1"/>
  <c r="K309" i="1"/>
  <c r="J309" i="1"/>
  <c r="H309" i="1"/>
  <c r="M308" i="1"/>
  <c r="K308" i="1"/>
  <c r="J308" i="1"/>
  <c r="H308" i="1"/>
  <c r="M307" i="1"/>
  <c r="K307" i="1"/>
  <c r="J307" i="1"/>
  <c r="H307" i="1"/>
  <c r="M306" i="1"/>
  <c r="K306" i="1"/>
  <c r="J306" i="1"/>
  <c r="H306" i="1"/>
  <c r="M305" i="1"/>
  <c r="K305" i="1"/>
  <c r="J305" i="1"/>
  <c r="H305" i="1"/>
  <c r="M304" i="1"/>
  <c r="K304" i="1"/>
  <c r="J304" i="1"/>
  <c r="M295" i="1"/>
  <c r="M294" i="1"/>
  <c r="M293" i="1"/>
  <c r="K292" i="1"/>
  <c r="J292" i="1"/>
  <c r="M291" i="1"/>
  <c r="K291" i="1"/>
  <c r="J291" i="1"/>
  <c r="H291" i="1"/>
  <c r="M290" i="1"/>
  <c r="K290" i="1"/>
  <c r="J290" i="1"/>
  <c r="H290" i="1"/>
  <c r="M289" i="1"/>
  <c r="K289" i="1"/>
  <c r="J289" i="1"/>
  <c r="H289" i="1"/>
  <c r="M288" i="1"/>
  <c r="K288" i="1"/>
  <c r="J288" i="1"/>
  <c r="H288" i="1"/>
  <c r="M287" i="1"/>
  <c r="K287" i="1"/>
  <c r="J287" i="1"/>
  <c r="H287" i="1"/>
  <c r="M286" i="1"/>
  <c r="K286" i="1"/>
  <c r="J286" i="1"/>
  <c r="H286" i="1"/>
  <c r="M285" i="1"/>
  <c r="K285" i="1"/>
  <c r="J285" i="1"/>
  <c r="H285" i="1"/>
  <c r="M284" i="1"/>
  <c r="K284" i="1"/>
  <c r="J284" i="1"/>
  <c r="H284" i="1"/>
  <c r="M283" i="1"/>
  <c r="K283" i="1"/>
  <c r="J283" i="1"/>
  <c r="H283" i="1"/>
  <c r="M282" i="1"/>
  <c r="K282" i="1"/>
  <c r="J282" i="1"/>
  <c r="H282" i="1"/>
  <c r="K281" i="1"/>
  <c r="J281" i="1"/>
  <c r="H281" i="1"/>
  <c r="O280" i="1"/>
  <c r="W280" i="1" s="1"/>
  <c r="M280" i="1"/>
  <c r="L280" i="1"/>
  <c r="K280" i="1"/>
  <c r="J280" i="1"/>
  <c r="H280" i="1"/>
  <c r="D46" i="6"/>
  <c r="D60" i="6"/>
  <c r="E60" i="6" s="1"/>
  <c r="F60" i="6" s="1"/>
  <c r="O279" i="1"/>
  <c r="M279" i="1"/>
  <c r="K279" i="1"/>
  <c r="J279" i="1"/>
  <c r="M274" i="1"/>
  <c r="L274" i="1"/>
  <c r="K274" i="1"/>
  <c r="J274" i="1"/>
  <c r="H274" i="1"/>
  <c r="M273" i="1"/>
  <c r="K273" i="1"/>
  <c r="J273" i="1"/>
  <c r="H273" i="1"/>
  <c r="Z273" i="1" s="1"/>
  <c r="D13" i="6"/>
  <c r="M272" i="1"/>
  <c r="K272" i="1"/>
  <c r="J272" i="1"/>
  <c r="M271" i="1"/>
  <c r="J271" i="1"/>
  <c r="M269" i="1"/>
  <c r="K269" i="1"/>
  <c r="M264" i="1"/>
  <c r="K264" i="1"/>
  <c r="H264" i="1"/>
  <c r="M262" i="1"/>
  <c r="K262" i="1"/>
  <c r="M261" i="1"/>
  <c r="K261" i="1"/>
  <c r="J261" i="1"/>
  <c r="H261" i="1"/>
  <c r="D55" i="6" s="1"/>
  <c r="M260" i="1"/>
  <c r="K260" i="1"/>
  <c r="J260" i="1"/>
  <c r="M259" i="1"/>
  <c r="L259" i="1"/>
  <c r="K259" i="1"/>
  <c r="J259" i="1"/>
  <c r="O257" i="1"/>
  <c r="M257" i="1"/>
  <c r="L257" i="1"/>
  <c r="K257" i="1"/>
  <c r="J257" i="1"/>
  <c r="M252" i="1"/>
  <c r="K252" i="1"/>
  <c r="J252" i="1"/>
  <c r="M251" i="1"/>
  <c r="K251" i="1"/>
  <c r="J251" i="1"/>
  <c r="M248" i="1"/>
  <c r="K248" i="1"/>
  <c r="M247" i="1"/>
  <c r="K247" i="1"/>
  <c r="M246" i="1"/>
  <c r="K246" i="1"/>
  <c r="M244" i="1"/>
  <c r="K244" i="1"/>
  <c r="K237" i="1"/>
  <c r="J237" i="1"/>
  <c r="M236" i="1"/>
  <c r="K236" i="1"/>
  <c r="J236" i="1"/>
  <c r="M235" i="1"/>
  <c r="M234" i="1"/>
  <c r="M232" i="1"/>
  <c r="K232" i="1"/>
  <c r="O231" i="1"/>
  <c r="M231" i="1"/>
  <c r="L231" i="1"/>
  <c r="K231" i="1"/>
  <c r="J231" i="1"/>
  <c r="M226" i="1"/>
  <c r="K226" i="1"/>
  <c r="J226" i="1"/>
  <c r="H226" i="1"/>
  <c r="M225" i="1"/>
  <c r="K225" i="1"/>
  <c r="J225" i="1"/>
  <c r="H225" i="1"/>
  <c r="M224" i="1"/>
  <c r="K224" i="1"/>
  <c r="J224" i="1"/>
  <c r="H224" i="1"/>
  <c r="K223" i="1"/>
  <c r="J223" i="1"/>
  <c r="M222" i="1"/>
  <c r="K222" i="1"/>
  <c r="J222" i="1"/>
  <c r="M220" i="1"/>
  <c r="K220" i="1"/>
  <c r="J220" i="1"/>
  <c r="M219" i="1"/>
  <c r="K219" i="1"/>
  <c r="J219" i="1"/>
  <c r="H218" i="1"/>
  <c r="M218" i="1"/>
  <c r="K218" i="1"/>
  <c r="J218" i="1"/>
  <c r="M217" i="1"/>
  <c r="K217" i="1"/>
  <c r="J217" i="1"/>
  <c r="M216" i="1"/>
  <c r="K216" i="1"/>
  <c r="J216" i="1"/>
  <c r="H216" i="1"/>
  <c r="M215" i="1"/>
  <c r="K215" i="1"/>
  <c r="J215" i="1"/>
  <c r="H215" i="1"/>
  <c r="M214" i="1"/>
  <c r="K214" i="1"/>
  <c r="J214" i="1"/>
  <c r="H214" i="1"/>
  <c r="M213" i="1"/>
  <c r="K213" i="1"/>
  <c r="J213" i="1"/>
  <c r="M211" i="1"/>
  <c r="K211" i="1"/>
  <c r="H211" i="1"/>
  <c r="M210" i="1"/>
  <c r="K210" i="1"/>
  <c r="J210" i="1"/>
  <c r="H210" i="1"/>
  <c r="M209" i="1"/>
  <c r="K209" i="1"/>
  <c r="J209" i="1"/>
  <c r="M208" i="1"/>
  <c r="K208" i="1"/>
  <c r="J208" i="1"/>
  <c r="H208" i="1"/>
  <c r="M207" i="1"/>
  <c r="K207" i="1"/>
  <c r="M206" i="1"/>
  <c r="K206" i="1"/>
  <c r="J206" i="1"/>
  <c r="H204" i="1"/>
  <c r="M204" i="1"/>
  <c r="K204" i="1"/>
  <c r="J204" i="1"/>
  <c r="M203" i="1"/>
  <c r="K203" i="1"/>
  <c r="J203" i="1"/>
  <c r="H203" i="1"/>
  <c r="M202" i="1"/>
  <c r="K202" i="1"/>
  <c r="J202" i="1"/>
  <c r="H202" i="1"/>
  <c r="M201" i="1"/>
  <c r="K201" i="1"/>
  <c r="J201" i="1"/>
  <c r="H201" i="1"/>
  <c r="M200" i="1"/>
  <c r="K200" i="1"/>
  <c r="J200" i="1"/>
  <c r="H200" i="1"/>
  <c r="M199" i="1"/>
  <c r="K199" i="1"/>
  <c r="J199" i="1"/>
  <c r="M198" i="1"/>
  <c r="K198" i="1"/>
  <c r="J198" i="1"/>
  <c r="M197" i="1"/>
  <c r="K197" i="1"/>
  <c r="J197" i="1"/>
  <c r="M196" i="1"/>
  <c r="K196" i="1"/>
  <c r="J196" i="1"/>
  <c r="M195" i="1"/>
  <c r="K195" i="1"/>
  <c r="J195" i="1"/>
  <c r="M194" i="1"/>
  <c r="K194" i="1"/>
  <c r="J194" i="1"/>
  <c r="M190" i="1"/>
  <c r="K190" i="1"/>
  <c r="J190" i="1"/>
  <c r="H190" i="1"/>
  <c r="M189" i="1"/>
  <c r="K189" i="1"/>
  <c r="J189" i="1"/>
  <c r="H189" i="1"/>
  <c r="M188" i="1"/>
  <c r="K188" i="1"/>
  <c r="J188" i="1"/>
  <c r="M187" i="1"/>
  <c r="K187" i="1"/>
  <c r="J187" i="1"/>
  <c r="M186" i="1"/>
  <c r="K186" i="1"/>
  <c r="J186" i="1"/>
  <c r="H186" i="1"/>
  <c r="M185" i="1"/>
  <c r="K185" i="1"/>
  <c r="J185" i="1"/>
  <c r="M183" i="1"/>
  <c r="K183" i="1"/>
  <c r="J183" i="1"/>
  <c r="M182" i="1"/>
  <c r="K182" i="1"/>
  <c r="J182" i="1"/>
  <c r="M181" i="1"/>
  <c r="K181" i="1"/>
  <c r="J181" i="1"/>
  <c r="H181" i="1"/>
  <c r="M180" i="1"/>
  <c r="K180" i="1"/>
  <c r="J180" i="1"/>
  <c r="M179" i="1"/>
  <c r="K179" i="1"/>
  <c r="J179" i="1"/>
  <c r="H178" i="1"/>
  <c r="M178" i="1"/>
  <c r="K178" i="1"/>
  <c r="J178" i="1"/>
  <c r="M177" i="1"/>
  <c r="K177" i="1"/>
  <c r="J177" i="1"/>
  <c r="H177" i="1"/>
  <c r="K176" i="1"/>
  <c r="J176" i="1"/>
  <c r="M175" i="1"/>
  <c r="K175" i="1"/>
  <c r="J175" i="1"/>
  <c r="H175" i="1"/>
  <c r="M174" i="1"/>
  <c r="K174" i="1"/>
  <c r="J174" i="1"/>
  <c r="H174" i="1"/>
  <c r="M173" i="1"/>
  <c r="K173" i="1"/>
  <c r="J173" i="1"/>
  <c r="H173" i="1"/>
  <c r="M172" i="1"/>
  <c r="K172" i="1"/>
  <c r="J172" i="1"/>
  <c r="M171" i="1"/>
  <c r="K171" i="1"/>
  <c r="M170" i="1"/>
  <c r="K170" i="1"/>
  <c r="J170" i="1"/>
  <c r="M169" i="1"/>
  <c r="K169" i="1"/>
  <c r="J169" i="1"/>
  <c r="M167" i="1"/>
  <c r="K167" i="1"/>
  <c r="J167" i="1"/>
  <c r="M166" i="1"/>
  <c r="K166" i="1"/>
  <c r="J166" i="1"/>
  <c r="M165" i="1"/>
  <c r="K165" i="1"/>
  <c r="J165" i="1"/>
  <c r="H165" i="1"/>
  <c r="M164" i="1"/>
  <c r="K164" i="1"/>
  <c r="J164" i="1"/>
  <c r="M163" i="1"/>
  <c r="K163" i="1"/>
  <c r="J163" i="1"/>
  <c r="H163" i="1"/>
  <c r="M162" i="1"/>
  <c r="K162" i="1"/>
  <c r="J162" i="1"/>
  <c r="H162" i="1"/>
  <c r="M161" i="1"/>
  <c r="K161" i="1"/>
  <c r="J161" i="1"/>
  <c r="M160" i="1"/>
  <c r="K160" i="1"/>
  <c r="J160" i="1"/>
  <c r="K159" i="1"/>
  <c r="J159" i="1"/>
  <c r="K158" i="1"/>
  <c r="J158" i="1"/>
  <c r="H158" i="1"/>
  <c r="D38" i="6" s="1"/>
  <c r="D92" i="6"/>
  <c r="M157" i="1"/>
  <c r="K157" i="1"/>
  <c r="J157" i="1"/>
  <c r="M155" i="1"/>
  <c r="K155" i="1"/>
  <c r="J155" i="1"/>
  <c r="M154" i="1"/>
  <c r="K154" i="1"/>
  <c r="J154" i="1"/>
  <c r="M153" i="1"/>
  <c r="K153" i="1"/>
  <c r="J153" i="1"/>
  <c r="H153" i="1"/>
  <c r="M152" i="1"/>
  <c r="K152" i="1"/>
  <c r="J152" i="1"/>
  <c r="H152" i="1"/>
  <c r="M151" i="1"/>
  <c r="K151" i="1"/>
  <c r="J151" i="1"/>
  <c r="M150" i="1"/>
  <c r="K150" i="1"/>
  <c r="J150" i="1"/>
  <c r="H150" i="1"/>
  <c r="M149" i="1"/>
  <c r="K149" i="1"/>
  <c r="J149" i="1"/>
  <c r="M148" i="1"/>
  <c r="K148" i="1"/>
  <c r="J148" i="1"/>
  <c r="M145" i="1"/>
  <c r="H145" i="1"/>
  <c r="H144" i="1"/>
  <c r="M144" i="1"/>
  <c r="M143" i="1"/>
  <c r="K143" i="1"/>
  <c r="J143" i="1"/>
  <c r="H142" i="1"/>
  <c r="M142" i="1"/>
  <c r="K142" i="1"/>
  <c r="J142" i="1"/>
  <c r="M141" i="1"/>
  <c r="K141" i="1"/>
  <c r="J141" i="1"/>
  <c r="H141" i="1"/>
  <c r="M140" i="1"/>
  <c r="K140" i="1"/>
  <c r="J140" i="1"/>
  <c r="H140" i="1"/>
  <c r="M139" i="1"/>
  <c r="K139" i="1"/>
  <c r="J139" i="1"/>
  <c r="H138" i="1"/>
  <c r="M138" i="1"/>
  <c r="K138" i="1"/>
  <c r="J138" i="1"/>
  <c r="M137" i="1"/>
  <c r="K137" i="1"/>
  <c r="J137" i="1"/>
  <c r="M136" i="1"/>
  <c r="K136" i="1"/>
  <c r="J136" i="1"/>
  <c r="M135" i="1"/>
  <c r="K135" i="1"/>
  <c r="J135" i="1"/>
  <c r="H135" i="1"/>
  <c r="M134" i="1"/>
  <c r="K134" i="1"/>
  <c r="J134" i="1"/>
  <c r="H134" i="1"/>
  <c r="K133" i="1"/>
  <c r="J133" i="1"/>
  <c r="M132" i="1"/>
  <c r="K132" i="1"/>
  <c r="H132" i="1"/>
  <c r="M131" i="1"/>
  <c r="K131" i="1"/>
  <c r="H131" i="1"/>
  <c r="M130" i="1"/>
  <c r="K130" i="1"/>
  <c r="H130" i="1"/>
  <c r="M128" i="1"/>
  <c r="M127" i="1"/>
  <c r="M126" i="1"/>
  <c r="M125" i="1"/>
  <c r="M124" i="1"/>
  <c r="M123" i="1"/>
  <c r="M122" i="1"/>
  <c r="K122" i="1"/>
  <c r="J122" i="1"/>
  <c r="M121" i="1"/>
  <c r="K121" i="1"/>
  <c r="J121" i="1"/>
  <c r="H121" i="1"/>
  <c r="M120" i="1"/>
  <c r="K120" i="1"/>
  <c r="J120" i="1"/>
  <c r="H120" i="1"/>
  <c r="M119" i="1"/>
  <c r="K119" i="1"/>
  <c r="J119" i="1"/>
  <c r="H119" i="1"/>
  <c r="M118" i="1"/>
  <c r="K118" i="1"/>
  <c r="J118" i="1"/>
  <c r="M117" i="1"/>
  <c r="K117" i="1"/>
  <c r="J117" i="1"/>
  <c r="H117" i="1"/>
  <c r="M116" i="1"/>
  <c r="K116" i="1"/>
  <c r="J116" i="1"/>
  <c r="H116" i="1"/>
  <c r="M115" i="1"/>
  <c r="K115" i="1"/>
  <c r="J115" i="1"/>
  <c r="H115" i="1"/>
  <c r="D65" i="6" s="1"/>
  <c r="M114" i="1"/>
  <c r="K114" i="1"/>
  <c r="J114" i="1"/>
  <c r="H114" i="1"/>
  <c r="M113" i="1"/>
  <c r="K113" i="1"/>
  <c r="J113" i="1"/>
  <c r="M112" i="1"/>
  <c r="K112" i="1"/>
  <c r="J112" i="1"/>
  <c r="H112" i="1"/>
  <c r="M110" i="1"/>
  <c r="K110" i="1"/>
  <c r="J110" i="1"/>
  <c r="H110" i="1"/>
  <c r="M109" i="1"/>
  <c r="K109" i="1"/>
  <c r="J109" i="1"/>
  <c r="H109" i="1"/>
  <c r="M108" i="1"/>
  <c r="K108" i="1"/>
  <c r="J108" i="1"/>
  <c r="H107" i="1"/>
  <c r="M107" i="1"/>
  <c r="K107" i="1"/>
  <c r="J107" i="1"/>
  <c r="M106" i="1"/>
  <c r="K106" i="1"/>
  <c r="J106" i="1"/>
  <c r="M105" i="1"/>
  <c r="K105" i="1"/>
  <c r="J105" i="1"/>
  <c r="H105" i="1"/>
  <c r="M104" i="1"/>
  <c r="K104" i="1"/>
  <c r="J104" i="1"/>
  <c r="H104" i="1"/>
  <c r="M103" i="1"/>
  <c r="K103" i="1"/>
  <c r="J103" i="1"/>
  <c r="M102" i="1"/>
  <c r="K102" i="1"/>
  <c r="J102" i="1"/>
  <c r="H102" i="1"/>
  <c r="M101" i="1"/>
  <c r="K101" i="1"/>
  <c r="J101" i="1"/>
  <c r="M100" i="1"/>
  <c r="K100" i="1"/>
  <c r="J100" i="1"/>
  <c r="H99" i="1"/>
  <c r="D68" i="6" s="1"/>
  <c r="D67" i="6"/>
  <c r="K99" i="1"/>
  <c r="J99" i="1"/>
  <c r="M98" i="1"/>
  <c r="K98" i="1"/>
  <c r="J98" i="1"/>
  <c r="M97" i="1"/>
  <c r="K97" i="1"/>
  <c r="J97" i="1"/>
  <c r="H97" i="1"/>
  <c r="M96" i="1"/>
  <c r="K96" i="1"/>
  <c r="J96" i="1"/>
  <c r="M95" i="1"/>
  <c r="K95" i="1"/>
  <c r="J95" i="1"/>
  <c r="M94" i="1"/>
  <c r="K94" i="1"/>
  <c r="J94" i="1"/>
  <c r="H94" i="1"/>
  <c r="M93" i="1"/>
  <c r="K93" i="1"/>
  <c r="J93" i="1"/>
  <c r="H93" i="1"/>
  <c r="M92" i="1"/>
  <c r="K92" i="1"/>
  <c r="J92" i="1"/>
  <c r="H92" i="1"/>
  <c r="M91" i="1"/>
  <c r="K91" i="1"/>
  <c r="J91" i="1"/>
  <c r="M90" i="1"/>
  <c r="K90" i="1"/>
  <c r="J90" i="1"/>
  <c r="H90" i="1"/>
  <c r="M88" i="1"/>
  <c r="K88" i="1"/>
  <c r="J88" i="1"/>
  <c r="M87" i="1"/>
  <c r="K87" i="1"/>
  <c r="J87" i="1"/>
  <c r="H87" i="1"/>
  <c r="M85" i="1"/>
  <c r="K85" i="1"/>
  <c r="H85" i="1"/>
  <c r="M84" i="1"/>
  <c r="K84" i="1"/>
  <c r="M83" i="1"/>
  <c r="K83" i="1"/>
  <c r="M82" i="1"/>
  <c r="K82" i="1"/>
  <c r="H82" i="1"/>
  <c r="M81" i="1"/>
  <c r="K81" i="1"/>
  <c r="M80" i="1"/>
  <c r="K80" i="1"/>
  <c r="H77" i="1"/>
  <c r="M77" i="1"/>
  <c r="M75" i="1"/>
  <c r="H75" i="1"/>
  <c r="M74" i="1"/>
  <c r="H74" i="1"/>
  <c r="M65" i="1"/>
  <c r="H65" i="1"/>
  <c r="M64" i="1"/>
  <c r="H64" i="1"/>
  <c r="M63" i="1"/>
  <c r="M62" i="1"/>
  <c r="K62" i="1"/>
  <c r="J62" i="1"/>
  <c r="M61" i="1"/>
  <c r="K61" i="1"/>
  <c r="J61" i="1"/>
  <c r="H61" i="1"/>
  <c r="M60" i="1"/>
  <c r="K60" i="1"/>
  <c r="J60" i="1"/>
  <c r="M59" i="1"/>
  <c r="K59" i="1"/>
  <c r="J59" i="1"/>
  <c r="H59" i="1"/>
  <c r="M58" i="1"/>
  <c r="K58" i="1"/>
  <c r="J58" i="1"/>
  <c r="H58" i="1"/>
  <c r="M57" i="1"/>
  <c r="K57" i="1"/>
  <c r="J57" i="1"/>
  <c r="H57" i="1"/>
  <c r="M56" i="1"/>
  <c r="K56" i="1"/>
  <c r="J56" i="1"/>
  <c r="H56" i="1"/>
  <c r="M55" i="1"/>
  <c r="K55" i="1"/>
  <c r="M54" i="1"/>
  <c r="K54" i="1"/>
  <c r="J54" i="1"/>
  <c r="M52" i="1"/>
  <c r="K52" i="1"/>
  <c r="J52" i="1"/>
  <c r="H52" i="1"/>
  <c r="M51" i="1"/>
  <c r="K51" i="1"/>
  <c r="J51" i="1"/>
  <c r="M50" i="1"/>
  <c r="K50" i="1"/>
  <c r="J50" i="1"/>
  <c r="M49" i="1"/>
  <c r="K49" i="1"/>
  <c r="J49" i="1"/>
  <c r="H49" i="1"/>
  <c r="M48" i="1"/>
  <c r="K48" i="1"/>
  <c r="J48" i="1"/>
  <c r="M47" i="1"/>
  <c r="K47" i="1"/>
  <c r="J47" i="1"/>
  <c r="O46" i="1"/>
  <c r="M46" i="1"/>
  <c r="L46" i="1"/>
  <c r="K46" i="1"/>
  <c r="J46" i="1"/>
  <c r="Q859" i="1"/>
  <c r="S857" i="1"/>
  <c r="Q857" i="1" s="1"/>
  <c r="S856" i="1"/>
  <c r="S854" i="1"/>
  <c r="Q854" i="1" s="1"/>
  <c r="S853" i="1"/>
  <c r="R853" i="1"/>
  <c r="S835" i="1"/>
  <c r="H831" i="1"/>
  <c r="P828" i="1" s="1"/>
  <c r="S829" i="1"/>
  <c r="Q829" i="1"/>
  <c r="R829" i="1"/>
  <c r="S827" i="1"/>
  <c r="S826" i="1"/>
  <c r="S825" i="1"/>
  <c r="S823" i="1"/>
  <c r="S822" i="1"/>
  <c r="R822" i="1"/>
  <c r="S821" i="1"/>
  <c r="S820" i="1"/>
  <c r="Q820" i="1" s="1"/>
  <c r="A802" i="1"/>
  <c r="S802" i="1"/>
  <c r="Q802" i="1" s="1"/>
  <c r="S801" i="1"/>
  <c r="R801" i="1"/>
  <c r="S800" i="1"/>
  <c r="S799" i="1"/>
  <c r="R799" i="1" s="1"/>
  <c r="S798" i="1"/>
  <c r="Q798" i="1"/>
  <c r="S797" i="1"/>
  <c r="Q797" i="1" s="1"/>
  <c r="S792" i="1"/>
  <c r="R792" i="1"/>
  <c r="S791" i="1"/>
  <c r="Q791" i="1" s="1"/>
  <c r="S790" i="1"/>
  <c r="R790" i="1" s="1"/>
  <c r="S789" i="1"/>
  <c r="Q789" i="1"/>
  <c r="S788" i="1"/>
  <c r="S787" i="1"/>
  <c r="Q787" i="1" s="1"/>
  <c r="S786" i="1"/>
  <c r="Q786" i="1"/>
  <c r="S785" i="1"/>
  <c r="S784" i="1"/>
  <c r="Q784" i="1"/>
  <c r="S783" i="1"/>
  <c r="Q783" i="1" s="1"/>
  <c r="S782" i="1"/>
  <c r="R782" i="1"/>
  <c r="S781" i="1"/>
  <c r="Q781" i="1" s="1"/>
  <c r="S780" i="1"/>
  <c r="R780" i="1"/>
  <c r="S779" i="1"/>
  <c r="R779" i="1" s="1"/>
  <c r="S778" i="1"/>
  <c r="Q778" i="1"/>
  <c r="S777" i="1"/>
  <c r="Q777" i="1" s="1"/>
  <c r="S776" i="1"/>
  <c r="Q776" i="1"/>
  <c r="S775" i="1"/>
  <c r="R775" i="1" s="1"/>
  <c r="S774" i="1"/>
  <c r="Q774" i="1"/>
  <c r="S773" i="1"/>
  <c r="Q773" i="1" s="1"/>
  <c r="S772" i="1"/>
  <c r="R772" i="1"/>
  <c r="S771" i="1"/>
  <c r="Q771" i="1" s="1"/>
  <c r="S770" i="1"/>
  <c r="Q770" i="1"/>
  <c r="S769" i="1"/>
  <c r="S768" i="1"/>
  <c r="Q768" i="1" s="1"/>
  <c r="S767" i="1"/>
  <c r="R767" i="1"/>
  <c r="S766" i="1"/>
  <c r="R766" i="1" s="1"/>
  <c r="S765" i="1"/>
  <c r="Q765" i="1"/>
  <c r="S764" i="1"/>
  <c r="S763" i="1"/>
  <c r="R763" i="1"/>
  <c r="S762" i="1"/>
  <c r="R762" i="1" s="1"/>
  <c r="S761" i="1"/>
  <c r="S760" i="1"/>
  <c r="R760" i="1"/>
  <c r="S759" i="1"/>
  <c r="R759" i="1" s="1"/>
  <c r="S758" i="1"/>
  <c r="Q758" i="1"/>
  <c r="S757" i="1"/>
  <c r="R757" i="1" s="1"/>
  <c r="S756" i="1"/>
  <c r="Q756" i="1"/>
  <c r="S755" i="1"/>
  <c r="Q755" i="1" s="1"/>
  <c r="S703" i="1"/>
  <c r="R703" i="1"/>
  <c r="S749" i="1"/>
  <c r="S748" i="1"/>
  <c r="R748" i="1"/>
  <c r="S741" i="1"/>
  <c r="Q741" i="1" s="1"/>
  <c r="S740" i="1"/>
  <c r="R740" i="1"/>
  <c r="S738" i="1"/>
  <c r="R738" i="1" s="1"/>
  <c r="S737" i="1"/>
  <c r="R737" i="1"/>
  <c r="S736" i="1"/>
  <c r="R736" i="1" s="1"/>
  <c r="S735" i="1"/>
  <c r="R735" i="1"/>
  <c r="S734" i="1"/>
  <c r="S733" i="1"/>
  <c r="Q733" i="1" s="1"/>
  <c r="S732" i="1"/>
  <c r="R732" i="1"/>
  <c r="Q732" i="1"/>
  <c r="S731" i="1"/>
  <c r="R731" i="1"/>
  <c r="S730" i="1"/>
  <c r="R730" i="1" s="1"/>
  <c r="S729" i="1"/>
  <c r="S728" i="1"/>
  <c r="Q728" i="1"/>
  <c r="S727" i="1"/>
  <c r="Q727" i="1" s="1"/>
  <c r="S726" i="1"/>
  <c r="S725" i="1"/>
  <c r="Q725" i="1" s="1"/>
  <c r="S724" i="1"/>
  <c r="S723" i="1"/>
  <c r="S722" i="1"/>
  <c r="Q722" i="1" s="1"/>
  <c r="S721" i="1"/>
  <c r="S720" i="1"/>
  <c r="R720" i="1"/>
  <c r="S719" i="1"/>
  <c r="R719" i="1" s="1"/>
  <c r="S718" i="1"/>
  <c r="Q718" i="1"/>
  <c r="S717" i="1"/>
  <c r="R717" i="1" s="1"/>
  <c r="S716" i="1"/>
  <c r="Q716" i="1"/>
  <c r="R716" i="1"/>
  <c r="S715" i="1"/>
  <c r="R715" i="1"/>
  <c r="S714" i="1"/>
  <c r="Q714" i="1" s="1"/>
  <c r="S713" i="1"/>
  <c r="R713" i="1"/>
  <c r="S712" i="1"/>
  <c r="R712" i="1" s="1"/>
  <c r="S711" i="1"/>
  <c r="Q711" i="1" s="1"/>
  <c r="S710" i="1"/>
  <c r="S709" i="1"/>
  <c r="R709" i="1"/>
  <c r="S706" i="1"/>
  <c r="R706" i="1" s="1"/>
  <c r="S704" i="1"/>
  <c r="Q704" i="1"/>
  <c r="S702" i="1"/>
  <c r="Q702" i="1" s="1"/>
  <c r="S701" i="1"/>
  <c r="R701" i="1"/>
  <c r="S700" i="1"/>
  <c r="R700" i="1" s="1"/>
  <c r="S695" i="1"/>
  <c r="R695" i="1"/>
  <c r="S694" i="1"/>
  <c r="S693" i="1"/>
  <c r="S692" i="1"/>
  <c r="S691" i="1"/>
  <c r="Q691" i="1" s="1"/>
  <c r="G670" i="1"/>
  <c r="S669" i="1"/>
  <c r="R669" i="1"/>
  <c r="S668" i="1"/>
  <c r="Q668" i="1" s="1"/>
  <c r="S665" i="1"/>
  <c r="R665" i="1"/>
  <c r="S664" i="1"/>
  <c r="R664" i="1" s="1"/>
  <c r="S663" i="1"/>
  <c r="R663" i="1"/>
  <c r="S662" i="1"/>
  <c r="Q662" i="1" s="1"/>
  <c r="S661" i="1"/>
  <c r="Q661" i="1"/>
  <c r="S656" i="1"/>
  <c r="Q656" i="1" s="1"/>
  <c r="S655" i="1"/>
  <c r="Q655" i="1"/>
  <c r="S653" i="1"/>
  <c r="Q653" i="1" s="1"/>
  <c r="S651" i="1"/>
  <c r="Q651" i="1"/>
  <c r="S650" i="1"/>
  <c r="Q650" i="1" s="1"/>
  <c r="A607" i="1"/>
  <c r="S607" i="1"/>
  <c r="Q607" i="1" s="1"/>
  <c r="S606" i="1"/>
  <c r="Q606" i="1"/>
  <c r="S605" i="1"/>
  <c r="Q605" i="1" s="1"/>
  <c r="S604" i="1"/>
  <c r="Q604" i="1"/>
  <c r="S603" i="1"/>
  <c r="S602" i="1"/>
  <c r="S601" i="1"/>
  <c r="R601" i="1"/>
  <c r="S600" i="1"/>
  <c r="S599" i="1"/>
  <c r="Q599" i="1" s="1"/>
  <c r="S598" i="1"/>
  <c r="S597" i="1"/>
  <c r="R597" i="1" s="1"/>
  <c r="S596" i="1"/>
  <c r="Q596" i="1"/>
  <c r="S595" i="1"/>
  <c r="S594" i="1"/>
  <c r="R594" i="1" s="1"/>
  <c r="S593" i="1"/>
  <c r="S497" i="1"/>
  <c r="Q497" i="1" s="1"/>
  <c r="S280" i="1"/>
  <c r="R280" i="1" s="1"/>
  <c r="S279" i="1"/>
  <c r="S652" i="1"/>
  <c r="Q652" i="1" s="1"/>
  <c r="AY156" i="7"/>
  <c r="K38" i="5"/>
  <c r="AY78" i="7"/>
  <c r="AY38" i="7"/>
  <c r="R39" i="5"/>
  <c r="R38" i="5"/>
  <c r="AY117" i="7"/>
  <c r="AY195" i="7"/>
  <c r="R36" i="5"/>
  <c r="D102" i="6"/>
  <c r="D24" i="6"/>
  <c r="E24" i="6" s="1"/>
  <c r="F24" i="6" s="1"/>
  <c r="R276" i="1"/>
  <c r="Q276" i="1"/>
  <c r="Q470" i="1"/>
  <c r="R752" i="1"/>
  <c r="Q752" i="1"/>
  <c r="R470" i="1"/>
  <c r="T144" i="1"/>
  <c r="L144" i="1" s="1"/>
  <c r="D38" i="5"/>
  <c r="T467" i="1"/>
  <c r="L467" i="1" s="1"/>
  <c r="D37" i="5"/>
  <c r="D6" i="6"/>
  <c r="T520" i="1"/>
  <c r="T517" i="1"/>
  <c r="D87" i="6"/>
  <c r="D93" i="6"/>
  <c r="K36" i="5"/>
  <c r="D39" i="5"/>
  <c r="D59" i="6"/>
  <c r="E59" i="6" s="1"/>
  <c r="F59" i="6" s="1"/>
  <c r="Q590" i="1"/>
  <c r="R590" i="1"/>
  <c r="Q314" i="1"/>
  <c r="Q512" i="1"/>
  <c r="Q747" i="1"/>
  <c r="Q538" i="1"/>
  <c r="Q327" i="1"/>
  <c r="AB258" i="1"/>
  <c r="D23" i="6"/>
  <c r="E23" i="6" s="1"/>
  <c r="F23" i="6" s="1"/>
  <c r="D48" i="6"/>
  <c r="W163" i="1"/>
  <c r="Q23" i="1"/>
  <c r="Q25" i="1"/>
  <c r="Q19" i="1"/>
  <c r="D85" i="6"/>
  <c r="D95" i="6"/>
  <c r="D52" i="6"/>
  <c r="D90" i="6"/>
  <c r="K20" i="5"/>
  <c r="K26" i="5"/>
  <c r="Q708" i="1"/>
  <c r="Z482" i="1"/>
  <c r="D86" i="6"/>
  <c r="D30" i="5"/>
  <c r="D94" i="6"/>
  <c r="K23" i="5"/>
  <c r="D101" i="6"/>
  <c r="D81" i="6"/>
  <c r="D79" i="6"/>
  <c r="Q21" i="1"/>
  <c r="Z166" i="1"/>
  <c r="D66" i="6"/>
  <c r="R25" i="5"/>
  <c r="R34" i="5"/>
  <c r="D20" i="5"/>
  <c r="K32" i="5"/>
  <c r="Q336" i="1"/>
  <c r="Q328" i="1"/>
  <c r="R304" i="1"/>
  <c r="R296" i="1"/>
  <c r="R18" i="5"/>
  <c r="Q563" i="1"/>
  <c r="Q571" i="1"/>
  <c r="Q303" i="1"/>
  <c r="R351" i="1"/>
  <c r="R287" i="1"/>
  <c r="Q531" i="1"/>
  <c r="R505" i="1"/>
  <c r="Q526" i="1"/>
  <c r="R21" i="5"/>
  <c r="D71" i="6"/>
  <c r="R17" i="5"/>
  <c r="Q342" i="1"/>
  <c r="R28" i="5"/>
  <c r="D96" i="6"/>
  <c r="Q562" i="1"/>
  <c r="Q346" i="1"/>
  <c r="Q504" i="1"/>
  <c r="D23" i="5"/>
  <c r="R326" i="1"/>
  <c r="R290" i="1"/>
  <c r="Q530" i="1"/>
  <c r="Q302" i="1"/>
  <c r="Q570" i="1"/>
  <c r="R322" i="1"/>
  <c r="Q746" i="1"/>
  <c r="Q546" i="1"/>
  <c r="D73" i="6"/>
  <c r="P667" i="1"/>
  <c r="D42" i="6"/>
  <c r="D27" i="5"/>
  <c r="D53" i="6"/>
  <c r="Z239" i="1"/>
  <c r="Z95" i="1"/>
  <c r="W190" i="1"/>
  <c r="Q527" i="1"/>
  <c r="R352" i="1"/>
  <c r="Z92" i="1"/>
  <c r="W92" i="1"/>
  <c r="W91" i="1"/>
  <c r="Z85" i="1"/>
  <c r="Q837" i="1"/>
  <c r="Q545" i="1"/>
  <c r="Q830" i="1"/>
  <c r="R577" i="1"/>
  <c r="W166" i="1"/>
  <c r="R503" i="1"/>
  <c r="R305" i="1"/>
  <c r="Q569" i="1"/>
  <c r="R288" i="1"/>
  <c r="W203" i="1"/>
  <c r="W162" i="1"/>
  <c r="W55" i="1"/>
  <c r="Q537" i="1"/>
  <c r="W479" i="1"/>
  <c r="Q519" i="1"/>
  <c r="Q281" i="1"/>
  <c r="R585" i="1"/>
  <c r="R847" i="1"/>
  <c r="Q325" i="1"/>
  <c r="R845" i="1"/>
  <c r="R750" i="1"/>
  <c r="R705" i="1"/>
  <c r="Z240" i="1"/>
  <c r="W128" i="1"/>
  <c r="Q572" i="1"/>
  <c r="Q828" i="1"/>
  <c r="W120" i="1"/>
  <c r="W49" i="1"/>
  <c r="R548" i="1"/>
  <c r="R742" i="1"/>
  <c r="W107" i="1"/>
  <c r="W61" i="1"/>
  <c r="R532" i="1"/>
  <c r="S690" i="1"/>
  <c r="S696" i="1"/>
  <c r="W65" i="1"/>
  <c r="W183" i="1"/>
  <c r="Z199" i="1"/>
  <c r="Z122" i="1"/>
  <c r="W149" i="1"/>
  <c r="Z372" i="1"/>
  <c r="W407" i="1"/>
  <c r="W421" i="1"/>
  <c r="Z387" i="1"/>
  <c r="Z220" i="1"/>
  <c r="W446" i="1"/>
  <c r="W487" i="1"/>
  <c r="Z423" i="1"/>
  <c r="Z54" i="1"/>
  <c r="Z233" i="1"/>
  <c r="Z98" i="1"/>
  <c r="Z388" i="1"/>
  <c r="W481" i="1"/>
  <c r="Z179" i="1"/>
  <c r="Z809" i="1"/>
  <c r="Z466" i="1"/>
  <c r="W165" i="1"/>
  <c r="Z221" i="1"/>
  <c r="Q848" i="1"/>
  <c r="D18" i="5"/>
  <c r="D9" i="6"/>
  <c r="W464" i="1"/>
  <c r="W170" i="1"/>
  <c r="W148" i="1"/>
  <c r="Z47" i="1"/>
  <c r="AA47" i="1" s="1"/>
  <c r="W155" i="1"/>
  <c r="W484" i="1"/>
  <c r="W420" i="1"/>
  <c r="D14" i="6"/>
  <c r="W74" i="1"/>
  <c r="W371" i="1"/>
  <c r="Z178" i="1"/>
  <c r="W436" i="1"/>
  <c r="W443" i="1"/>
  <c r="W134" i="1"/>
  <c r="W225" i="1"/>
  <c r="W200" i="1"/>
  <c r="W69" i="1"/>
  <c r="Z238" i="1"/>
  <c r="W271" i="1"/>
  <c r="K13" i="5"/>
  <c r="W413" i="1"/>
  <c r="Z77" i="1"/>
  <c r="Z419" i="1"/>
  <c r="Z108" i="1"/>
  <c r="Z139" i="1"/>
  <c r="W214" i="1"/>
  <c r="W393" i="1"/>
  <c r="W408" i="1"/>
  <c r="W459" i="1"/>
  <c r="W262" i="1"/>
  <c r="D15" i="5"/>
  <c r="D17" i="5"/>
  <c r="K6" i="5"/>
  <c r="K15" i="5"/>
  <c r="Q840" i="1"/>
  <c r="R348" i="1"/>
  <c r="O634" i="1"/>
  <c r="Z634" i="1" s="1"/>
  <c r="R855" i="1"/>
  <c r="R508" i="1"/>
  <c r="W132" i="1"/>
  <c r="R849" i="1"/>
  <c r="D4" i="5"/>
  <c r="Z435" i="1"/>
  <c r="Q356" i="1"/>
  <c r="Q284" i="1"/>
  <c r="W217" i="1"/>
  <c r="L483" i="1"/>
  <c r="R566" i="1"/>
  <c r="Q516" i="1"/>
  <c r="Q534" i="1"/>
  <c r="Q331" i="1"/>
  <c r="D10" i="6"/>
  <c r="W56" i="1"/>
  <c r="R291" i="1"/>
  <c r="W70" i="1"/>
  <c r="Q307" i="1"/>
  <c r="Q315" i="1"/>
  <c r="Q498" i="1"/>
  <c r="Q347" i="1"/>
  <c r="Q355" i="1"/>
  <c r="D9" i="5"/>
  <c r="R299" i="1"/>
  <c r="W248" i="1"/>
  <c r="W272" i="1"/>
  <c r="Q339" i="1"/>
  <c r="Q317" i="1"/>
  <c r="Z449" i="1"/>
  <c r="W58" i="1"/>
  <c r="Q301" i="1"/>
  <c r="Q528" i="1"/>
  <c r="Q743" i="1"/>
  <c r="Q285" i="1"/>
  <c r="R841" i="1"/>
  <c r="Q839" i="1"/>
  <c r="W419" i="1"/>
  <c r="L167" i="1"/>
  <c r="W239" i="1"/>
  <c r="R584" i="1"/>
  <c r="Q502" i="1"/>
  <c r="W176" i="1"/>
  <c r="W104" i="1"/>
  <c r="R858" i="1"/>
  <c r="W211" i="1"/>
  <c r="Q309" i="1"/>
  <c r="K16" i="5"/>
  <c r="W98" i="1"/>
  <c r="L368" i="1"/>
  <c r="W169" i="1"/>
  <c r="Z267" i="1"/>
  <c r="R293" i="1"/>
  <c r="W463" i="1"/>
  <c r="L133" i="1"/>
  <c r="K10" i="5"/>
  <c r="Z80" i="1"/>
  <c r="R15" i="5"/>
  <c r="R535" i="1"/>
  <c r="R654" i="1"/>
  <c r="W483" i="1"/>
  <c r="K12" i="5"/>
  <c r="R838" i="1"/>
  <c r="W430" i="1"/>
  <c r="Q324" i="1"/>
  <c r="Q509" i="1"/>
  <c r="Q258" i="1"/>
  <c r="W396" i="1"/>
  <c r="W448" i="1"/>
  <c r="Q745" i="1"/>
  <c r="R846" i="1"/>
  <c r="W441" i="1"/>
  <c r="Q501" i="1"/>
  <c r="W57" i="1"/>
  <c r="Q707" i="1"/>
  <c r="W116" i="1"/>
  <c r="W210" i="1"/>
  <c r="W146" i="1"/>
  <c r="Q332" i="1"/>
  <c r="R854" i="1"/>
  <c r="Z222" i="1"/>
  <c r="Q792" i="1"/>
  <c r="D13" i="5"/>
  <c r="W440" i="1"/>
  <c r="Q282" i="1"/>
  <c r="R321" i="1"/>
  <c r="W461" i="1"/>
  <c r="R297" i="1"/>
  <c r="W375" i="1"/>
  <c r="Q739" i="1"/>
  <c r="Q836" i="1"/>
  <c r="R744" i="1"/>
  <c r="W196" i="1"/>
  <c r="W131" i="1"/>
  <c r="Q523" i="1"/>
  <c r="D32" i="6"/>
  <c r="Q573" i="1"/>
  <c r="R353" i="1"/>
  <c r="W395" i="1"/>
  <c r="Z78" i="1"/>
  <c r="R345" i="1"/>
  <c r="W122" i="1"/>
  <c r="R857" i="1"/>
  <c r="P826" i="1"/>
  <c r="R787" i="1"/>
  <c r="Q801" i="1"/>
  <c r="Q283" i="1"/>
  <c r="P825" i="1"/>
  <c r="R774" i="1"/>
  <c r="R776" i="1"/>
  <c r="R770" i="1"/>
  <c r="R755" i="1"/>
  <c r="P821" i="1"/>
  <c r="R604" i="1"/>
  <c r="Q748" i="1"/>
  <c r="R6" i="5"/>
  <c r="Q701" i="1"/>
  <c r="R656" i="1"/>
  <c r="R725" i="1"/>
  <c r="Q738" i="1"/>
  <c r="P823" i="1"/>
  <c r="R756" i="1"/>
  <c r="P829" i="1"/>
  <c r="Q822" i="1"/>
  <c r="Q799" i="1"/>
  <c r="R711" i="1"/>
  <c r="R728" i="1"/>
  <c r="P824" i="1"/>
  <c r="Q779" i="1"/>
  <c r="Q757" i="1"/>
  <c r="Q780" i="1"/>
  <c r="Q772" i="1"/>
  <c r="R765" i="1"/>
  <c r="R668" i="1"/>
  <c r="Q695" i="1"/>
  <c r="R789" i="1"/>
  <c r="R691" i="1"/>
  <c r="R692" i="1"/>
  <c r="C831" i="1"/>
  <c r="P822" i="1"/>
  <c r="Q669" i="1"/>
  <c r="R553" i="1"/>
  <c r="W143" i="1"/>
  <c r="Q759" i="1"/>
  <c r="Q706" i="1"/>
  <c r="P827" i="1"/>
  <c r="Q709" i="1"/>
  <c r="Q782" i="1"/>
  <c r="R655" i="1"/>
  <c r="P830" i="1"/>
  <c r="P831" i="1"/>
  <c r="D33" i="6"/>
  <c r="R758" i="1"/>
  <c r="P820" i="1"/>
  <c r="R653" i="1"/>
  <c r="Q663" i="1"/>
  <c r="Q760" i="1"/>
  <c r="R820" i="1"/>
  <c r="Q664" i="1"/>
  <c r="Q715" i="1"/>
  <c r="Q692" i="1"/>
  <c r="Q694" i="1"/>
  <c r="Q767" i="1"/>
  <c r="D16" i="5"/>
  <c r="W101" i="1"/>
  <c r="D44" i="6"/>
  <c r="R771" i="1"/>
  <c r="R10" i="5"/>
  <c r="Q713" i="1"/>
  <c r="R773" i="1"/>
  <c r="R784" i="1"/>
  <c r="D30" i="6"/>
  <c r="E30" i="6" s="1"/>
  <c r="F30" i="6" s="1"/>
  <c r="Q790" i="1"/>
  <c r="W106" i="1"/>
  <c r="D43" i="6"/>
  <c r="R667" i="1"/>
  <c r="R702" i="1"/>
  <c r="R781" i="1"/>
  <c r="Q594" i="1"/>
  <c r="P668" i="1"/>
  <c r="D12" i="5"/>
  <c r="R8" i="5"/>
  <c r="Q731" i="1"/>
  <c r="Q737" i="1"/>
  <c r="D21" i="6"/>
  <c r="E21" i="6" s="1"/>
  <c r="F21" i="6" s="1"/>
  <c r="K11" i="5"/>
  <c r="Q335" i="1"/>
  <c r="P662" i="1"/>
  <c r="Q700" i="1"/>
  <c r="R661" i="1"/>
  <c r="R797" i="1"/>
  <c r="P670" i="1"/>
  <c r="Q763" i="1"/>
  <c r="R662" i="1"/>
  <c r="R733" i="1"/>
  <c r="D34" i="6"/>
  <c r="Q717" i="1"/>
  <c r="Q720" i="1"/>
  <c r="R722" i="1"/>
  <c r="R606" i="1"/>
  <c r="R556" i="1"/>
  <c r="Q578" i="1"/>
  <c r="Q550" i="1"/>
  <c r="R596" i="1"/>
  <c r="R582" i="1"/>
  <c r="R583" i="1"/>
  <c r="D28" i="5"/>
  <c r="Q614" i="1"/>
  <c r="R580" i="1"/>
  <c r="Q558" i="1"/>
  <c r="R551" i="1"/>
  <c r="Q543" i="1"/>
  <c r="R529" i="1"/>
  <c r="R506" i="1"/>
  <c r="Q520" i="1"/>
  <c r="Q513" i="1"/>
  <c r="Q500" i="1"/>
  <c r="Q540" i="1"/>
  <c r="Q510" i="1"/>
  <c r="W478" i="1"/>
  <c r="W455" i="1"/>
  <c r="W447" i="1"/>
  <c r="W427" i="1"/>
  <c r="W415" i="1"/>
  <c r="W403" i="1"/>
  <c r="W400" i="1"/>
  <c r="W386" i="1"/>
  <c r="W376" i="1"/>
  <c r="W379" i="1"/>
  <c r="W365" i="1"/>
  <c r="W480" i="1"/>
  <c r="W380" i="1"/>
  <c r="Z392" i="1"/>
  <c r="W364" i="1"/>
  <c r="W477" i="1"/>
  <c r="W417" i="1"/>
  <c r="W469" i="1"/>
  <c r="W472" i="1"/>
  <c r="W374" i="1"/>
  <c r="K33" i="5"/>
  <c r="W399" i="1"/>
  <c r="W389" i="1"/>
  <c r="Z431" i="1"/>
  <c r="W377" i="1"/>
  <c r="Q344" i="1"/>
  <c r="R350" i="1"/>
  <c r="Q319" i="1"/>
  <c r="Q310" i="1"/>
  <c r="R349" i="1"/>
  <c r="Q295" i="1"/>
  <c r="Q298" i="1"/>
  <c r="Q289" i="1"/>
  <c r="Q292" i="1"/>
  <c r="Q286" i="1"/>
  <c r="Q358" i="1"/>
  <c r="R358" i="1"/>
  <c r="W263" i="1"/>
  <c r="D8" i="5"/>
  <c r="W224" i="1"/>
  <c r="W201" i="1"/>
  <c r="W184" i="1"/>
  <c r="W187" i="1"/>
  <c r="W194" i="1"/>
  <c r="W126" i="1"/>
  <c r="W123" i="1"/>
  <c r="W114" i="1"/>
  <c r="W111" i="1"/>
  <c r="W103" i="1"/>
  <c r="Q294" i="1"/>
  <c r="R338" i="1"/>
  <c r="Q312" i="1"/>
  <c r="R318" i="1"/>
  <c r="Z259" i="1"/>
  <c r="R354" i="1"/>
  <c r="Q341" i="1"/>
  <c r="Q329" i="1"/>
  <c r="D16" i="6"/>
  <c r="E16" i="6" s="1"/>
  <c r="F16" i="6" s="1"/>
  <c r="Z159" i="1"/>
  <c r="W127" i="1"/>
  <c r="W124" i="1"/>
  <c r="W119" i="1"/>
  <c r="W204" i="1"/>
  <c r="W94" i="1"/>
  <c r="W153" i="1"/>
  <c r="D14" i="5"/>
  <c r="W71" i="1"/>
  <c r="K9" i="5"/>
  <c r="K14" i="5"/>
  <c r="Z48" i="1"/>
  <c r="W105" i="1"/>
  <c r="W182" i="1"/>
  <c r="W75" i="1"/>
  <c r="L51" i="1"/>
  <c r="L433" i="1"/>
  <c r="P663" i="1"/>
  <c r="R599" i="1"/>
  <c r="Q719" i="1"/>
  <c r="R741" i="1"/>
  <c r="Q766" i="1"/>
  <c r="R778" i="1"/>
  <c r="R651" i="1"/>
  <c r="R650" i="1"/>
  <c r="R786" i="1"/>
  <c r="R777" i="1"/>
  <c r="Q693" i="1"/>
  <c r="Q736" i="1"/>
  <c r="Q740" i="1"/>
  <c r="R768" i="1"/>
  <c r="R783" i="1"/>
  <c r="Q665" i="1"/>
  <c r="Q853" i="1"/>
  <c r="Q588" i="1"/>
  <c r="R588" i="1"/>
  <c r="R518" i="1"/>
  <c r="L237" i="1"/>
  <c r="W137" i="1"/>
  <c r="Q300" i="1"/>
  <c r="R300" i="1"/>
  <c r="R334" i="1"/>
  <c r="Z81" i="1"/>
  <c r="Z411" i="1"/>
  <c r="Q710" i="1"/>
  <c r="Q721" i="1"/>
  <c r="R704" i="1"/>
  <c r="R708" i="1"/>
  <c r="R710" i="1"/>
  <c r="R693" i="1"/>
  <c r="R694" i="1"/>
  <c r="Q724" i="1"/>
  <c r="Q751" i="1"/>
  <c r="R718" i="1"/>
  <c r="R721" i="1"/>
  <c r="R724" i="1"/>
  <c r="R485" i="1"/>
  <c r="Q435" i="1"/>
  <c r="Q403" i="1"/>
  <c r="Q485" i="1"/>
  <c r="Q625" i="1"/>
  <c r="R403" i="1"/>
  <c r="Q612" i="1"/>
  <c r="Q679" i="1"/>
  <c r="R435" i="1"/>
  <c r="Q633" i="1"/>
  <c r="Q640" i="1"/>
  <c r="Q674" i="1"/>
  <c r="Q666" i="1"/>
  <c r="R497" i="1"/>
  <c r="R612" i="1"/>
  <c r="Q670" i="1"/>
  <c r="Q675" i="1"/>
  <c r="Q676" i="1"/>
  <c r="Q677" i="1"/>
  <c r="R633" i="1"/>
  <c r="R640" i="1"/>
  <c r="Q678" i="1"/>
  <c r="Q680" i="1"/>
  <c r="R666" i="1"/>
  <c r="R675" i="1"/>
  <c r="R676" i="1"/>
  <c r="R677" i="1"/>
  <c r="Q684" i="1"/>
  <c r="R678" i="1"/>
  <c r="R679" i="1"/>
  <c r="Q685" i="1"/>
  <c r="R684" i="1"/>
  <c r="Q686" i="1"/>
  <c r="R685" i="1"/>
  <c r="R690" i="1"/>
  <c r="Q690" i="1"/>
  <c r="Q696" i="1"/>
  <c r="R824" i="1"/>
  <c r="R825" i="1"/>
  <c r="Q824" i="1"/>
  <c r="Q825" i="1"/>
  <c r="R826" i="1"/>
  <c r="Q826" i="1"/>
  <c r="R827" i="1"/>
  <c r="Q827" i="1"/>
  <c r="Q831" i="1"/>
  <c r="Q601" i="1"/>
  <c r="R579" i="1"/>
  <c r="R575" i="1"/>
  <c r="R574" i="1"/>
  <c r="Q567" i="1"/>
  <c r="Q554" i="1"/>
  <c r="R561" i="1"/>
  <c r="Q564" i="1"/>
  <c r="R547" i="1"/>
  <c r="Q525" i="1"/>
  <c r="R522" i="1"/>
  <c r="Q515" i="1"/>
  <c r="Q511" i="1"/>
  <c r="Q533" i="1"/>
  <c r="Q514" i="1"/>
  <c r="Q524" i="1"/>
  <c r="Q517" i="1"/>
  <c r="Q521" i="1"/>
  <c r="R507" i="1"/>
  <c r="R499" i="1"/>
  <c r="W486" i="1"/>
  <c r="W473" i="1"/>
  <c r="W476" i="1"/>
  <c r="W445" i="1"/>
  <c r="W450" i="1"/>
  <c r="W442" i="1"/>
  <c r="W439" i="1"/>
  <c r="W438" i="1"/>
  <c r="W458" i="1"/>
  <c r="W454" i="1"/>
  <c r="W451" i="1"/>
  <c r="W424" i="1"/>
  <c r="W404" i="1"/>
  <c r="Q385" i="1"/>
  <c r="W401" i="1"/>
  <c r="W414" i="1"/>
  <c r="W410" i="1"/>
  <c r="W406" i="1"/>
  <c r="W378" i="1"/>
  <c r="Z368" i="1"/>
  <c r="R320" i="1"/>
  <c r="Q323" i="1"/>
  <c r="R337" i="1"/>
  <c r="R343" i="1"/>
  <c r="Q330" i="1"/>
  <c r="Q280" i="1"/>
  <c r="Q316" i="1"/>
  <c r="R313" i="1"/>
  <c r="Q333" i="1"/>
  <c r="R306" i="1"/>
  <c r="Q357" i="1"/>
  <c r="R340" i="1"/>
  <c r="Z274" i="1"/>
  <c r="W208" i="1"/>
  <c r="Z212" i="1"/>
  <c r="W156" i="1"/>
  <c r="W154" i="1"/>
  <c r="W147" i="1"/>
  <c r="W117" i="1"/>
  <c r="W112" i="1"/>
  <c r="Z100" i="1"/>
  <c r="W97" i="1"/>
  <c r="Z82" i="1"/>
  <c r="W87" i="1"/>
  <c r="Z88" i="1"/>
  <c r="W67" i="1"/>
  <c r="W63" i="1"/>
  <c r="W66" i="1"/>
  <c r="W73" i="1"/>
  <c r="Z52" i="1"/>
  <c r="W384" i="1"/>
  <c r="Z369" i="1"/>
  <c r="W369" i="1"/>
  <c r="W366" i="1"/>
  <c r="W209" i="1"/>
  <c r="Z209" i="1"/>
  <c r="Z138" i="1"/>
  <c r="W138" i="1"/>
  <c r="R586" i="1"/>
  <c r="Q586" i="1"/>
  <c r="Q542" i="1"/>
  <c r="W142" i="1"/>
  <c r="D80" i="6"/>
  <c r="R311" i="1"/>
  <c r="L218" i="1"/>
  <c r="Q559" i="1"/>
  <c r="Q598" i="1"/>
  <c r="R598" i="1"/>
  <c r="R605" i="1"/>
  <c r="R31" i="5"/>
  <c r="Q279" i="1"/>
  <c r="R279" i="1"/>
  <c r="R593" i="1"/>
  <c r="Q593" i="1"/>
  <c r="Q603" i="1"/>
  <c r="R603" i="1"/>
  <c r="R539" i="1"/>
  <c r="Q539" i="1"/>
  <c r="Z250" i="1"/>
  <c r="W468" i="1"/>
  <c r="Z426" i="1"/>
  <c r="Q602" i="1"/>
  <c r="R602" i="1"/>
  <c r="Z247" i="1"/>
  <c r="R308" i="1"/>
  <c r="L151" i="1"/>
  <c r="K34" i="5"/>
  <c r="R595" i="1"/>
  <c r="Q595" i="1"/>
  <c r="R726" i="1"/>
  <c r="Q726" i="1"/>
  <c r="Q749" i="1"/>
  <c r="R749" i="1"/>
  <c r="Q769" i="1"/>
  <c r="R769" i="1"/>
  <c r="Q785" i="1"/>
  <c r="R785" i="1"/>
  <c r="Q856" i="1"/>
  <c r="R856" i="1"/>
  <c r="Q734" i="1"/>
  <c r="R734" i="1"/>
  <c r="Q761" i="1"/>
  <c r="R761" i="1"/>
  <c r="Q823" i="1"/>
  <c r="R823" i="1"/>
  <c r="R600" i="1"/>
  <c r="Q600" i="1"/>
  <c r="C670" i="1"/>
  <c r="P661" i="1"/>
  <c r="P666" i="1"/>
  <c r="P664" i="1"/>
  <c r="P665" i="1"/>
  <c r="P669" i="1"/>
  <c r="Q729" i="1"/>
  <c r="R729" i="1"/>
  <c r="Q788" i="1"/>
  <c r="R788" i="1"/>
  <c r="R821" i="1"/>
  <c r="Q821" i="1"/>
  <c r="R723" i="1"/>
  <c r="Q723" i="1"/>
  <c r="Q764" i="1"/>
  <c r="R764" i="1"/>
  <c r="Q800" i="1"/>
  <c r="R800" i="1"/>
  <c r="R835" i="1"/>
  <c r="Q835" i="1"/>
  <c r="R727" i="1"/>
  <c r="Q703" i="1"/>
  <c r="R798" i="1"/>
  <c r="Q735" i="1"/>
  <c r="Z194" i="1"/>
  <c r="S493" i="1" l="1"/>
  <c r="R613" i="1"/>
  <c r="Q555" i="1"/>
  <c r="Q536" i="1"/>
  <c r="Q544" i="1"/>
  <c r="Q565" i="1"/>
  <c r="R581" i="1"/>
  <c r="R568" i="1"/>
  <c r="R541" i="1"/>
  <c r="R552" i="1"/>
  <c r="R587" i="1"/>
  <c r="R560" i="1"/>
  <c r="Q557" i="1"/>
  <c r="R549" i="1"/>
  <c r="Q576" i="1"/>
  <c r="W470" i="1"/>
  <c r="Z370" i="1"/>
  <c r="Z483" i="1"/>
  <c r="Z479" i="1"/>
  <c r="W246" i="1"/>
  <c r="Z249" i="1"/>
  <c r="W144" i="1"/>
  <c r="W135" i="1"/>
  <c r="W130" i="1"/>
  <c r="Z86" i="1"/>
  <c r="W68" i="1"/>
  <c r="W457" i="1"/>
  <c r="Q434" i="1"/>
  <c r="Z469" i="1"/>
  <c r="Z363" i="1"/>
  <c r="AA363" i="1" s="1"/>
  <c r="AB363" i="1" s="1"/>
  <c r="W465" i="1"/>
  <c r="W409" i="1"/>
  <c r="Z394" i="1"/>
  <c r="W391" i="1"/>
  <c r="W453" i="1"/>
  <c r="W425" i="1"/>
  <c r="W405" i="1"/>
  <c r="W444" i="1"/>
  <c r="W475" i="1"/>
  <c r="W416" i="1"/>
  <c r="W373" i="1"/>
  <c r="W412" i="1"/>
  <c r="W422" i="1"/>
  <c r="W402" i="1"/>
  <c r="W467" i="1"/>
  <c r="L366" i="1"/>
  <c r="W398" i="1"/>
  <c r="W428" i="1"/>
  <c r="Z367" i="1"/>
  <c r="W471" i="1"/>
  <c r="R24" i="5"/>
  <c r="Z268" i="1"/>
  <c r="W264" i="1"/>
  <c r="Z270" i="1"/>
  <c r="Z244" i="1"/>
  <c r="K5" i="5"/>
  <c r="Z235" i="1"/>
  <c r="R12" i="5"/>
  <c r="W243" i="1"/>
  <c r="Z232" i="1"/>
  <c r="AA232" i="1" s="1"/>
  <c r="Z59" i="1"/>
  <c r="Z136" i="1"/>
  <c r="W102" i="1"/>
  <c r="Z96" i="1"/>
  <c r="W72" i="1"/>
  <c r="Z160" i="1"/>
  <c r="W164" i="1"/>
  <c r="W173" i="1"/>
  <c r="W79" i="1"/>
  <c r="W93" i="1"/>
  <c r="X45" i="1"/>
  <c r="W76" i="1"/>
  <c r="W109" i="1"/>
  <c r="W83" i="1"/>
  <c r="W150" i="1"/>
  <c r="Z167" i="1"/>
  <c r="W145" i="1"/>
  <c r="W177" i="1"/>
  <c r="Z129" i="1"/>
  <c r="W53" i="1"/>
  <c r="W64" i="1"/>
  <c r="W125" i="1"/>
  <c r="Z51" i="1"/>
  <c r="Z118" i="1"/>
  <c r="Z157" i="1"/>
  <c r="W152" i="1"/>
  <c r="AB47" i="1"/>
  <c r="W121" i="1"/>
  <c r="W189" i="1"/>
  <c r="W186" i="1"/>
  <c r="W195" i="1"/>
  <c r="Z198" i="1"/>
  <c r="W202" i="1"/>
  <c r="D25" i="5"/>
  <c r="K28" i="5"/>
  <c r="K31" i="5"/>
  <c r="Z216" i="1"/>
  <c r="W226" i="1"/>
  <c r="K30" i="5"/>
  <c r="K8" i="5"/>
  <c r="Z206" i="1"/>
  <c r="K24" i="5"/>
  <c r="D31" i="5"/>
  <c r="R32" i="5"/>
  <c r="D32" i="5"/>
  <c r="Z218" i="1"/>
  <c r="Z366" i="1"/>
  <c r="Z171" i="1"/>
  <c r="Z137" i="1"/>
  <c r="Z113" i="1"/>
  <c r="Z62" i="1"/>
  <c r="R7" i="5"/>
  <c r="L426" i="1"/>
  <c r="AB255" i="1"/>
  <c r="AB256" i="1" s="1"/>
  <c r="Z383" i="1"/>
  <c r="Z433" i="1"/>
  <c r="Z242" i="1"/>
  <c r="L236" i="1"/>
  <c r="Z219" i="1"/>
  <c r="Z260" i="1"/>
  <c r="Z237" i="1"/>
  <c r="Z180" i="1"/>
  <c r="D29" i="5"/>
  <c r="D33" i="5"/>
  <c r="R30" i="5"/>
  <c r="K27" i="5"/>
  <c r="K21" i="5"/>
  <c r="R33" i="5"/>
  <c r="R29" i="5"/>
  <c r="AB804" i="1"/>
  <c r="AB805" i="1" s="1"/>
  <c r="Z161" i="1"/>
  <c r="W390" i="1"/>
  <c r="Z151" i="1"/>
  <c r="Z269" i="1"/>
  <c r="W460" i="1"/>
  <c r="W429" i="1"/>
  <c r="W110" i="1"/>
  <c r="Z432" i="1"/>
  <c r="W192" i="1"/>
  <c r="Z245" i="1"/>
  <c r="Z155" i="1"/>
  <c r="W141" i="1"/>
  <c r="K29" i="5"/>
  <c r="Z149" i="1"/>
  <c r="Z60" i="1"/>
  <c r="Z90" i="1"/>
  <c r="W140" i="1"/>
  <c r="Z223" i="1"/>
  <c r="W381" i="1"/>
  <c r="W418" i="1"/>
  <c r="Z207" i="1"/>
  <c r="W215" i="1"/>
  <c r="W205" i="1"/>
  <c r="W474" i="1"/>
  <c r="Z84" i="1"/>
  <c r="W175" i="1"/>
  <c r="R11" i="5"/>
  <c r="L367" i="1"/>
  <c r="Z374" i="1"/>
  <c r="AA375" i="1" s="1"/>
  <c r="Z461" i="1"/>
  <c r="Z213" i="1"/>
  <c r="Z485" i="1"/>
  <c r="W452" i="1"/>
  <c r="W437" i="1"/>
  <c r="R26" i="5"/>
  <c r="AA629" i="1"/>
  <c r="Z261" i="1"/>
  <c r="D26" i="5"/>
  <c r="Z813" i="1"/>
  <c r="AA807" i="1" s="1"/>
  <c r="Z50" i="1"/>
  <c r="AA365" i="1"/>
  <c r="AB365" i="1" s="1"/>
  <c r="D24" i="5"/>
  <c r="D98" i="6"/>
  <c r="Z133" i="1"/>
  <c r="AA364" i="1"/>
  <c r="AB364" i="1" s="1"/>
  <c r="AA48" i="1"/>
  <c r="AB48" i="1" s="1"/>
  <c r="Z143" i="1"/>
  <c r="AA630" i="1"/>
  <c r="AA808" i="1"/>
  <c r="Z99" i="1"/>
  <c r="Z115" i="1"/>
  <c r="Z187" i="1"/>
  <c r="Z183" i="1"/>
  <c r="Z154" i="1"/>
  <c r="AA810" i="1"/>
  <c r="AA378" i="1"/>
  <c r="AB378" i="1" s="1"/>
  <c r="D56" i="6"/>
  <c r="Z265" i="1"/>
  <c r="Z147" i="1"/>
  <c r="Z631" i="1"/>
  <c r="AA632" i="1" s="1"/>
  <c r="AA370" i="1"/>
  <c r="AB370" i="1" s="1"/>
  <c r="L469" i="1"/>
  <c r="AA812" i="1"/>
  <c r="AA233" i="1"/>
  <c r="Z266" i="1"/>
  <c r="D34" i="5"/>
  <c r="AB623" i="1"/>
  <c r="AB624" i="1" s="1"/>
  <c r="K22" i="5"/>
  <c r="R13" i="5"/>
  <c r="Z234" i="1"/>
  <c r="AA234" i="1" s="1"/>
  <c r="Z252" i="1"/>
  <c r="Z236" i="1"/>
  <c r="R14" i="5"/>
  <c r="AB229" i="1"/>
  <c r="AB230" i="1" s="1"/>
  <c r="Z251" i="1"/>
  <c r="D6" i="5"/>
  <c r="W265" i="1"/>
  <c r="Z241" i="1"/>
  <c r="R9" i="5"/>
  <c r="Z459" i="1"/>
  <c r="L50" i="1"/>
  <c r="D21" i="5"/>
  <c r="Z397" i="1"/>
  <c r="Z174" i="1"/>
  <c r="W172" i="1"/>
  <c r="Z103" i="1"/>
  <c r="W191" i="1"/>
  <c r="Z185" i="1"/>
  <c r="W181" i="1"/>
  <c r="AA619" i="1"/>
  <c r="AA49" i="1"/>
  <c r="E32" i="6"/>
  <c r="F32" i="6" s="1"/>
  <c r="AA381" i="1"/>
  <c r="AA373" i="1"/>
  <c r="AA372" i="1"/>
  <c r="Q712" i="1"/>
  <c r="R791" i="1"/>
  <c r="Q597" i="1"/>
  <c r="Q762" i="1"/>
  <c r="Q730" i="1"/>
  <c r="Q775" i="1"/>
  <c r="R652" i="1"/>
  <c r="R714" i="1"/>
  <c r="Z158" i="1"/>
  <c r="R4" i="5"/>
  <c r="L60" i="1"/>
  <c r="D5" i="5"/>
  <c r="L459" i="1"/>
  <c r="L158" i="1"/>
  <c r="L468" i="1"/>
  <c r="Z193" i="1"/>
  <c r="W193" i="1"/>
  <c r="Z148" i="1"/>
  <c r="W168" i="1"/>
  <c r="Z168" i="1"/>
  <c r="Z447" i="1"/>
  <c r="Z462" i="1"/>
  <c r="W462" i="1"/>
  <c r="Z382" i="1"/>
  <c r="Z55" i="1"/>
  <c r="Z450" i="1"/>
  <c r="Z188" i="1"/>
  <c r="E34" i="6" l="1"/>
  <c r="E33" i="6"/>
  <c r="E36" i="6"/>
  <c r="E35" i="6"/>
  <c r="E11" i="6"/>
  <c r="E14" i="6"/>
  <c r="E13" i="6"/>
  <c r="E12" i="6"/>
  <c r="E8" i="6"/>
  <c r="E10" i="6"/>
  <c r="E9" i="6"/>
  <c r="AA368" i="1"/>
  <c r="AB368" i="1" s="1"/>
  <c r="AB232" i="1"/>
  <c r="S232" i="1" s="1"/>
  <c r="AA394" i="1"/>
  <c r="AB810" i="1"/>
  <c r="S810" i="1" s="1"/>
  <c r="Q810" i="1" s="1"/>
  <c r="AB808" i="1"/>
  <c r="S808" i="1" s="1"/>
  <c r="Q808" i="1" s="1"/>
  <c r="AA244" i="1"/>
  <c r="AB244" i="1" s="1"/>
  <c r="S244" i="1" s="1"/>
  <c r="AA52" i="1"/>
  <c r="AB52" i="1" s="1"/>
  <c r="AA53" i="1"/>
  <c r="AA380" i="1"/>
  <c r="AB380" i="1" s="1"/>
  <c r="AA367" i="1"/>
  <c r="AB367" i="1" s="1"/>
  <c r="AA379" i="1"/>
  <c r="AB379" i="1" s="1"/>
  <c r="AA371" i="1"/>
  <c r="AB371" i="1" s="1"/>
  <c r="AA377" i="1"/>
  <c r="AB377" i="1" s="1"/>
  <c r="AA376" i="1"/>
  <c r="AB376" i="1" s="1"/>
  <c r="AA369" i="1"/>
  <c r="AB369" i="1" s="1"/>
  <c r="E82" i="6"/>
  <c r="E77" i="6"/>
  <c r="E72" i="6"/>
  <c r="E44" i="6"/>
  <c r="E37" i="6"/>
  <c r="E41" i="6"/>
  <c r="E104" i="6"/>
  <c r="AA635" i="1"/>
  <c r="AA54" i="1"/>
  <c r="AB54" i="1" s="1"/>
  <c r="E56" i="6"/>
  <c r="AB807" i="1"/>
  <c r="S807" i="1" s="1"/>
  <c r="E84" i="6"/>
  <c r="E83" i="6"/>
  <c r="AA620" i="1"/>
  <c r="AA636" i="1"/>
  <c r="AA85" i="1"/>
  <c r="AB85" i="1" s="1"/>
  <c r="E90" i="6"/>
  <c r="E47" i="6"/>
  <c r="E71" i="6"/>
  <c r="E65" i="6"/>
  <c r="E50" i="6"/>
  <c r="AB812" i="1"/>
  <c r="S812" i="1" s="1"/>
  <c r="Q812" i="1" s="1"/>
  <c r="E94" i="6"/>
  <c r="E6" i="6"/>
  <c r="E54" i="6"/>
  <c r="E67" i="6"/>
  <c r="E95" i="6"/>
  <c r="E5" i="6"/>
  <c r="E49" i="6"/>
  <c r="E98" i="6"/>
  <c r="E96" i="6"/>
  <c r="E85" i="6"/>
  <c r="E97" i="6"/>
  <c r="AA815" i="1"/>
  <c r="E80" i="6"/>
  <c r="E86" i="6"/>
  <c r="E40" i="6"/>
  <c r="E76" i="6"/>
  <c r="E105" i="6"/>
  <c r="E88" i="6"/>
  <c r="E64" i="6"/>
  <c r="E53" i="6"/>
  <c r="E89" i="6"/>
  <c r="E42" i="6"/>
  <c r="E79" i="6"/>
  <c r="E4" i="6"/>
  <c r="E92" i="6"/>
  <c r="E73" i="6"/>
  <c r="E55" i="6"/>
  <c r="E100" i="6"/>
  <c r="E51" i="6"/>
  <c r="E101" i="6"/>
  <c r="AA809" i="1"/>
  <c r="AB809" i="1" s="1"/>
  <c r="S809" i="1" s="1"/>
  <c r="E74" i="6"/>
  <c r="E99" i="6"/>
  <c r="E75" i="6"/>
  <c r="E68" i="6"/>
  <c r="E63" i="6"/>
  <c r="E102" i="6"/>
  <c r="E7" i="6"/>
  <c r="E66" i="6"/>
  <c r="E70" i="6"/>
  <c r="E52" i="6"/>
  <c r="E62" i="6"/>
  <c r="E43" i="6"/>
  <c r="E87" i="6"/>
  <c r="E81" i="6"/>
  <c r="E46" i="6"/>
  <c r="E91" i="6"/>
  <c r="E38" i="6"/>
  <c r="E48" i="6"/>
  <c r="E45" i="6"/>
  <c r="E69" i="6"/>
  <c r="E61" i="6"/>
  <c r="AA265" i="1"/>
  <c r="AB265" i="1" s="1"/>
  <c r="S265" i="1" s="1"/>
  <c r="Q265" i="1" s="1"/>
  <c r="AA813" i="1"/>
  <c r="AB813" i="1" s="1"/>
  <c r="S813" i="1" s="1"/>
  <c r="AA811" i="1"/>
  <c r="AB811" i="1" s="1"/>
  <c r="S811" i="1" s="1"/>
  <c r="AA814" i="1"/>
  <c r="AB814" i="1" s="1"/>
  <c r="S814" i="1" s="1"/>
  <c r="Q814" i="1" s="1"/>
  <c r="AA447" i="1"/>
  <c r="AB447" i="1" s="1"/>
  <c r="AA241" i="1"/>
  <c r="AB241" i="1" s="1"/>
  <c r="S241" i="1" s="1"/>
  <c r="R810" i="1"/>
  <c r="AA634" i="1"/>
  <c r="AB634" i="1" s="1"/>
  <c r="S634" i="1" s="1"/>
  <c r="AA644" i="1"/>
  <c r="AB644" i="1" s="1"/>
  <c r="S644" i="1" s="1"/>
  <c r="AA639" i="1"/>
  <c r="AB639" i="1" s="1"/>
  <c r="S639" i="1" s="1"/>
  <c r="AA631" i="1"/>
  <c r="AA638" i="1"/>
  <c r="AB638" i="1" s="1"/>
  <c r="S638" i="1" s="1"/>
  <c r="AB233" i="1"/>
  <c r="S233" i="1" s="1"/>
  <c r="Q233" i="1" s="1"/>
  <c r="AA637" i="1"/>
  <c r="AA628" i="1"/>
  <c r="E78" i="6"/>
  <c r="AA251" i="1"/>
  <c r="AB251" i="1" s="1"/>
  <c r="S251" i="1" s="1"/>
  <c r="AB234" i="1"/>
  <c r="S234" i="1" s="1"/>
  <c r="R234" i="1" s="1"/>
  <c r="E39" i="6"/>
  <c r="E103" i="6"/>
  <c r="E93" i="6"/>
  <c r="AB630" i="1"/>
  <c r="S630" i="1" s="1"/>
  <c r="AB632" i="1"/>
  <c r="S632" i="1" s="1"/>
  <c r="AA266" i="1"/>
  <c r="AB266" i="1" s="1"/>
  <c r="S266" i="1" s="1"/>
  <c r="AA267" i="1"/>
  <c r="AB267" i="1" s="1"/>
  <c r="S267" i="1" s="1"/>
  <c r="AA264" i="1"/>
  <c r="AB264" i="1" s="1"/>
  <c r="S264" i="1" s="1"/>
  <c r="AA269" i="1"/>
  <c r="AB269" i="1" s="1"/>
  <c r="S269" i="1" s="1"/>
  <c r="AA274" i="1"/>
  <c r="AB274" i="1" s="1"/>
  <c r="S274" i="1" s="1"/>
  <c r="AB629" i="1"/>
  <c r="S629" i="1" s="1"/>
  <c r="AA273" i="1"/>
  <c r="AB273" i="1" s="1"/>
  <c r="S273" i="1" s="1"/>
  <c r="AB628" i="1"/>
  <c r="S628" i="1" s="1"/>
  <c r="AA240" i="1"/>
  <c r="AB240" i="1" s="1"/>
  <c r="S240" i="1" s="1"/>
  <c r="AA252" i="1"/>
  <c r="AB252" i="1" s="1"/>
  <c r="S252" i="1" s="1"/>
  <c r="AA272" i="1"/>
  <c r="AB272" i="1" s="1"/>
  <c r="S272" i="1" s="1"/>
  <c r="AA262" i="1"/>
  <c r="AB262" i="1" s="1"/>
  <c r="S262" i="1" s="1"/>
  <c r="AA250" i="1"/>
  <c r="AB250" i="1" s="1"/>
  <c r="S250" i="1" s="1"/>
  <c r="AA268" i="1"/>
  <c r="AB268" i="1" s="1"/>
  <c r="S268" i="1" s="1"/>
  <c r="AA247" i="1"/>
  <c r="AB247" i="1" s="1"/>
  <c r="S247" i="1" s="1"/>
  <c r="AB635" i="1"/>
  <c r="S635" i="1" s="1"/>
  <c r="AA248" i="1"/>
  <c r="AB248" i="1" s="1"/>
  <c r="S248" i="1" s="1"/>
  <c r="Q248" i="1" s="1"/>
  <c r="AA270" i="1"/>
  <c r="AB270" i="1" s="1"/>
  <c r="S270" i="1" s="1"/>
  <c r="AA235" i="1"/>
  <c r="AB235" i="1" s="1"/>
  <c r="S235" i="1" s="1"/>
  <c r="Q235" i="1" s="1"/>
  <c r="AA237" i="1"/>
  <c r="AB237" i="1" s="1"/>
  <c r="S237" i="1" s="1"/>
  <c r="Q237" i="1" s="1"/>
  <c r="AB620" i="1"/>
  <c r="S620" i="1" s="1"/>
  <c r="R620" i="1" s="1"/>
  <c r="AA236" i="1"/>
  <c r="AB236" i="1" s="1"/>
  <c r="S236" i="1" s="1"/>
  <c r="AA238" i="1"/>
  <c r="AB238" i="1" s="1"/>
  <c r="S238" i="1" s="1"/>
  <c r="AA246" i="1"/>
  <c r="AB246" i="1" s="1"/>
  <c r="S246" i="1" s="1"/>
  <c r="AA271" i="1"/>
  <c r="AB271" i="1" s="1"/>
  <c r="S271" i="1" s="1"/>
  <c r="AA231" i="1"/>
  <c r="AA259" i="1"/>
  <c r="AB259" i="1" s="1"/>
  <c r="S259" i="1" s="1"/>
  <c r="AB636" i="1"/>
  <c r="S636" i="1" s="1"/>
  <c r="AA261" i="1"/>
  <c r="AB261" i="1" s="1"/>
  <c r="S261" i="1" s="1"/>
  <c r="AA263" i="1"/>
  <c r="AB263" i="1" s="1"/>
  <c r="S263" i="1" s="1"/>
  <c r="AA450" i="1"/>
  <c r="AB450" i="1" s="1"/>
  <c r="AA462" i="1"/>
  <c r="AA239" i="1"/>
  <c r="AB239" i="1" s="1"/>
  <c r="S239" i="1" s="1"/>
  <c r="AA245" i="1"/>
  <c r="AB245" i="1" s="1"/>
  <c r="S245" i="1" s="1"/>
  <c r="AA242" i="1"/>
  <c r="AB242" i="1" s="1"/>
  <c r="S242" i="1" s="1"/>
  <c r="AB627" i="1"/>
  <c r="S627" i="1" s="1"/>
  <c r="AB626" i="1" s="1"/>
  <c r="AB619" i="1"/>
  <c r="S619" i="1" s="1"/>
  <c r="R619" i="1" s="1"/>
  <c r="R232" i="1"/>
  <c r="Q232" i="1"/>
  <c r="AA243" i="1"/>
  <c r="AB243" i="1" s="1"/>
  <c r="S243" i="1" s="1"/>
  <c r="AB631" i="1"/>
  <c r="S631" i="1" s="1"/>
  <c r="AA249" i="1"/>
  <c r="AB249" i="1" s="1"/>
  <c r="S249" i="1" s="1"/>
  <c r="AB637" i="1"/>
  <c r="S637" i="1" s="1"/>
  <c r="AA260" i="1"/>
  <c r="AB260" i="1" s="1"/>
  <c r="S260" i="1" s="1"/>
  <c r="AB394" i="1"/>
  <c r="AA158" i="1"/>
  <c r="AA464" i="1"/>
  <c r="AA457" i="1"/>
  <c r="AA75" i="1"/>
  <c r="AA103" i="1"/>
  <c r="AB373" i="1"/>
  <c r="AA429" i="1"/>
  <c r="AA390" i="1"/>
  <c r="AA425" i="1"/>
  <c r="AB375" i="1"/>
  <c r="AA406" i="1"/>
  <c r="AA84" i="1"/>
  <c r="AA116" i="1"/>
  <c r="R627" i="1"/>
  <c r="AA77" i="1"/>
  <c r="AA57" i="1"/>
  <c r="AA109" i="1"/>
  <c r="AA83" i="1"/>
  <c r="AA88" i="1"/>
  <c r="AA168" i="1"/>
  <c r="AA121" i="1"/>
  <c r="AA395" i="1"/>
  <c r="AA421" i="1"/>
  <c r="AA445" i="1"/>
  <c r="AA78" i="1"/>
  <c r="AA89" i="1"/>
  <c r="AA420" i="1"/>
  <c r="AA446" i="1"/>
  <c r="AA407" i="1"/>
  <c r="AA451" i="1"/>
  <c r="AB381" i="1"/>
  <c r="AA442" i="1"/>
  <c r="AA64" i="1"/>
  <c r="AA119" i="1"/>
  <c r="AA71" i="1"/>
  <c r="AA123" i="1"/>
  <c r="AA67" i="1"/>
  <c r="AA122" i="1"/>
  <c r="AA112" i="1"/>
  <c r="AA173" i="1"/>
  <c r="AA132" i="1"/>
  <c r="AA207" i="1"/>
  <c r="AA174" i="1"/>
  <c r="AA179" i="1"/>
  <c r="AA190" i="1"/>
  <c r="AA189" i="1"/>
  <c r="AA222" i="1"/>
  <c r="AA144" i="1"/>
  <c r="AA155" i="1"/>
  <c r="AA145" i="1"/>
  <c r="AA220" i="1"/>
  <c r="AA175" i="1"/>
  <c r="AA138" i="1"/>
  <c r="AA210" i="1"/>
  <c r="AA211" i="1"/>
  <c r="AA129" i="1"/>
  <c r="AA151" i="1"/>
  <c r="AA149" i="1"/>
  <c r="AA161" i="1"/>
  <c r="AA212" i="1"/>
  <c r="AA198" i="1"/>
  <c r="AA133" i="1"/>
  <c r="AA55" i="1"/>
  <c r="AA115" i="1"/>
  <c r="AA162" i="1"/>
  <c r="AA76" i="1"/>
  <c r="AA102" i="1"/>
  <c r="AA73" i="1"/>
  <c r="AA107" i="1"/>
  <c r="AA79" i="1"/>
  <c r="AA134" i="1"/>
  <c r="AA225" i="1"/>
  <c r="AA50" i="1"/>
  <c r="AA60" i="1"/>
  <c r="AA178" i="1"/>
  <c r="AA187" i="1"/>
  <c r="AA81" i="1"/>
  <c r="AA163" i="1"/>
  <c r="AA62" i="1"/>
  <c r="AA147" i="1"/>
  <c r="AA200" i="1"/>
  <c r="AA131" i="1"/>
  <c r="AA51" i="1"/>
  <c r="AA218" i="1"/>
  <c r="AA136" i="1"/>
  <c r="AA221" i="1"/>
  <c r="AA183" i="1"/>
  <c r="AA176" i="1"/>
  <c r="AA196" i="1"/>
  <c r="AA170" i="1"/>
  <c r="AA113" i="1"/>
  <c r="AA154" i="1"/>
  <c r="AA203" i="1"/>
  <c r="AA63" i="1"/>
  <c r="AA104" i="1"/>
  <c r="AA90" i="1"/>
  <c r="AA117" i="1"/>
  <c r="AA94" i="1"/>
  <c r="AA70" i="1"/>
  <c r="AA127" i="1"/>
  <c r="AA65" i="1"/>
  <c r="AA125" i="1"/>
  <c r="AA58" i="1"/>
  <c r="AA87" i="1"/>
  <c r="AA111" i="1"/>
  <c r="AA180" i="1"/>
  <c r="AA223" i="1"/>
  <c r="AA169" i="1"/>
  <c r="AA177" i="1"/>
  <c r="AA202" i="1"/>
  <c r="AA130" i="1"/>
  <c r="AA135" i="1"/>
  <c r="AA215" i="1"/>
  <c r="AA156" i="1"/>
  <c r="AA150" i="1"/>
  <c r="AA140" i="1"/>
  <c r="AA126" i="1"/>
  <c r="AA97" i="1"/>
  <c r="AA106" i="1"/>
  <c r="AA61" i="1"/>
  <c r="AA86" i="1"/>
  <c r="AA68" i="1"/>
  <c r="AA142" i="1"/>
  <c r="AA209" i="1"/>
  <c r="AA143" i="1"/>
  <c r="AA192" i="1"/>
  <c r="AA99" i="1"/>
  <c r="AA91" i="1"/>
  <c r="AA184" i="1"/>
  <c r="AA153" i="1"/>
  <c r="AA197" i="1"/>
  <c r="AA214" i="1"/>
  <c r="AA157" i="1"/>
  <c r="AA160" i="1"/>
  <c r="AA204" i="1"/>
  <c r="AA172" i="1"/>
  <c r="AA224" i="1"/>
  <c r="AA213" i="1"/>
  <c r="AA66" i="1"/>
  <c r="AA92" i="1"/>
  <c r="AA166" i="1"/>
  <c r="AA201" i="1"/>
  <c r="AA191" i="1"/>
  <c r="AA199" i="1"/>
  <c r="AA217" i="1"/>
  <c r="AA118" i="1"/>
  <c r="AA219" i="1"/>
  <c r="AA141" i="1"/>
  <c r="AA208" i="1"/>
  <c r="AA146" i="1"/>
  <c r="AA159" i="1"/>
  <c r="AA206" i="1"/>
  <c r="AA96" i="1"/>
  <c r="AA59" i="1"/>
  <c r="AA74" i="1"/>
  <c r="AA185" i="1"/>
  <c r="AA139" i="1"/>
  <c r="AA216" i="1"/>
  <c r="AA171" i="1"/>
  <c r="AA152" i="1"/>
  <c r="AA181" i="1"/>
  <c r="AA226" i="1"/>
  <c r="AA186" i="1"/>
  <c r="AA182" i="1"/>
  <c r="AA137" i="1"/>
  <c r="AA108" i="1"/>
  <c r="AA167" i="1"/>
  <c r="AA164" i="1"/>
  <c r="AA195" i="1"/>
  <c r="AA165" i="1"/>
  <c r="AA205" i="1"/>
  <c r="AA454" i="1"/>
  <c r="AA427" i="1"/>
  <c r="AA397" i="1"/>
  <c r="AA399" i="1"/>
  <c r="AA416" i="1"/>
  <c r="AA444" i="1"/>
  <c r="AA475" i="1"/>
  <c r="AA459" i="1"/>
  <c r="AA486" i="1"/>
  <c r="AA484" i="1"/>
  <c r="AA482" i="1"/>
  <c r="AA480" i="1"/>
  <c r="AA383" i="1"/>
  <c r="AA461" i="1"/>
  <c r="AA431" i="1"/>
  <c r="AA436" i="1"/>
  <c r="AA391" i="1"/>
  <c r="AA417" i="1"/>
  <c r="AA396" i="1"/>
  <c r="AA401" i="1"/>
  <c r="AA440" i="1"/>
  <c r="AA443" i="1"/>
  <c r="AA414" i="1"/>
  <c r="AA441" i="1"/>
  <c r="AA389" i="1"/>
  <c r="AA473" i="1"/>
  <c r="AA426" i="1"/>
  <c r="AA433" i="1"/>
  <c r="AA487" i="1"/>
  <c r="AA470" i="1"/>
  <c r="AA468" i="1"/>
  <c r="AA483" i="1"/>
  <c r="AA478" i="1"/>
  <c r="AA481" i="1"/>
  <c r="AA465" i="1"/>
  <c r="AA405" i="1"/>
  <c r="AA404" i="1"/>
  <c r="AA439" i="1"/>
  <c r="AA403" i="1"/>
  <c r="AA455" i="1"/>
  <c r="AA386" i="1"/>
  <c r="AA430" i="1"/>
  <c r="AA393" i="1"/>
  <c r="AA452" i="1"/>
  <c r="AA408" i="1"/>
  <c r="AA424" i="1"/>
  <c r="AA412" i="1"/>
  <c r="AA438" i="1"/>
  <c r="AA467" i="1"/>
  <c r="AA387" i="1"/>
  <c r="AA453" i="1"/>
  <c r="AA448" i="1"/>
  <c r="AA466" i="1"/>
  <c r="AA398" i="1"/>
  <c r="AA409" i="1"/>
  <c r="AA485" i="1"/>
  <c r="AA469" i="1"/>
  <c r="AA366" i="1"/>
  <c r="AA471" i="1"/>
  <c r="AA449" i="1"/>
  <c r="AA411" i="1"/>
  <c r="AA474" i="1"/>
  <c r="AA479" i="1"/>
  <c r="AA419" i="1"/>
  <c r="AA472" i="1"/>
  <c r="AA382" i="1"/>
  <c r="AA477" i="1"/>
  <c r="AA423" i="1"/>
  <c r="AA476" i="1"/>
  <c r="AA410" i="1"/>
  <c r="AA422" i="1"/>
  <c r="AA432" i="1"/>
  <c r="AA434" i="1"/>
  <c r="AA193" i="1"/>
  <c r="AA188" i="1"/>
  <c r="AB372" i="1"/>
  <c r="AA384" i="1"/>
  <c r="AA120" i="1"/>
  <c r="AA82" i="1"/>
  <c r="AA93" i="1"/>
  <c r="AA413" i="1"/>
  <c r="AA415" i="1"/>
  <c r="AA463" i="1"/>
  <c r="AA400" i="1"/>
  <c r="AA458" i="1"/>
  <c r="R270" i="1"/>
  <c r="Q270" i="1"/>
  <c r="AA418" i="1"/>
  <c r="AA128" i="1"/>
  <c r="AB53" i="1"/>
  <c r="AA69" i="1"/>
  <c r="AA114" i="1"/>
  <c r="AA80" i="1"/>
  <c r="AA101" i="1"/>
  <c r="AA194" i="1"/>
  <c r="AB462" i="1"/>
  <c r="AA148" i="1"/>
  <c r="AA435" i="1"/>
  <c r="AA437" i="1"/>
  <c r="AA100" i="1"/>
  <c r="AA95" i="1"/>
  <c r="AA388" i="1"/>
  <c r="AA392" i="1"/>
  <c r="AA460" i="1"/>
  <c r="AA374" i="1"/>
  <c r="AA402" i="1"/>
  <c r="AA456" i="1"/>
  <c r="AA428" i="1"/>
  <c r="AA98" i="1"/>
  <c r="AA124" i="1"/>
  <c r="AA72" i="1"/>
  <c r="AA105" i="1"/>
  <c r="AA110" i="1"/>
  <c r="AB49" i="1"/>
  <c r="AA56" i="1"/>
  <c r="R808" i="1" l="1"/>
  <c r="R812" i="1"/>
  <c r="F33" i="6"/>
  <c r="F34" i="6"/>
  <c r="F36" i="6"/>
  <c r="F35" i="6"/>
  <c r="F14" i="6"/>
  <c r="F13" i="6"/>
  <c r="F11" i="6"/>
  <c r="F12" i="6"/>
  <c r="F10" i="6"/>
  <c r="F8" i="6"/>
  <c r="F9" i="6"/>
  <c r="R248" i="1"/>
  <c r="F94" i="6"/>
  <c r="F46" i="6"/>
  <c r="F72" i="6"/>
  <c r="F85" i="6"/>
  <c r="F43" i="6"/>
  <c r="F102" i="6"/>
  <c r="F105" i="6"/>
  <c r="Q620" i="1"/>
  <c r="F69" i="6"/>
  <c r="F50" i="6"/>
  <c r="F81" i="6"/>
  <c r="R814" i="1"/>
  <c r="F40" i="6"/>
  <c r="F67" i="6"/>
  <c r="F56" i="6"/>
  <c r="F104" i="6"/>
  <c r="F90" i="6"/>
  <c r="Q627" i="1"/>
  <c r="F78" i="6"/>
  <c r="F91" i="6"/>
  <c r="F68" i="6"/>
  <c r="F55" i="6"/>
  <c r="F61" i="6"/>
  <c r="F38" i="6"/>
  <c r="F87" i="6"/>
  <c r="F70" i="6"/>
  <c r="F63" i="6"/>
  <c r="F74" i="6"/>
  <c r="F100" i="6"/>
  <c r="F52" i="6"/>
  <c r="F53" i="6"/>
  <c r="F76" i="6"/>
  <c r="F98" i="6"/>
  <c r="F103" i="6"/>
  <c r="F51" i="6"/>
  <c r="F66" i="6"/>
  <c r="F79" i="6"/>
  <c r="F54" i="6"/>
  <c r="F6" i="6"/>
  <c r="F48" i="6"/>
  <c r="F93" i="6"/>
  <c r="F7" i="6"/>
  <c r="F99" i="6"/>
  <c r="F41" i="6"/>
  <c r="F86" i="6"/>
  <c r="R237" i="1"/>
  <c r="F47" i="6"/>
  <c r="F89" i="6"/>
  <c r="F62" i="6"/>
  <c r="F97" i="6"/>
  <c r="F45" i="6"/>
  <c r="F4" i="6"/>
  <c r="F49" i="6"/>
  <c r="F73" i="6"/>
  <c r="F84" i="6"/>
  <c r="F64" i="6"/>
  <c r="F44" i="6"/>
  <c r="F80" i="6"/>
  <c r="F77" i="6"/>
  <c r="F96" i="6"/>
  <c r="F39" i="6"/>
  <c r="F95" i="6"/>
  <c r="F42" i="6"/>
  <c r="R235" i="1"/>
  <c r="F82" i="6"/>
  <c r="F92" i="6"/>
  <c r="F101" i="6"/>
  <c r="F5" i="6"/>
  <c r="F88" i="6"/>
  <c r="F75" i="6"/>
  <c r="F65" i="6"/>
  <c r="F71" i="6"/>
  <c r="F83" i="6"/>
  <c r="R233" i="1"/>
  <c r="F37" i="6"/>
  <c r="Q234" i="1"/>
  <c r="R265" i="1"/>
  <c r="Q636" i="1"/>
  <c r="R636" i="1"/>
  <c r="R262" i="1"/>
  <c r="Q262" i="1"/>
  <c r="Q267" i="1"/>
  <c r="R267" i="1"/>
  <c r="Q619" i="1"/>
  <c r="R634" i="1"/>
  <c r="Q634" i="1"/>
  <c r="Q243" i="1"/>
  <c r="R243" i="1"/>
  <c r="Q259" i="1"/>
  <c r="R259" i="1"/>
  <c r="R271" i="1"/>
  <c r="Q271" i="1"/>
  <c r="Q644" i="1"/>
  <c r="R644" i="1"/>
  <c r="Q247" i="1"/>
  <c r="R247" i="1"/>
  <c r="Q274" i="1"/>
  <c r="R274" i="1"/>
  <c r="Q266" i="1"/>
  <c r="R266" i="1"/>
  <c r="Q631" i="1"/>
  <c r="R631" i="1"/>
  <c r="Q268" i="1"/>
  <c r="R268" i="1"/>
  <c r="R629" i="1"/>
  <c r="Q629" i="1"/>
  <c r="S253" i="1"/>
  <c r="Q639" i="1"/>
  <c r="R639" i="1"/>
  <c r="R638" i="1"/>
  <c r="Q638" i="1"/>
  <c r="Q246" i="1"/>
  <c r="R246" i="1"/>
  <c r="Q628" i="1"/>
  <c r="R628" i="1"/>
  <c r="Q269" i="1"/>
  <c r="R269" i="1"/>
  <c r="R632" i="1"/>
  <c r="Q632" i="1"/>
  <c r="R637" i="1"/>
  <c r="Q637" i="1"/>
  <c r="Q635" i="1"/>
  <c r="R635" i="1"/>
  <c r="R260" i="1"/>
  <c r="Q260" i="1"/>
  <c r="Q249" i="1"/>
  <c r="R249" i="1"/>
  <c r="Q263" i="1"/>
  <c r="R263" i="1"/>
  <c r="Q261" i="1"/>
  <c r="R261" i="1"/>
  <c r="R272" i="1"/>
  <c r="Q272" i="1"/>
  <c r="R264" i="1"/>
  <c r="Q264" i="1"/>
  <c r="R630" i="1"/>
  <c r="Q630" i="1"/>
  <c r="AB161" i="1"/>
  <c r="AB211" i="1"/>
  <c r="AB220" i="1"/>
  <c r="AB222" i="1"/>
  <c r="AB174" i="1"/>
  <c r="AB112" i="1"/>
  <c r="AB119" i="1"/>
  <c r="AB446" i="1"/>
  <c r="AB78" i="1"/>
  <c r="AB445" i="1"/>
  <c r="AB77" i="1"/>
  <c r="AB84" i="1"/>
  <c r="AB457" i="1"/>
  <c r="AB388" i="1"/>
  <c r="AB80" i="1"/>
  <c r="AB415" i="1"/>
  <c r="AB384" i="1"/>
  <c r="AB432" i="1"/>
  <c r="AB419" i="1"/>
  <c r="AB449" i="1"/>
  <c r="AB448" i="1"/>
  <c r="AB452" i="1"/>
  <c r="AB455" i="1"/>
  <c r="AB405" i="1"/>
  <c r="AB483" i="1"/>
  <c r="AB433" i="1"/>
  <c r="AB441" i="1"/>
  <c r="AB401" i="1"/>
  <c r="AB436" i="1"/>
  <c r="AB480" i="1"/>
  <c r="AB459" i="1"/>
  <c r="AB399" i="1"/>
  <c r="AB205" i="1"/>
  <c r="AB167" i="1"/>
  <c r="AB186" i="1"/>
  <c r="AB171" i="1"/>
  <c r="AB74" i="1"/>
  <c r="AB159" i="1"/>
  <c r="AB219" i="1"/>
  <c r="AB191" i="1"/>
  <c r="AB66" i="1"/>
  <c r="AB204" i="1"/>
  <c r="AB197" i="1"/>
  <c r="AB99" i="1"/>
  <c r="AB142" i="1"/>
  <c r="AB106" i="1"/>
  <c r="AB150" i="1"/>
  <c r="AB130" i="1"/>
  <c r="AB223" i="1"/>
  <c r="AB58" i="1"/>
  <c r="AB70" i="1"/>
  <c r="AB104" i="1"/>
  <c r="AB113" i="1"/>
  <c r="AB183" i="1"/>
  <c r="AB51" i="1"/>
  <c r="AB62" i="1"/>
  <c r="AB178" i="1"/>
  <c r="AB134" i="1"/>
  <c r="AB102" i="1"/>
  <c r="AB55" i="1"/>
  <c r="AB105" i="1"/>
  <c r="AB428" i="1"/>
  <c r="AB374" i="1"/>
  <c r="AB100" i="1"/>
  <c r="AB437" i="1"/>
  <c r="AB194" i="1"/>
  <c r="AB114" i="1"/>
  <c r="AB458" i="1"/>
  <c r="AB413" i="1"/>
  <c r="AB120" i="1"/>
  <c r="AB188" i="1"/>
  <c r="AB422" i="1"/>
  <c r="AB477" i="1"/>
  <c r="AB479" i="1"/>
  <c r="AB471" i="1"/>
  <c r="AB409" i="1"/>
  <c r="AB453" i="1"/>
  <c r="AB412" i="1"/>
  <c r="AB393" i="1"/>
  <c r="AB403" i="1"/>
  <c r="AB465" i="1"/>
  <c r="AB468" i="1"/>
  <c r="AB426" i="1"/>
  <c r="AB414" i="1"/>
  <c r="AB396" i="1"/>
  <c r="AB431" i="1"/>
  <c r="AB482" i="1"/>
  <c r="AB475" i="1"/>
  <c r="AB397" i="1"/>
  <c r="AB165" i="1"/>
  <c r="AB108" i="1"/>
  <c r="AB226" i="1"/>
  <c r="AB216" i="1"/>
  <c r="AB59" i="1"/>
  <c r="AB146" i="1"/>
  <c r="AB118" i="1"/>
  <c r="AB201" i="1"/>
  <c r="AB213" i="1"/>
  <c r="AB160" i="1"/>
  <c r="AB153" i="1"/>
  <c r="AB192" i="1"/>
  <c r="AB68" i="1"/>
  <c r="AB97" i="1"/>
  <c r="AB156" i="1"/>
  <c r="AB202" i="1"/>
  <c r="AB180" i="1"/>
  <c r="AB125" i="1"/>
  <c r="AB94" i="1"/>
  <c r="AB63" i="1"/>
  <c r="AB170" i="1"/>
  <c r="AB221" i="1"/>
  <c r="AB131" i="1"/>
  <c r="AB163" i="1"/>
  <c r="AB60" i="1"/>
  <c r="AB79" i="1"/>
  <c r="AB76" i="1"/>
  <c r="AB133" i="1"/>
  <c r="AB149" i="1"/>
  <c r="AB210" i="1"/>
  <c r="AB145" i="1"/>
  <c r="AB189" i="1"/>
  <c r="AB207" i="1"/>
  <c r="AB122" i="1"/>
  <c r="AB421" i="1"/>
  <c r="AB168" i="1"/>
  <c r="AB83" i="1"/>
  <c r="AB406" i="1"/>
  <c r="AB425" i="1"/>
  <c r="AB429" i="1"/>
  <c r="AB75" i="1"/>
  <c r="AB464" i="1"/>
  <c r="AB158" i="1"/>
  <c r="AB56" i="1"/>
  <c r="AB402" i="1"/>
  <c r="AB95" i="1"/>
  <c r="AB82" i="1"/>
  <c r="AB423" i="1"/>
  <c r="AB485" i="1"/>
  <c r="AB438" i="1"/>
  <c r="AB72" i="1"/>
  <c r="AB98" i="1"/>
  <c r="AB460" i="1"/>
  <c r="AB435" i="1"/>
  <c r="AB148" i="1"/>
  <c r="AB69" i="1"/>
  <c r="AB128" i="1"/>
  <c r="AB418" i="1"/>
  <c r="AB400" i="1"/>
  <c r="AB93" i="1"/>
  <c r="AB193" i="1"/>
  <c r="AB410" i="1"/>
  <c r="AB382" i="1"/>
  <c r="AB474" i="1"/>
  <c r="AB366" i="1"/>
  <c r="AB398" i="1"/>
  <c r="AB387" i="1"/>
  <c r="AB424" i="1"/>
  <c r="AB430" i="1"/>
  <c r="AB439" i="1"/>
  <c r="AB481" i="1"/>
  <c r="AB470" i="1"/>
  <c r="AB473" i="1"/>
  <c r="AB443" i="1"/>
  <c r="AB417" i="1"/>
  <c r="AB461" i="1"/>
  <c r="AB484" i="1"/>
  <c r="AB444" i="1"/>
  <c r="AB427" i="1"/>
  <c r="AB195" i="1"/>
  <c r="AB137" i="1"/>
  <c r="AB181" i="1"/>
  <c r="AB139" i="1"/>
  <c r="AB96" i="1"/>
  <c r="AB208" i="1"/>
  <c r="AB217" i="1"/>
  <c r="AB166" i="1"/>
  <c r="AB224" i="1"/>
  <c r="AB157" i="1"/>
  <c r="AB184" i="1"/>
  <c r="AB143" i="1"/>
  <c r="AB86" i="1"/>
  <c r="AB126" i="1"/>
  <c r="AB215" i="1"/>
  <c r="AB177" i="1"/>
  <c r="AB111" i="1"/>
  <c r="AB65" i="1"/>
  <c r="AB117" i="1"/>
  <c r="AB203" i="1"/>
  <c r="AB196" i="1"/>
  <c r="AB136" i="1"/>
  <c r="AB200" i="1"/>
  <c r="AB81" i="1"/>
  <c r="AB50" i="1"/>
  <c r="AB107" i="1"/>
  <c r="AB162" i="1"/>
  <c r="AB198" i="1"/>
  <c r="AB151" i="1"/>
  <c r="AB138" i="1"/>
  <c r="AB155" i="1"/>
  <c r="AB190" i="1"/>
  <c r="AB132" i="1"/>
  <c r="AB67" i="1"/>
  <c r="AB123" i="1"/>
  <c r="AB451" i="1"/>
  <c r="AB395" i="1"/>
  <c r="AB88" i="1"/>
  <c r="AB109" i="1"/>
  <c r="AB390" i="1"/>
  <c r="AB110" i="1"/>
  <c r="AB124" i="1"/>
  <c r="AB456" i="1"/>
  <c r="AB392" i="1"/>
  <c r="AB101" i="1"/>
  <c r="AB463" i="1"/>
  <c r="AB476" i="1"/>
  <c r="AB472" i="1"/>
  <c r="AB411" i="1"/>
  <c r="AB469" i="1"/>
  <c r="AB466" i="1"/>
  <c r="AB467" i="1"/>
  <c r="AB408" i="1"/>
  <c r="AB386" i="1"/>
  <c r="AB404" i="1"/>
  <c r="AB478" i="1"/>
  <c r="AB487" i="1"/>
  <c r="AB389" i="1"/>
  <c r="AB440" i="1"/>
  <c r="AB391" i="1"/>
  <c r="AB383" i="1"/>
  <c r="AB486" i="1"/>
  <c r="AB416" i="1"/>
  <c r="AB454" i="1"/>
  <c r="AB164" i="1"/>
  <c r="AB182" i="1"/>
  <c r="AB152" i="1"/>
  <c r="AB185" i="1"/>
  <c r="AB206" i="1"/>
  <c r="AB141" i="1"/>
  <c r="AB199" i="1"/>
  <c r="AB92" i="1"/>
  <c r="AB172" i="1"/>
  <c r="AB214" i="1"/>
  <c r="AB91" i="1"/>
  <c r="AB209" i="1"/>
  <c r="AB61" i="1"/>
  <c r="AB140" i="1"/>
  <c r="AB135" i="1"/>
  <c r="AB169" i="1"/>
  <c r="AB87" i="1"/>
  <c r="AB127" i="1"/>
  <c r="AB90" i="1"/>
  <c r="AB154" i="1"/>
  <c r="AB176" i="1"/>
  <c r="AB218" i="1"/>
  <c r="AB147" i="1"/>
  <c r="AB187" i="1"/>
  <c r="AB225" i="1"/>
  <c r="AB73" i="1"/>
  <c r="AB115" i="1"/>
  <c r="AB212" i="1"/>
  <c r="AB129" i="1"/>
  <c r="AB175" i="1"/>
  <c r="AB144" i="1"/>
  <c r="AB179" i="1"/>
  <c r="AB173" i="1"/>
  <c r="AB71" i="1"/>
  <c r="AB64" i="1"/>
  <c r="AB442" i="1"/>
  <c r="AB407" i="1"/>
  <c r="AB420" i="1"/>
  <c r="AB89" i="1"/>
  <c r="AB121" i="1"/>
  <c r="AB57" i="1"/>
  <c r="AB116" i="1"/>
  <c r="AB103" i="1"/>
  <c r="Q239" i="1" l="1"/>
  <c r="Q240" i="1"/>
  <c r="Q241" i="1" s="1"/>
  <c r="K34" i="6"/>
  <c r="L33" i="6"/>
  <c r="K33" i="6"/>
  <c r="K18" i="6"/>
  <c r="J34" i="6"/>
  <c r="J20" i="6"/>
  <c r="J19" i="6"/>
  <c r="L57" i="6"/>
  <c r="L16" i="6"/>
  <c r="L46" i="6"/>
  <c r="K68" i="6"/>
  <c r="K9" i="6"/>
  <c r="L86" i="6"/>
  <c r="K61" i="6"/>
  <c r="J46" i="6"/>
  <c r="L51" i="6"/>
  <c r="J5" i="6"/>
  <c r="K5" i="6"/>
  <c r="K48" i="6"/>
  <c r="L39" i="6"/>
  <c r="J103" i="6"/>
  <c r="L103" i="6"/>
  <c r="L25" i="6"/>
  <c r="K102" i="6"/>
  <c r="M102" i="6" s="1"/>
  <c r="J78" i="6"/>
  <c r="L102" i="6"/>
  <c r="J109" i="6"/>
  <c r="L78" i="6"/>
  <c r="J23" i="6"/>
  <c r="K97" i="6"/>
  <c r="M97" i="6" s="1"/>
  <c r="L11" i="6"/>
  <c r="L70" i="6"/>
  <c r="L83" i="6"/>
  <c r="K80" i="6"/>
  <c r="J62" i="6"/>
  <c r="L30" i="6"/>
  <c r="L100" i="6"/>
  <c r="K53" i="6"/>
  <c r="K75" i="6"/>
  <c r="K15" i="6"/>
  <c r="J94" i="6"/>
  <c r="K47" i="6"/>
  <c r="L21" i="6"/>
  <c r="K81" i="6"/>
  <c r="J110" i="6"/>
  <c r="J35" i="6"/>
  <c r="J82" i="6"/>
  <c r="K26" i="6"/>
  <c r="K83" i="6"/>
  <c r="K95" i="6"/>
  <c r="M95" i="6" s="1"/>
  <c r="L73" i="6"/>
  <c r="L89" i="6"/>
  <c r="L12" i="6"/>
  <c r="K8" i="6"/>
  <c r="K62" i="6"/>
  <c r="J67" i="6"/>
  <c r="J91" i="6"/>
  <c r="L92" i="6"/>
  <c r="K50" i="6"/>
  <c r="K12" i="6"/>
  <c r="K30" i="6"/>
  <c r="K91" i="6"/>
  <c r="M91" i="6" s="1"/>
  <c r="L59" i="6"/>
  <c r="J37" i="6"/>
  <c r="J111" i="6"/>
  <c r="L26" i="6"/>
  <c r="L53" i="6"/>
  <c r="L95" i="6"/>
  <c r="K94" i="6"/>
  <c r="M94" i="6" s="1"/>
  <c r="J71" i="6"/>
  <c r="K90" i="6"/>
  <c r="M90" i="6" s="1"/>
  <c r="K24" i="6"/>
  <c r="J16" i="6"/>
  <c r="J88" i="6"/>
  <c r="K76" i="6"/>
  <c r="K103" i="6"/>
  <c r="M103" i="6" s="1"/>
  <c r="K74" i="6"/>
  <c r="L38" i="6"/>
  <c r="J70" i="6"/>
  <c r="L111" i="6"/>
  <c r="K100" i="6"/>
  <c r="M100" i="6" s="1"/>
  <c r="L63" i="6"/>
  <c r="J89" i="6"/>
  <c r="L106" i="6"/>
  <c r="J106" i="6"/>
  <c r="J90" i="6"/>
  <c r="K69" i="6"/>
  <c r="L49" i="6"/>
  <c r="L27" i="6"/>
  <c r="L84" i="6"/>
  <c r="J6" i="6"/>
  <c r="L74" i="6"/>
  <c r="J102" i="6"/>
  <c r="L58" i="6"/>
  <c r="J18" i="6"/>
  <c r="K27" i="6"/>
  <c r="K82" i="6"/>
  <c r="K107" i="6"/>
  <c r="M107" i="6" s="1"/>
  <c r="J57" i="6"/>
  <c r="J12" i="6"/>
  <c r="J27" i="6"/>
  <c r="L69" i="6"/>
  <c r="K29" i="6"/>
  <c r="J95" i="6"/>
  <c r="L87" i="6"/>
  <c r="L65" i="6"/>
  <c r="L8" i="6"/>
  <c r="L37" i="6"/>
  <c r="J13" i="6"/>
  <c r="L62" i="6"/>
  <c r="J79" i="6"/>
  <c r="J14" i="6"/>
  <c r="K101" i="6"/>
  <c r="M101" i="6" s="1"/>
  <c r="L14" i="6"/>
  <c r="L43" i="6"/>
  <c r="L47" i="6"/>
  <c r="J84" i="6"/>
  <c r="K36" i="6"/>
  <c r="K25" i="6"/>
  <c r="L81" i="6"/>
  <c r="J42" i="6"/>
  <c r="K78" i="6"/>
  <c r="L6" i="6"/>
  <c r="J85" i="6"/>
  <c r="J40" i="6"/>
  <c r="J80" i="6"/>
  <c r="K98" i="6"/>
  <c r="M98" i="6" s="1"/>
  <c r="L79" i="6"/>
  <c r="L88" i="6"/>
  <c r="L18" i="6"/>
  <c r="J83" i="6"/>
  <c r="L5" i="6"/>
  <c r="L48" i="6"/>
  <c r="K51" i="6"/>
  <c r="L97" i="6"/>
  <c r="L94" i="6"/>
  <c r="K21" i="6"/>
  <c r="L82" i="6"/>
  <c r="L96" i="6"/>
  <c r="J9" i="6"/>
  <c r="K45" i="6"/>
  <c r="K108" i="6"/>
  <c r="M108" i="6" s="1"/>
  <c r="L54" i="6"/>
  <c r="L44" i="6"/>
  <c r="J65" i="6"/>
  <c r="J92" i="6"/>
  <c r="L9" i="6"/>
  <c r="J50" i="6"/>
  <c r="J108" i="6"/>
  <c r="K58" i="6"/>
  <c r="J86" i="6"/>
  <c r="L52" i="6"/>
  <c r="J68" i="6"/>
  <c r="K19" i="6"/>
  <c r="K54" i="6"/>
  <c r="J98" i="6"/>
  <c r="K7" i="6"/>
  <c r="K42" i="6"/>
  <c r="J101" i="6"/>
  <c r="J53" i="6"/>
  <c r="L80" i="6"/>
  <c r="K14" i="6"/>
  <c r="L61" i="6"/>
  <c r="J48" i="6"/>
  <c r="K52" i="6"/>
  <c r="L23" i="6"/>
  <c r="K87" i="6"/>
  <c r="M87" i="6" s="1"/>
  <c r="J76" i="6"/>
  <c r="L91" i="6"/>
  <c r="L107" i="6"/>
  <c r="K10" i="6"/>
  <c r="K46" i="6"/>
  <c r="L40" i="6"/>
  <c r="J41" i="6"/>
  <c r="L75" i="6"/>
  <c r="L68" i="6"/>
  <c r="L10" i="6"/>
  <c r="J45" i="6"/>
  <c r="K32" i="6"/>
  <c r="L19" i="6"/>
  <c r="L34" i="6"/>
  <c r="K88" i="6"/>
  <c r="M88" i="6" s="1"/>
  <c r="K59" i="6"/>
  <c r="J99" i="6"/>
  <c r="L101" i="6"/>
  <c r="J105" i="6"/>
  <c r="K57" i="6"/>
  <c r="J51" i="6"/>
  <c r="K6" i="6"/>
  <c r="L98" i="6"/>
  <c r="J15" i="6"/>
  <c r="J24" i="6"/>
  <c r="J61" i="6"/>
  <c r="K86" i="6"/>
  <c r="M86" i="6" s="1"/>
  <c r="J44" i="6"/>
  <c r="J58" i="6"/>
  <c r="J60" i="6"/>
  <c r="L17" i="6"/>
  <c r="K73" i="6"/>
  <c r="J54" i="6"/>
  <c r="K41" i="6"/>
  <c r="J38" i="6"/>
  <c r="K37" i="6"/>
  <c r="K89" i="6"/>
  <c r="M89" i="6" s="1"/>
  <c r="K106" i="6"/>
  <c r="M106" i="6" s="1"/>
  <c r="L104" i="6"/>
  <c r="J77" i="6"/>
  <c r="J36" i="6"/>
  <c r="L66" i="6"/>
  <c r="K20" i="6"/>
  <c r="K99" i="6"/>
  <c r="M99" i="6" s="1"/>
  <c r="K23" i="6"/>
  <c r="K111" i="6"/>
  <c r="M111" i="6" s="1"/>
  <c r="K28" i="6"/>
  <c r="J33" i="6"/>
  <c r="L50" i="6"/>
  <c r="J28" i="6"/>
  <c r="K40" i="6"/>
  <c r="L109" i="6"/>
  <c r="K64" i="6"/>
  <c r="K38" i="6"/>
  <c r="J64" i="6"/>
  <c r="K63" i="6"/>
  <c r="L99" i="6"/>
  <c r="K67" i="6"/>
  <c r="J7" i="6"/>
  <c r="K16" i="6"/>
  <c r="J97" i="6"/>
  <c r="L28" i="6"/>
  <c r="J66" i="6"/>
  <c r="K11" i="6"/>
  <c r="L64" i="6"/>
  <c r="L105" i="6"/>
  <c r="K70" i="6"/>
  <c r="L93" i="6"/>
  <c r="L72" i="6"/>
  <c r="K84" i="6"/>
  <c r="M84" i="6" s="1"/>
  <c r="J75" i="6"/>
  <c r="K60" i="6"/>
  <c r="J29" i="6"/>
  <c r="L31" i="6"/>
  <c r="K72" i="6"/>
  <c r="K92" i="6"/>
  <c r="M92" i="6" s="1"/>
  <c r="L85" i="6"/>
  <c r="J104" i="6"/>
  <c r="L77" i="6"/>
  <c r="L76" i="6"/>
  <c r="L32" i="6"/>
  <c r="J52" i="6"/>
  <c r="L67" i="6"/>
  <c r="K71" i="6"/>
  <c r="L71" i="6"/>
  <c r="L90" i="6"/>
  <c r="J73" i="6"/>
  <c r="K39" i="6"/>
  <c r="J22" i="6"/>
  <c r="K85" i="6"/>
  <c r="M85" i="6" s="1"/>
  <c r="L36" i="6"/>
  <c r="J26" i="6"/>
  <c r="K105" i="6"/>
  <c r="M105" i="6" s="1"/>
  <c r="J8" i="6"/>
  <c r="L7" i="6"/>
  <c r="J107" i="6"/>
  <c r="K104" i="6"/>
  <c r="M104" i="6" s="1"/>
  <c r="J17" i="6"/>
  <c r="K93" i="6"/>
  <c r="M93" i="6" s="1"/>
  <c r="L110" i="6"/>
  <c r="J59" i="6"/>
  <c r="K66" i="6"/>
  <c r="L35" i="6"/>
  <c r="L45" i="6"/>
  <c r="J43" i="6"/>
  <c r="J31" i="6"/>
  <c r="K31" i="6"/>
  <c r="J96" i="6"/>
  <c r="J69" i="6"/>
  <c r="J81" i="6"/>
  <c r="K110" i="6"/>
  <c r="M110" i="6" s="1"/>
  <c r="L20" i="6"/>
  <c r="K22" i="6"/>
  <c r="J25" i="6"/>
  <c r="K109" i="6"/>
  <c r="M109" i="6" s="1"/>
  <c r="J39" i="6"/>
  <c r="K43" i="6"/>
  <c r="K13" i="6"/>
  <c r="J74" i="6"/>
  <c r="J72" i="6"/>
  <c r="L29" i="6"/>
  <c r="K44" i="6"/>
  <c r="K65" i="6"/>
  <c r="K96" i="6"/>
  <c r="M96" i="6" s="1"/>
  <c r="L24" i="6"/>
  <c r="J63" i="6"/>
  <c r="J47" i="6"/>
  <c r="J21" i="6"/>
  <c r="J11" i="6"/>
  <c r="J49" i="6"/>
  <c r="L41" i="6"/>
  <c r="K17" i="6"/>
  <c r="L22" i="6"/>
  <c r="L42" i="6"/>
  <c r="L15" i="6"/>
  <c r="K77" i="6"/>
  <c r="K79" i="6"/>
  <c r="L60" i="6"/>
  <c r="J30" i="6"/>
  <c r="L13" i="6"/>
  <c r="K35" i="6"/>
  <c r="J100" i="6"/>
  <c r="J10" i="6"/>
  <c r="J87" i="6"/>
  <c r="J32" i="6"/>
  <c r="J93" i="6"/>
  <c r="L108" i="6"/>
  <c r="K49" i="6"/>
  <c r="AC46" i="1"/>
  <c r="AC362" i="1"/>
  <c r="M6" i="6" l="1"/>
  <c r="M7" i="6" s="1"/>
  <c r="M8" i="6" s="1"/>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M31" i="6" s="1"/>
  <c r="M32" i="6" s="1"/>
  <c r="M33" i="6" s="1"/>
  <c r="M34" i="6" s="1"/>
  <c r="M35" i="6" s="1"/>
  <c r="M36" i="6" s="1"/>
  <c r="M37" i="6" s="1"/>
  <c r="M38" i="6" s="1"/>
  <c r="M39" i="6" s="1"/>
  <c r="M40" i="6" s="1"/>
  <c r="M41" i="6" s="1"/>
  <c r="M42" i="6" s="1"/>
  <c r="M43" i="6" s="1"/>
  <c r="M44" i="6" s="1"/>
  <c r="M45" i="6" s="1"/>
  <c r="M46" i="6" s="1"/>
  <c r="M47" i="6" s="1"/>
  <c r="M48" i="6" s="1"/>
  <c r="M49" i="6" s="1"/>
  <c r="M50" i="6" s="1"/>
  <c r="M51" i="6" s="1"/>
  <c r="M52" i="6" s="1"/>
  <c r="M53" i="6" s="1"/>
  <c r="M54" i="6" s="1"/>
  <c r="M57" i="6" s="1"/>
  <c r="M58" i="6" s="1"/>
  <c r="M59" i="6" s="1"/>
  <c r="M60" i="6" s="1"/>
  <c r="M61" i="6" s="1"/>
  <c r="M62" i="6" s="1"/>
  <c r="M63" i="6" s="1"/>
  <c r="M64" i="6" s="1"/>
  <c r="M65" i="6" s="1"/>
  <c r="M66" i="6" s="1"/>
  <c r="M67" i="6" s="1"/>
  <c r="M68" i="6" s="1"/>
  <c r="M69" i="6" s="1"/>
  <c r="M70" i="6" s="1"/>
  <c r="M71" i="6" s="1"/>
  <c r="M72" i="6" s="1"/>
  <c r="M73" i="6" s="1"/>
  <c r="M74" i="6" s="1"/>
  <c r="M75" i="6" s="1"/>
  <c r="M76" i="6" s="1"/>
  <c r="M77" i="6" s="1"/>
  <c r="M78" i="6" s="1"/>
  <c r="M79" i="6" s="1"/>
  <c r="M80" i="6" s="1"/>
  <c r="M81" i="6" s="1"/>
  <c r="M82" i="6" s="1"/>
  <c r="M83" i="6" s="1"/>
  <c r="AC48" i="1"/>
  <c r="S48" i="1" s="1"/>
  <c r="AC54" i="1"/>
  <c r="S54" i="1" s="1"/>
  <c r="AC47" i="1"/>
  <c r="S47" i="1" s="1"/>
  <c r="AC52" i="1"/>
  <c r="S52" i="1" s="1"/>
  <c r="AC85" i="1"/>
  <c r="S85" i="1" s="1"/>
  <c r="AC49" i="1"/>
  <c r="S49" i="1" s="1"/>
  <c r="AC53" i="1"/>
  <c r="S53" i="1" s="1"/>
  <c r="AC188" i="1"/>
  <c r="S188" i="1" s="1"/>
  <c r="AC108" i="1"/>
  <c r="S108" i="1" s="1"/>
  <c r="AC216" i="1"/>
  <c r="S216" i="1" s="1"/>
  <c r="AC146" i="1"/>
  <c r="S146" i="1" s="1"/>
  <c r="AC201" i="1"/>
  <c r="S201" i="1" s="1"/>
  <c r="AC160" i="1"/>
  <c r="S160" i="1" s="1"/>
  <c r="AC192" i="1"/>
  <c r="S192" i="1" s="1"/>
  <c r="AC97" i="1"/>
  <c r="S97" i="1" s="1"/>
  <c r="AC202" i="1"/>
  <c r="S202" i="1" s="1"/>
  <c r="AC125" i="1"/>
  <c r="S125" i="1" s="1"/>
  <c r="AC63" i="1"/>
  <c r="S63" i="1" s="1"/>
  <c r="AC221" i="1"/>
  <c r="S221" i="1" s="1"/>
  <c r="AC163" i="1"/>
  <c r="S163" i="1" s="1"/>
  <c r="AC79" i="1"/>
  <c r="S79" i="1" s="1"/>
  <c r="AC133" i="1"/>
  <c r="S133" i="1" s="1"/>
  <c r="AC210" i="1"/>
  <c r="S210" i="1" s="1"/>
  <c r="AC189" i="1"/>
  <c r="S189" i="1" s="1"/>
  <c r="AC122" i="1"/>
  <c r="S122" i="1" s="1"/>
  <c r="AC82" i="1"/>
  <c r="S82" i="1" s="1"/>
  <c r="AC72" i="1"/>
  <c r="S72" i="1" s="1"/>
  <c r="AC148" i="1"/>
  <c r="S148" i="1" s="1"/>
  <c r="AC128" i="1"/>
  <c r="S128" i="1" s="1"/>
  <c r="AC109" i="1"/>
  <c r="S109" i="1" s="1"/>
  <c r="AC110" i="1"/>
  <c r="S110" i="1" s="1"/>
  <c r="AC124" i="1"/>
  <c r="S124" i="1" s="1"/>
  <c r="AC182" i="1"/>
  <c r="S182" i="1" s="1"/>
  <c r="AC185" i="1"/>
  <c r="S185" i="1" s="1"/>
  <c r="AC141" i="1"/>
  <c r="S141" i="1" s="1"/>
  <c r="AC92" i="1"/>
  <c r="S92" i="1" s="1"/>
  <c r="AC214" i="1"/>
  <c r="S214" i="1" s="1"/>
  <c r="AC209" i="1"/>
  <c r="S209" i="1" s="1"/>
  <c r="AC140" i="1"/>
  <c r="S140" i="1" s="1"/>
  <c r="AC169" i="1"/>
  <c r="S169" i="1" s="1"/>
  <c r="AC127" i="1"/>
  <c r="S127" i="1" s="1"/>
  <c r="AC154" i="1"/>
  <c r="S154" i="1" s="1"/>
  <c r="AC218" i="1"/>
  <c r="S218" i="1" s="1"/>
  <c r="AC187" i="1"/>
  <c r="S187" i="1" s="1"/>
  <c r="AC73" i="1"/>
  <c r="S73" i="1" s="1"/>
  <c r="AC212" i="1"/>
  <c r="S212" i="1" s="1"/>
  <c r="AC175" i="1"/>
  <c r="S175" i="1" s="1"/>
  <c r="AC179" i="1"/>
  <c r="S179" i="1" s="1"/>
  <c r="AC71" i="1"/>
  <c r="S71" i="1" s="1"/>
  <c r="AC121" i="1"/>
  <c r="S121" i="1" s="1"/>
  <c r="AC103" i="1"/>
  <c r="S103" i="1" s="1"/>
  <c r="AC112" i="1"/>
  <c r="S112" i="1" s="1"/>
  <c r="AC80" i="1"/>
  <c r="S80" i="1" s="1"/>
  <c r="AC205" i="1"/>
  <c r="S205" i="1" s="1"/>
  <c r="AC74" i="1"/>
  <c r="S74" i="1" s="1"/>
  <c r="AC66" i="1"/>
  <c r="S66" i="1" s="1"/>
  <c r="AC142" i="1"/>
  <c r="S142" i="1" s="1"/>
  <c r="AC70" i="1"/>
  <c r="S70" i="1" s="1"/>
  <c r="AC178" i="1"/>
  <c r="S178" i="1" s="1"/>
  <c r="AC83" i="1"/>
  <c r="S83" i="1" s="1"/>
  <c r="AC96" i="1"/>
  <c r="S96" i="1" s="1"/>
  <c r="AC217" i="1"/>
  <c r="S217" i="1" s="1"/>
  <c r="AC86" i="1"/>
  <c r="S86" i="1" s="1"/>
  <c r="AC111" i="1"/>
  <c r="S111" i="1" s="1"/>
  <c r="AC196" i="1"/>
  <c r="S196" i="1" s="1"/>
  <c r="AC162" i="1"/>
  <c r="S162" i="1" s="1"/>
  <c r="AC132" i="1"/>
  <c r="S132" i="1" s="1"/>
  <c r="AC57" i="1"/>
  <c r="S57" i="1" s="1"/>
  <c r="AC161" i="1"/>
  <c r="S161" i="1" s="1"/>
  <c r="AC220" i="1"/>
  <c r="S220" i="1" s="1"/>
  <c r="AC174" i="1"/>
  <c r="S174" i="1" s="1"/>
  <c r="AC119" i="1"/>
  <c r="S119" i="1" s="1"/>
  <c r="AC78" i="1"/>
  <c r="S78" i="1" s="1"/>
  <c r="AC77" i="1"/>
  <c r="S77" i="1" s="1"/>
  <c r="AC167" i="1"/>
  <c r="S167" i="1" s="1"/>
  <c r="AC171" i="1"/>
  <c r="S171" i="1" s="1"/>
  <c r="AC159" i="1"/>
  <c r="S159" i="1" s="1"/>
  <c r="AC191" i="1"/>
  <c r="S191" i="1" s="1"/>
  <c r="AC204" i="1"/>
  <c r="S204" i="1" s="1"/>
  <c r="AC99" i="1"/>
  <c r="S99" i="1" s="1"/>
  <c r="AC106" i="1"/>
  <c r="S106" i="1" s="1"/>
  <c r="AC130" i="1"/>
  <c r="S130" i="1" s="1"/>
  <c r="AC58" i="1"/>
  <c r="S58" i="1" s="1"/>
  <c r="AC104" i="1"/>
  <c r="S104" i="1" s="1"/>
  <c r="AC183" i="1"/>
  <c r="S183" i="1" s="1"/>
  <c r="AC62" i="1"/>
  <c r="S62" i="1" s="1"/>
  <c r="AC134" i="1"/>
  <c r="S134" i="1" s="1"/>
  <c r="AC55" i="1"/>
  <c r="S55" i="1" s="1"/>
  <c r="AC100" i="1"/>
  <c r="S100" i="1" s="1"/>
  <c r="AC194" i="1"/>
  <c r="S194" i="1" s="1"/>
  <c r="AC168" i="1"/>
  <c r="S168" i="1" s="1"/>
  <c r="AC95" i="1"/>
  <c r="S95" i="1" s="1"/>
  <c r="AC193" i="1"/>
  <c r="S193" i="1" s="1"/>
  <c r="AC137" i="1"/>
  <c r="S137" i="1" s="1"/>
  <c r="AC139" i="1"/>
  <c r="S139" i="1" s="1"/>
  <c r="AC208" i="1"/>
  <c r="S208" i="1" s="1"/>
  <c r="AC166" i="1"/>
  <c r="S166" i="1" s="1"/>
  <c r="AC157" i="1"/>
  <c r="S157" i="1" s="1"/>
  <c r="AC143" i="1"/>
  <c r="S143" i="1" s="1"/>
  <c r="AC126" i="1"/>
  <c r="S126" i="1" s="1"/>
  <c r="AC177" i="1"/>
  <c r="S177" i="1" s="1"/>
  <c r="AC65" i="1"/>
  <c r="S65" i="1" s="1"/>
  <c r="AC203" i="1"/>
  <c r="S203" i="1" s="1"/>
  <c r="AC136" i="1"/>
  <c r="S136" i="1" s="1"/>
  <c r="AC81" i="1"/>
  <c r="S81" i="1" s="1"/>
  <c r="AC107" i="1"/>
  <c r="S107" i="1" s="1"/>
  <c r="AC198" i="1"/>
  <c r="S198" i="1" s="1"/>
  <c r="AC138" i="1"/>
  <c r="S138" i="1" s="1"/>
  <c r="AC190" i="1"/>
  <c r="S190" i="1" s="1"/>
  <c r="AC67" i="1"/>
  <c r="S67" i="1" s="1"/>
  <c r="AC116" i="1"/>
  <c r="S116" i="1" s="1"/>
  <c r="AC222" i="1"/>
  <c r="S222" i="1" s="1"/>
  <c r="AC219" i="1"/>
  <c r="S219" i="1" s="1"/>
  <c r="AC150" i="1"/>
  <c r="S150" i="1" s="1"/>
  <c r="AC51" i="1"/>
  <c r="S51" i="1" s="1"/>
  <c r="AC102" i="1"/>
  <c r="S102" i="1" s="1"/>
  <c r="AC158" i="1"/>
  <c r="S158" i="1" s="1"/>
  <c r="AC181" i="1"/>
  <c r="S181" i="1" s="1"/>
  <c r="AC184" i="1"/>
  <c r="S184" i="1" s="1"/>
  <c r="AC117" i="1"/>
  <c r="S117" i="1" s="1"/>
  <c r="AC50" i="1"/>
  <c r="S50" i="1" s="1"/>
  <c r="AC155" i="1"/>
  <c r="S155" i="1" s="1"/>
  <c r="AC120" i="1"/>
  <c r="S120" i="1" s="1"/>
  <c r="AC165" i="1"/>
  <c r="S165" i="1" s="1"/>
  <c r="AC226" i="1"/>
  <c r="S226" i="1" s="1"/>
  <c r="AC59" i="1"/>
  <c r="S59" i="1" s="1"/>
  <c r="AC118" i="1"/>
  <c r="S118" i="1" s="1"/>
  <c r="AC213" i="1"/>
  <c r="S213" i="1" s="1"/>
  <c r="AC153" i="1"/>
  <c r="S153" i="1" s="1"/>
  <c r="AC68" i="1"/>
  <c r="S68" i="1" s="1"/>
  <c r="AC156" i="1"/>
  <c r="S156" i="1" s="1"/>
  <c r="AC180" i="1"/>
  <c r="S180" i="1" s="1"/>
  <c r="AC94" i="1"/>
  <c r="S94" i="1" s="1"/>
  <c r="AC170" i="1"/>
  <c r="S170" i="1" s="1"/>
  <c r="AC131" i="1"/>
  <c r="S131" i="1" s="1"/>
  <c r="AC60" i="1"/>
  <c r="S60" i="1" s="1"/>
  <c r="AC76" i="1"/>
  <c r="S76" i="1" s="1"/>
  <c r="AC149" i="1"/>
  <c r="S149" i="1" s="1"/>
  <c r="AC145" i="1"/>
  <c r="S145" i="1" s="1"/>
  <c r="AC207" i="1"/>
  <c r="S207" i="1" s="1"/>
  <c r="AC56" i="1"/>
  <c r="S56" i="1" s="1"/>
  <c r="AC98" i="1"/>
  <c r="S98" i="1" s="1"/>
  <c r="AC69" i="1"/>
  <c r="S69" i="1" s="1"/>
  <c r="AC93" i="1"/>
  <c r="S93" i="1" s="1"/>
  <c r="AC88" i="1"/>
  <c r="S88" i="1" s="1"/>
  <c r="AC101" i="1"/>
  <c r="S101" i="1" s="1"/>
  <c r="AC164" i="1"/>
  <c r="S164" i="1" s="1"/>
  <c r="AC152" i="1"/>
  <c r="S152" i="1" s="1"/>
  <c r="AC206" i="1"/>
  <c r="S206" i="1" s="1"/>
  <c r="AC199" i="1"/>
  <c r="S199" i="1" s="1"/>
  <c r="AC172" i="1"/>
  <c r="S172" i="1" s="1"/>
  <c r="AC91" i="1"/>
  <c r="S91" i="1" s="1"/>
  <c r="AC61" i="1"/>
  <c r="S61" i="1" s="1"/>
  <c r="AC135" i="1"/>
  <c r="S135" i="1" s="1"/>
  <c r="AC87" i="1"/>
  <c r="S87" i="1" s="1"/>
  <c r="AC90" i="1"/>
  <c r="S90" i="1" s="1"/>
  <c r="AC176" i="1"/>
  <c r="S176" i="1" s="1"/>
  <c r="AC147" i="1"/>
  <c r="S147" i="1" s="1"/>
  <c r="AC225" i="1"/>
  <c r="S225" i="1" s="1"/>
  <c r="AC115" i="1"/>
  <c r="S115" i="1" s="1"/>
  <c r="AC129" i="1"/>
  <c r="S129" i="1" s="1"/>
  <c r="AC144" i="1"/>
  <c r="S144" i="1" s="1"/>
  <c r="AC173" i="1"/>
  <c r="S173" i="1" s="1"/>
  <c r="AC64" i="1"/>
  <c r="S64" i="1" s="1"/>
  <c r="AC89" i="1"/>
  <c r="S89" i="1" s="1"/>
  <c r="AC211" i="1"/>
  <c r="S211" i="1" s="1"/>
  <c r="AC84" i="1"/>
  <c r="S84" i="1" s="1"/>
  <c r="AC186" i="1"/>
  <c r="S186" i="1" s="1"/>
  <c r="AC197" i="1"/>
  <c r="S197" i="1" s="1"/>
  <c r="AC223" i="1"/>
  <c r="S223" i="1" s="1"/>
  <c r="AC113" i="1"/>
  <c r="S113" i="1" s="1"/>
  <c r="AC105" i="1"/>
  <c r="S105" i="1" s="1"/>
  <c r="AC114" i="1"/>
  <c r="S114" i="1" s="1"/>
  <c r="AC75" i="1"/>
  <c r="S75" i="1" s="1"/>
  <c r="AC195" i="1"/>
  <c r="S195" i="1" s="1"/>
  <c r="AC224" i="1"/>
  <c r="S224" i="1" s="1"/>
  <c r="AC215" i="1"/>
  <c r="S215" i="1" s="1"/>
  <c r="AC200" i="1"/>
  <c r="S200" i="1" s="1"/>
  <c r="AC151" i="1"/>
  <c r="S151" i="1" s="1"/>
  <c r="AC123" i="1"/>
  <c r="S123" i="1" s="1"/>
  <c r="AC371" i="1"/>
  <c r="S371" i="1" s="1"/>
  <c r="AC363" i="1"/>
  <c r="S363" i="1" s="1"/>
  <c r="AC370" i="1"/>
  <c r="S370" i="1" s="1"/>
  <c r="AC378" i="1"/>
  <c r="S378" i="1" s="1"/>
  <c r="AC367" i="1"/>
  <c r="S367" i="1" s="1"/>
  <c r="AC377" i="1"/>
  <c r="S377" i="1" s="1"/>
  <c r="AC376" i="1"/>
  <c r="S376" i="1" s="1"/>
  <c r="AC364" i="1"/>
  <c r="S364" i="1" s="1"/>
  <c r="AC368" i="1"/>
  <c r="S368" i="1" s="1"/>
  <c r="AC369" i="1"/>
  <c r="S369" i="1" s="1"/>
  <c r="AC365" i="1"/>
  <c r="S365" i="1" s="1"/>
  <c r="AC379" i="1"/>
  <c r="S379" i="1" s="1"/>
  <c r="AC375" i="1"/>
  <c r="S375" i="1" s="1"/>
  <c r="AC462" i="1"/>
  <c r="S462" i="1" s="1"/>
  <c r="AC450" i="1"/>
  <c r="S450" i="1" s="1"/>
  <c r="AC373" i="1"/>
  <c r="S373" i="1" s="1"/>
  <c r="AC447" i="1"/>
  <c r="S447" i="1" s="1"/>
  <c r="AC380" i="1"/>
  <c r="S380" i="1" s="1"/>
  <c r="AC372" i="1"/>
  <c r="S372" i="1" s="1"/>
  <c r="AC394" i="1"/>
  <c r="S394" i="1" s="1"/>
  <c r="AC381" i="1"/>
  <c r="S381" i="1" s="1"/>
  <c r="AC413" i="1"/>
  <c r="S413" i="1" s="1"/>
  <c r="AC477" i="1"/>
  <c r="S477" i="1" s="1"/>
  <c r="AC471" i="1"/>
  <c r="S471" i="1" s="1"/>
  <c r="AC453" i="1"/>
  <c r="S453" i="1" s="1"/>
  <c r="AC393" i="1"/>
  <c r="S393" i="1" s="1"/>
  <c r="AC465" i="1"/>
  <c r="S465" i="1" s="1"/>
  <c r="AC426" i="1"/>
  <c r="S426" i="1" s="1"/>
  <c r="AC396" i="1"/>
  <c r="S396" i="1" s="1"/>
  <c r="AC482" i="1"/>
  <c r="S482" i="1" s="1"/>
  <c r="AC397" i="1"/>
  <c r="S397" i="1" s="1"/>
  <c r="AC485" i="1"/>
  <c r="AC460" i="1"/>
  <c r="S460" i="1" s="1"/>
  <c r="AC400" i="1"/>
  <c r="S400" i="1" s="1"/>
  <c r="AC395" i="1"/>
  <c r="S395" i="1" s="1"/>
  <c r="AC392" i="1"/>
  <c r="S392" i="1" s="1"/>
  <c r="AC463" i="1"/>
  <c r="S463" i="1" s="1"/>
  <c r="AC472" i="1"/>
  <c r="S472" i="1" s="1"/>
  <c r="AC469" i="1"/>
  <c r="S469" i="1" s="1"/>
  <c r="AC467" i="1"/>
  <c r="S467" i="1" s="1"/>
  <c r="AC386" i="1"/>
  <c r="S386" i="1" s="1"/>
  <c r="AC478" i="1"/>
  <c r="S478" i="1" s="1"/>
  <c r="AC389" i="1"/>
  <c r="S389" i="1" s="1"/>
  <c r="AC486" i="1"/>
  <c r="S486" i="1" s="1"/>
  <c r="AC454" i="1"/>
  <c r="S454" i="1" s="1"/>
  <c r="AC442" i="1"/>
  <c r="S442" i="1" s="1"/>
  <c r="AC420" i="1"/>
  <c r="S420" i="1" s="1"/>
  <c r="AC448" i="1"/>
  <c r="S448" i="1" s="1"/>
  <c r="AC441" i="1"/>
  <c r="S441" i="1" s="1"/>
  <c r="AC374" i="1"/>
  <c r="S374" i="1" s="1"/>
  <c r="AC402" i="1"/>
  <c r="S402" i="1" s="1"/>
  <c r="AC474" i="1"/>
  <c r="S474" i="1" s="1"/>
  <c r="AC439" i="1"/>
  <c r="S439" i="1" s="1"/>
  <c r="AC443" i="1"/>
  <c r="S443" i="1" s="1"/>
  <c r="AC444" i="1"/>
  <c r="S444" i="1" s="1"/>
  <c r="AC388" i="1"/>
  <c r="S388" i="1" s="1"/>
  <c r="AC415" i="1"/>
  <c r="S415" i="1" s="1"/>
  <c r="AC432" i="1"/>
  <c r="S432" i="1" s="1"/>
  <c r="AC449" i="1"/>
  <c r="S449" i="1" s="1"/>
  <c r="AC452" i="1"/>
  <c r="S452" i="1" s="1"/>
  <c r="AC405" i="1"/>
  <c r="S405" i="1" s="1"/>
  <c r="AC433" i="1"/>
  <c r="S433" i="1" s="1"/>
  <c r="AC401" i="1"/>
  <c r="S401" i="1" s="1"/>
  <c r="AC480" i="1"/>
  <c r="S480" i="1" s="1"/>
  <c r="AC399" i="1"/>
  <c r="S399" i="1" s="1"/>
  <c r="AC428" i="1"/>
  <c r="S428" i="1" s="1"/>
  <c r="AC406" i="1"/>
  <c r="S406" i="1" s="1"/>
  <c r="AC429" i="1"/>
  <c r="S429" i="1" s="1"/>
  <c r="AC464" i="1"/>
  <c r="S464" i="1" s="1"/>
  <c r="AC382" i="1"/>
  <c r="S382" i="1" s="1"/>
  <c r="AC366" i="1"/>
  <c r="S366" i="1" s="1"/>
  <c r="AC387" i="1"/>
  <c r="S387" i="1" s="1"/>
  <c r="AC430" i="1"/>
  <c r="S430" i="1" s="1"/>
  <c r="AC481" i="1"/>
  <c r="S481" i="1" s="1"/>
  <c r="AC473" i="1"/>
  <c r="S473" i="1" s="1"/>
  <c r="AC417" i="1"/>
  <c r="S417" i="1" s="1"/>
  <c r="AC484" i="1"/>
  <c r="S484" i="1" s="1"/>
  <c r="AC427" i="1"/>
  <c r="S427" i="1" s="1"/>
  <c r="AC451" i="1"/>
  <c r="S451" i="1" s="1"/>
  <c r="AC384" i="1"/>
  <c r="S384" i="1" s="1"/>
  <c r="AC483" i="1"/>
  <c r="S483" i="1" s="1"/>
  <c r="AC437" i="1"/>
  <c r="S437" i="1" s="1"/>
  <c r="AC421" i="1"/>
  <c r="S421" i="1" s="1"/>
  <c r="AC425" i="1"/>
  <c r="S425" i="1" s="1"/>
  <c r="AC410" i="1"/>
  <c r="S410" i="1" s="1"/>
  <c r="AC424" i="1"/>
  <c r="S424" i="1" s="1"/>
  <c r="AC461" i="1"/>
  <c r="S461" i="1" s="1"/>
  <c r="AC391" i="1"/>
  <c r="S391" i="1" s="1"/>
  <c r="AC459" i="1"/>
  <c r="S459" i="1" s="1"/>
  <c r="AC458" i="1"/>
  <c r="S458" i="1" s="1"/>
  <c r="AC422" i="1"/>
  <c r="S422" i="1" s="1"/>
  <c r="AC479" i="1"/>
  <c r="S479" i="1" s="1"/>
  <c r="AC409" i="1"/>
  <c r="S409" i="1" s="1"/>
  <c r="AC412" i="1"/>
  <c r="S412" i="1" s="1"/>
  <c r="AC403" i="1"/>
  <c r="AC468" i="1"/>
  <c r="S468" i="1" s="1"/>
  <c r="AC414" i="1"/>
  <c r="S414" i="1" s="1"/>
  <c r="AC431" i="1"/>
  <c r="S431" i="1" s="1"/>
  <c r="AC475" i="1"/>
  <c r="S475" i="1" s="1"/>
  <c r="AC423" i="1"/>
  <c r="S423" i="1" s="1"/>
  <c r="AC438" i="1"/>
  <c r="S438" i="1" s="1"/>
  <c r="AC435" i="1"/>
  <c r="AC418" i="1"/>
  <c r="S418" i="1" s="1"/>
  <c r="AC390" i="1"/>
  <c r="S390" i="1" s="1"/>
  <c r="AC456" i="1"/>
  <c r="S456" i="1" s="1"/>
  <c r="AC476" i="1"/>
  <c r="S476" i="1" s="1"/>
  <c r="AC411" i="1"/>
  <c r="S411" i="1" s="1"/>
  <c r="AC466" i="1"/>
  <c r="S466" i="1" s="1"/>
  <c r="AC408" i="1"/>
  <c r="S408" i="1" s="1"/>
  <c r="AC404" i="1"/>
  <c r="S404" i="1" s="1"/>
  <c r="AC487" i="1"/>
  <c r="S487" i="1" s="1"/>
  <c r="AC440" i="1"/>
  <c r="S440" i="1" s="1"/>
  <c r="AC383" i="1"/>
  <c r="S383" i="1" s="1"/>
  <c r="AC416" i="1"/>
  <c r="S416" i="1" s="1"/>
  <c r="AC407" i="1"/>
  <c r="S407" i="1" s="1"/>
  <c r="AC446" i="1"/>
  <c r="S446" i="1" s="1"/>
  <c r="AC445" i="1"/>
  <c r="S445" i="1" s="1"/>
  <c r="AC457" i="1"/>
  <c r="S457" i="1" s="1"/>
  <c r="AC419" i="1"/>
  <c r="S419" i="1" s="1"/>
  <c r="AC455" i="1"/>
  <c r="S455" i="1" s="1"/>
  <c r="AC436" i="1"/>
  <c r="S436" i="1" s="1"/>
  <c r="AC398" i="1"/>
  <c r="S398" i="1" s="1"/>
  <c r="AC470" i="1"/>
  <c r="R239" i="1" l="1"/>
  <c r="R240" i="1" s="1"/>
  <c r="R440" i="1"/>
  <c r="Q440" i="1"/>
  <c r="R423" i="1"/>
  <c r="Q423" i="1"/>
  <c r="R391" i="1"/>
  <c r="Q391" i="1"/>
  <c r="Q387" i="1"/>
  <c r="R387" i="1"/>
  <c r="R452" i="1"/>
  <c r="Q452" i="1"/>
  <c r="R448" i="1"/>
  <c r="Q448" i="1"/>
  <c r="R392" i="1"/>
  <c r="Q392" i="1"/>
  <c r="R373" i="1"/>
  <c r="Q373" i="1"/>
  <c r="R378" i="1"/>
  <c r="Q378" i="1"/>
  <c r="Q186" i="1"/>
  <c r="R186" i="1"/>
  <c r="R91" i="1"/>
  <c r="Q91" i="1"/>
  <c r="Q102" i="1"/>
  <c r="R102" i="1"/>
  <c r="Q136" i="1"/>
  <c r="R136" i="1"/>
  <c r="R95" i="1"/>
  <c r="Q95" i="1"/>
  <c r="R92" i="1"/>
  <c r="Q92" i="1"/>
  <c r="Q189" i="1"/>
  <c r="R189" i="1"/>
  <c r="R163" i="1"/>
  <c r="Q163" i="1"/>
  <c r="Q202" i="1"/>
  <c r="R202" i="1"/>
  <c r="R52" i="1"/>
  <c r="Q52" i="1"/>
  <c r="R407" i="1"/>
  <c r="Q407" i="1"/>
  <c r="R487" i="1"/>
  <c r="Q487" i="1"/>
  <c r="Q411" i="1"/>
  <c r="R411" i="1"/>
  <c r="Q418" i="1"/>
  <c r="R418" i="1"/>
  <c r="Q475" i="1"/>
  <c r="R475" i="1"/>
  <c r="Q422" i="1"/>
  <c r="R422" i="1"/>
  <c r="Q421" i="1"/>
  <c r="R421" i="1"/>
  <c r="Q451" i="1"/>
  <c r="R451" i="1"/>
  <c r="Q473" i="1"/>
  <c r="R473" i="1"/>
  <c r="R406" i="1"/>
  <c r="Q406" i="1"/>
  <c r="R401" i="1"/>
  <c r="Q401" i="1"/>
  <c r="Q449" i="1"/>
  <c r="R449" i="1"/>
  <c r="Q444" i="1"/>
  <c r="R444" i="1"/>
  <c r="Q402" i="1"/>
  <c r="R402" i="1"/>
  <c r="Q420" i="1"/>
  <c r="R420" i="1"/>
  <c r="R389" i="1"/>
  <c r="Q389" i="1"/>
  <c r="Q395" i="1"/>
  <c r="R395" i="1"/>
  <c r="R397" i="1"/>
  <c r="Q397" i="1"/>
  <c r="R465" i="1"/>
  <c r="Q465" i="1"/>
  <c r="Q477" i="1"/>
  <c r="R477" i="1"/>
  <c r="R372" i="1"/>
  <c r="Q372" i="1"/>
  <c r="R365" i="1"/>
  <c r="Q365" i="1"/>
  <c r="Q376" i="1"/>
  <c r="R376" i="1"/>
  <c r="Q370" i="1"/>
  <c r="R370" i="1"/>
  <c r="R195" i="1"/>
  <c r="Q195" i="1"/>
  <c r="R84" i="1"/>
  <c r="Q84" i="1"/>
  <c r="R173" i="1"/>
  <c r="Q173" i="1"/>
  <c r="R225" i="1"/>
  <c r="Q225" i="1"/>
  <c r="R87" i="1"/>
  <c r="Q87" i="1"/>
  <c r="Q172" i="1"/>
  <c r="R172" i="1"/>
  <c r="R164" i="1"/>
  <c r="Q164" i="1"/>
  <c r="R69" i="1"/>
  <c r="Q69" i="1"/>
  <c r="R145" i="1"/>
  <c r="Q145" i="1"/>
  <c r="R131" i="1"/>
  <c r="Q131" i="1"/>
  <c r="Q156" i="1"/>
  <c r="R156" i="1"/>
  <c r="Q120" i="1"/>
  <c r="R120" i="1"/>
  <c r="Q184" i="1"/>
  <c r="R184" i="1"/>
  <c r="R116" i="1"/>
  <c r="Q116" i="1"/>
  <c r="Q203" i="1"/>
  <c r="R203" i="1"/>
  <c r="Q139" i="1"/>
  <c r="R139" i="1"/>
  <c r="Q168" i="1"/>
  <c r="R168" i="1"/>
  <c r="R134" i="1"/>
  <c r="Q134" i="1"/>
  <c r="Q58" i="1"/>
  <c r="R58" i="1"/>
  <c r="Q204" i="1"/>
  <c r="R204" i="1"/>
  <c r="R174" i="1"/>
  <c r="Q174" i="1"/>
  <c r="Q132" i="1"/>
  <c r="R132" i="1"/>
  <c r="Q86" i="1"/>
  <c r="R86" i="1"/>
  <c r="R178" i="1"/>
  <c r="Q178" i="1"/>
  <c r="Q74" i="1"/>
  <c r="R74" i="1"/>
  <c r="R175" i="1"/>
  <c r="Q175" i="1"/>
  <c r="Q140" i="1"/>
  <c r="R140" i="1"/>
  <c r="R141" i="1"/>
  <c r="Q141" i="1"/>
  <c r="Q110" i="1"/>
  <c r="R110" i="1"/>
  <c r="R72" i="1"/>
  <c r="Q72" i="1"/>
  <c r="R210" i="1"/>
  <c r="Q210" i="1"/>
  <c r="R97" i="1"/>
  <c r="Q97" i="1"/>
  <c r="R146" i="1"/>
  <c r="Q146" i="1"/>
  <c r="Q53" i="1"/>
  <c r="R53" i="1"/>
  <c r="S227" i="1"/>
  <c r="Q47" i="1"/>
  <c r="R47" i="1"/>
  <c r="Q455" i="1"/>
  <c r="R455" i="1"/>
  <c r="R466" i="1"/>
  <c r="Q466" i="1"/>
  <c r="R425" i="1"/>
  <c r="Q425" i="1"/>
  <c r="Q417" i="1"/>
  <c r="R417" i="1"/>
  <c r="R429" i="1"/>
  <c r="Q429" i="1"/>
  <c r="Q388" i="1"/>
  <c r="R388" i="1"/>
  <c r="Q486" i="1"/>
  <c r="R486" i="1"/>
  <c r="Q394" i="1"/>
  <c r="R394" i="1"/>
  <c r="Q379" i="1"/>
  <c r="R379" i="1"/>
  <c r="Q123" i="1"/>
  <c r="R123" i="1"/>
  <c r="R105" i="1"/>
  <c r="Q105" i="1"/>
  <c r="R152" i="1"/>
  <c r="Q152" i="1"/>
  <c r="R60" i="1"/>
  <c r="Q60" i="1"/>
  <c r="Q165" i="1"/>
  <c r="R165" i="1"/>
  <c r="Q126" i="1"/>
  <c r="R126" i="1"/>
  <c r="R57" i="1"/>
  <c r="Q57" i="1"/>
  <c r="Q66" i="1"/>
  <c r="R66" i="1"/>
  <c r="R169" i="1"/>
  <c r="Q169" i="1"/>
  <c r="R398" i="1"/>
  <c r="Q398" i="1"/>
  <c r="Q457" i="1"/>
  <c r="R457" i="1"/>
  <c r="R416" i="1"/>
  <c r="Q416" i="1"/>
  <c r="Q404" i="1"/>
  <c r="R404" i="1"/>
  <c r="Q476" i="1"/>
  <c r="R476" i="1"/>
  <c r="R412" i="1"/>
  <c r="Q412" i="1"/>
  <c r="Q458" i="1"/>
  <c r="R458" i="1"/>
  <c r="R424" i="1"/>
  <c r="Q424" i="1"/>
  <c r="Q437" i="1"/>
  <c r="R437" i="1"/>
  <c r="R427" i="1"/>
  <c r="Q427" i="1"/>
  <c r="Q481" i="1"/>
  <c r="R481" i="1"/>
  <c r="Q428" i="1"/>
  <c r="R428" i="1"/>
  <c r="R432" i="1"/>
  <c r="Q432" i="1"/>
  <c r="Q443" i="1"/>
  <c r="R443" i="1"/>
  <c r="R442" i="1"/>
  <c r="Q442" i="1"/>
  <c r="Q478" i="1"/>
  <c r="R478" i="1"/>
  <c r="Q472" i="1"/>
  <c r="R472" i="1"/>
  <c r="R400" i="1"/>
  <c r="Q400" i="1"/>
  <c r="R482" i="1"/>
  <c r="Q482" i="1"/>
  <c r="Q393" i="1"/>
  <c r="R393" i="1"/>
  <c r="Q413" i="1"/>
  <c r="R413" i="1"/>
  <c r="Q380" i="1"/>
  <c r="R380" i="1"/>
  <c r="R462" i="1"/>
  <c r="Q462" i="1"/>
  <c r="R369" i="1"/>
  <c r="Q369" i="1"/>
  <c r="R377" i="1"/>
  <c r="Q377" i="1"/>
  <c r="Q363" i="1"/>
  <c r="R363" i="1"/>
  <c r="S488" i="1"/>
  <c r="R200" i="1"/>
  <c r="Q200" i="1"/>
  <c r="Q75" i="1"/>
  <c r="R75" i="1"/>
  <c r="Q211" i="1"/>
  <c r="R211" i="1"/>
  <c r="R144" i="1"/>
  <c r="Q144" i="1"/>
  <c r="R135" i="1"/>
  <c r="Q135" i="1"/>
  <c r="R101" i="1"/>
  <c r="Q101" i="1"/>
  <c r="R98" i="1"/>
  <c r="Q98" i="1"/>
  <c r="R170" i="1"/>
  <c r="Q170" i="1"/>
  <c r="Q68" i="1"/>
  <c r="R68" i="1"/>
  <c r="Q59" i="1"/>
  <c r="R59" i="1"/>
  <c r="R181" i="1"/>
  <c r="Q181" i="1"/>
  <c r="R150" i="1"/>
  <c r="Q150" i="1"/>
  <c r="R67" i="1"/>
  <c r="Q67" i="1"/>
  <c r="R107" i="1"/>
  <c r="Q107" i="1"/>
  <c r="Q65" i="1"/>
  <c r="R65" i="1"/>
  <c r="R157" i="1"/>
  <c r="Q157" i="1"/>
  <c r="Q130" i="1"/>
  <c r="R130" i="1"/>
  <c r="R191" i="1"/>
  <c r="Q191" i="1"/>
  <c r="R77" i="1"/>
  <c r="Q77" i="1"/>
  <c r="Q220" i="1"/>
  <c r="R220" i="1"/>
  <c r="Q162" i="1"/>
  <c r="R162" i="1"/>
  <c r="R217" i="1"/>
  <c r="Q217" i="1"/>
  <c r="R70" i="1"/>
  <c r="Q70" i="1"/>
  <c r="R205" i="1"/>
  <c r="Q205" i="1"/>
  <c r="Q121" i="1"/>
  <c r="R121" i="1"/>
  <c r="R212" i="1"/>
  <c r="Q212" i="1"/>
  <c r="R109" i="1"/>
  <c r="Q109" i="1"/>
  <c r="R82" i="1"/>
  <c r="Q82" i="1"/>
  <c r="Q63" i="1"/>
  <c r="R63" i="1"/>
  <c r="Q192" i="1"/>
  <c r="R192" i="1"/>
  <c r="Q216" i="1"/>
  <c r="R216" i="1"/>
  <c r="R49" i="1"/>
  <c r="Q49" i="1"/>
  <c r="R446" i="1"/>
  <c r="Q446" i="1"/>
  <c r="Q390" i="1"/>
  <c r="R390" i="1"/>
  <c r="Q384" i="1"/>
  <c r="R384" i="1"/>
  <c r="Q480" i="1"/>
  <c r="R480" i="1"/>
  <c r="R474" i="1"/>
  <c r="Q474" i="1"/>
  <c r="Q467" i="1"/>
  <c r="R467" i="1"/>
  <c r="Q471" i="1"/>
  <c r="R471" i="1"/>
  <c r="R364" i="1"/>
  <c r="Q364" i="1"/>
  <c r="Q224" i="1"/>
  <c r="R224" i="1"/>
  <c r="R64" i="1"/>
  <c r="Q64" i="1"/>
  <c r="R90" i="1"/>
  <c r="Q90" i="1"/>
  <c r="R93" i="1"/>
  <c r="Q93" i="1"/>
  <c r="Q117" i="1"/>
  <c r="R117" i="1"/>
  <c r="R138" i="1"/>
  <c r="Q138" i="1"/>
  <c r="R208" i="1"/>
  <c r="Q208" i="1"/>
  <c r="Q104" i="1"/>
  <c r="R104" i="1"/>
  <c r="R119" i="1"/>
  <c r="Q119" i="1"/>
  <c r="Q111" i="1"/>
  <c r="R111" i="1"/>
  <c r="R112" i="1"/>
  <c r="Q112" i="1"/>
  <c r="R124" i="1"/>
  <c r="Q124" i="1"/>
  <c r="R201" i="1"/>
  <c r="Q201" i="1"/>
  <c r="R436" i="1"/>
  <c r="Q436" i="1"/>
  <c r="R445" i="1"/>
  <c r="Q445" i="1"/>
  <c r="Q408" i="1"/>
  <c r="R408" i="1"/>
  <c r="Q438" i="1"/>
  <c r="R438" i="1"/>
  <c r="R414" i="1"/>
  <c r="Q414" i="1"/>
  <c r="Q409" i="1"/>
  <c r="R409" i="1"/>
  <c r="Q410" i="1"/>
  <c r="R410" i="1"/>
  <c r="R484" i="1"/>
  <c r="Q484" i="1"/>
  <c r="R430" i="1"/>
  <c r="Q430" i="1"/>
  <c r="Q464" i="1"/>
  <c r="R464" i="1"/>
  <c r="Q399" i="1"/>
  <c r="R399" i="1"/>
  <c r="R405" i="1"/>
  <c r="Q405" i="1"/>
  <c r="R415" i="1"/>
  <c r="Q415" i="1"/>
  <c r="Q439" i="1"/>
  <c r="R439" i="1"/>
  <c r="Q441" i="1"/>
  <c r="R441" i="1"/>
  <c r="Q454" i="1"/>
  <c r="R454" i="1"/>
  <c r="Q386" i="1"/>
  <c r="R386" i="1"/>
  <c r="Q463" i="1"/>
  <c r="R463" i="1"/>
  <c r="R460" i="1"/>
  <c r="Q460" i="1"/>
  <c r="R396" i="1"/>
  <c r="Q396" i="1"/>
  <c r="R453" i="1"/>
  <c r="Q453" i="1"/>
  <c r="Q381" i="1"/>
  <c r="R381" i="1"/>
  <c r="Q375" i="1"/>
  <c r="R375" i="1"/>
  <c r="Q368" i="1"/>
  <c r="R368" i="1"/>
  <c r="Q367" i="1"/>
  <c r="R367" i="1"/>
  <c r="R371" i="1"/>
  <c r="Q371" i="1"/>
  <c r="Q215" i="1"/>
  <c r="R215" i="1"/>
  <c r="R114" i="1"/>
  <c r="Q114" i="1"/>
  <c r="R197" i="1"/>
  <c r="Q197" i="1"/>
  <c r="R89" i="1"/>
  <c r="Q89" i="1"/>
  <c r="Q176" i="1"/>
  <c r="R176" i="1"/>
  <c r="Q61" i="1"/>
  <c r="R61" i="1"/>
  <c r="Q56" i="1"/>
  <c r="R56" i="1"/>
  <c r="R76" i="1"/>
  <c r="Q76" i="1"/>
  <c r="R94" i="1"/>
  <c r="Q94" i="1"/>
  <c r="Q153" i="1"/>
  <c r="R153" i="1"/>
  <c r="Q226" i="1"/>
  <c r="R226" i="1"/>
  <c r="Q190" i="1"/>
  <c r="R190" i="1"/>
  <c r="R177" i="1"/>
  <c r="Q177" i="1"/>
  <c r="R193" i="1"/>
  <c r="Q193" i="1"/>
  <c r="Q78" i="1"/>
  <c r="R78" i="1"/>
  <c r="Q161" i="1"/>
  <c r="R161" i="1"/>
  <c r="R196" i="1"/>
  <c r="Q196" i="1"/>
  <c r="Q96" i="1"/>
  <c r="R96" i="1"/>
  <c r="R142" i="1"/>
  <c r="Q142" i="1"/>
  <c r="R80" i="1"/>
  <c r="Q80" i="1"/>
  <c r="Q71" i="1"/>
  <c r="R71" i="1"/>
  <c r="R73" i="1"/>
  <c r="Q73" i="1"/>
  <c r="Q127" i="1"/>
  <c r="R127" i="1"/>
  <c r="R214" i="1"/>
  <c r="Q214" i="1"/>
  <c r="Q182" i="1"/>
  <c r="R182" i="1"/>
  <c r="Q128" i="1"/>
  <c r="R128" i="1"/>
  <c r="R122" i="1"/>
  <c r="Q122" i="1"/>
  <c r="R79" i="1"/>
  <c r="Q79" i="1"/>
  <c r="Q125" i="1"/>
  <c r="R125" i="1"/>
  <c r="R85" i="1"/>
  <c r="Q85" i="1"/>
  <c r="Q48" i="1"/>
  <c r="R48" i="1"/>
  <c r="R241" i="1" l="1"/>
  <c r="R50" i="1"/>
  <c r="Q50" i="1"/>
  <c r="R250" i="1" l="1"/>
  <c r="Q250" i="1"/>
  <c r="R382" i="1"/>
  <c r="R383" i="1"/>
  <c r="Q383" i="1"/>
  <c r="R51" i="1"/>
  <c r="Q51" i="1"/>
  <c r="R54" i="1" l="1"/>
  <c r="Q54" i="1"/>
  <c r="Q252" i="1"/>
  <c r="R55" i="1"/>
  <c r="Q55" i="1"/>
  <c r="Q431" i="1" l="1"/>
  <c r="Q433" i="1" s="1"/>
  <c r="R62" i="1"/>
  <c r="Q62" i="1"/>
  <c r="R83" i="1" l="1"/>
  <c r="R81" i="1"/>
  <c r="R431" i="1"/>
  <c r="R99" i="1"/>
  <c r="Q81" i="1"/>
  <c r="Q83" i="1" l="1"/>
  <c r="Q88" i="1" s="1"/>
  <c r="R88" i="1"/>
  <c r="R100" i="1" s="1"/>
  <c r="R433" i="1"/>
  <c r="Q99" i="1"/>
  <c r="R103" i="1"/>
  <c r="R106" i="1" l="1"/>
  <c r="Q100" i="1"/>
  <c r="Q103" i="1"/>
  <c r="R108" i="1"/>
  <c r="Q115" i="1"/>
  <c r="Q106" i="1" l="1"/>
  <c r="Q108" i="1"/>
  <c r="R113" i="1"/>
  <c r="Q113" i="1" l="1"/>
  <c r="R115" i="1"/>
  <c r="Q129" i="1"/>
  <c r="R118" i="1"/>
  <c r="Q118" i="1" l="1"/>
  <c r="Q133" i="1" s="1"/>
  <c r="R129" i="1"/>
  <c r="Q137" i="1" l="1"/>
  <c r="R133" i="1"/>
  <c r="Q143" i="1" l="1"/>
  <c r="R137" i="1"/>
  <c r="Q147" i="1" l="1"/>
  <c r="R143" i="1"/>
  <c r="Q148" i="1" l="1"/>
  <c r="R147" i="1"/>
  <c r="R148" i="1"/>
  <c r="R149" i="1" l="1"/>
  <c r="R151" i="1" s="1"/>
  <c r="R154" i="1" s="1"/>
  <c r="Q149" i="1"/>
  <c r="R155" i="1"/>
  <c r="Q151" i="1" l="1"/>
  <c r="R158" i="1"/>
  <c r="R159" i="1" s="1"/>
  <c r="Q154" i="1" l="1"/>
  <c r="R160" i="1"/>
  <c r="R166" i="1" s="1"/>
  <c r="R167" i="1" s="1"/>
  <c r="R171" i="1" s="1"/>
  <c r="Q155" i="1" l="1"/>
  <c r="R179" i="1"/>
  <c r="R180" i="1" s="1"/>
  <c r="Q158" i="1" l="1"/>
  <c r="R183" i="1"/>
  <c r="Q159" i="1" l="1"/>
  <c r="R185" i="1"/>
  <c r="Q160" i="1" l="1"/>
  <c r="R187" i="1"/>
  <c r="Q166" i="1" l="1"/>
  <c r="R188" i="1"/>
  <c r="Q167" i="1" l="1"/>
  <c r="R194" i="1"/>
  <c r="R198" i="1"/>
  <c r="R199" i="1" s="1"/>
  <c r="Q171" i="1" l="1"/>
  <c r="R206" i="1"/>
  <c r="Q179" i="1" l="1"/>
  <c r="R207" i="1"/>
  <c r="R209" i="1" s="1"/>
  <c r="Q180" i="1" l="1"/>
  <c r="R213" i="1"/>
  <c r="Q183" i="1" l="1"/>
  <c r="R218" i="1"/>
  <c r="Q185" i="1" l="1"/>
  <c r="R219" i="1"/>
  <c r="Q187" i="1" l="1"/>
  <c r="R221" i="1"/>
  <c r="R222" i="1" s="1"/>
  <c r="R223" i="1" s="1"/>
  <c r="Q188" i="1" l="1"/>
  <c r="R236" i="1"/>
  <c r="Q194" i="1" l="1"/>
  <c r="Q198" i="1" s="1"/>
  <c r="Q199" i="1" s="1"/>
  <c r="Q206" i="1" s="1"/>
  <c r="Q207" i="1" s="1"/>
  <c r="R238" i="1"/>
  <c r="Q213" i="1" l="1"/>
  <c r="Q218" i="1" s="1"/>
  <c r="Q209" i="1"/>
  <c r="Q807" i="1"/>
  <c r="R242" i="1"/>
  <c r="Q219" i="1" l="1"/>
  <c r="Q809" i="1"/>
  <c r="R244" i="1"/>
  <c r="Q221" i="1" l="1"/>
  <c r="Q222" i="1" s="1"/>
  <c r="Q811" i="1"/>
  <c r="R245" i="1"/>
  <c r="Q223" i="1" l="1"/>
  <c r="Q813" i="1"/>
  <c r="R251" i="1"/>
  <c r="Q227" i="1" l="1"/>
  <c r="R252" i="1"/>
  <c r="R273" i="1" s="1"/>
  <c r="Q236" i="1" l="1"/>
  <c r="R366" i="1"/>
  <c r="Q238" i="1" l="1"/>
  <c r="R374" i="1"/>
  <c r="Q242" i="1" l="1"/>
  <c r="R419" i="1"/>
  <c r="Q244" i="1" l="1"/>
  <c r="R426" i="1"/>
  <c r="R447" i="1" s="1"/>
  <c r="R450" i="1" s="1"/>
  <c r="R456" i="1" s="1"/>
  <c r="R459" i="1" s="1"/>
  <c r="R461" i="1" s="1"/>
  <c r="R468" i="1" s="1"/>
  <c r="R469" i="1" s="1"/>
  <c r="R479" i="1" s="1"/>
  <c r="R483" i="1" s="1"/>
  <c r="Q245" i="1" l="1"/>
  <c r="R492" i="1"/>
  <c r="R611" i="1" s="1"/>
  <c r="R807" i="1"/>
  <c r="Q251" i="1" l="1"/>
  <c r="R809" i="1"/>
  <c r="Q253" i="1" l="1"/>
  <c r="Q273" i="1" s="1"/>
  <c r="R811" i="1"/>
  <c r="Q366" i="1" l="1"/>
  <c r="R813" i="1"/>
  <c r="D46" i="7" s="1"/>
  <c r="D48" i="7"/>
  <c r="I48" i="7" l="1"/>
  <c r="H48" i="7"/>
  <c r="G48" i="7"/>
  <c r="F48" i="7"/>
  <c r="C48" i="7"/>
  <c r="Q374" i="1"/>
  <c r="B48" i="7"/>
  <c r="F34" i="7"/>
  <c r="D23" i="7"/>
  <c r="G32" i="7"/>
  <c r="H45" i="7"/>
  <c r="I42" i="7"/>
  <c r="F30" i="7"/>
  <c r="E26" i="7"/>
  <c r="G21" i="7"/>
  <c r="G18" i="7"/>
  <c r="D44" i="7"/>
  <c r="I29" i="7"/>
  <c r="F29" i="7"/>
  <c r="B20" i="7"/>
  <c r="F20" i="7"/>
  <c r="E42" i="7"/>
  <c r="B24" i="7"/>
  <c r="B35" i="7"/>
  <c r="E31" i="7"/>
  <c r="C19" i="7"/>
  <c r="I24" i="7"/>
  <c r="F21" i="7"/>
  <c r="F33" i="7"/>
  <c r="H14" i="7"/>
  <c r="E18" i="7"/>
  <c r="H38" i="7"/>
  <c r="F44" i="7"/>
  <c r="B43" i="7"/>
  <c r="G17" i="7"/>
  <c r="B37" i="7"/>
  <c r="I22" i="7"/>
  <c r="G44" i="7"/>
  <c r="B27" i="7"/>
  <c r="D32" i="7"/>
  <c r="F17" i="7"/>
  <c r="I39" i="7"/>
  <c r="C18" i="7"/>
  <c r="C30" i="7"/>
  <c r="H17" i="7"/>
  <c r="I36" i="7"/>
  <c r="G15" i="7"/>
  <c r="E38" i="7"/>
  <c r="I35" i="7"/>
  <c r="F28" i="7"/>
  <c r="H25" i="7"/>
  <c r="G23" i="7"/>
  <c r="C40" i="7"/>
  <c r="G35" i="7"/>
  <c r="D24" i="7"/>
  <c r="D20" i="7"/>
  <c r="I37" i="7"/>
  <c r="G45" i="7"/>
  <c r="D21" i="7"/>
  <c r="D37" i="7"/>
  <c r="G16" i="7"/>
  <c r="H21" i="7"/>
  <c r="B30" i="7"/>
  <c r="E39" i="7"/>
  <c r="B26" i="7"/>
  <c r="H26" i="7"/>
  <c r="I15" i="7"/>
  <c r="C14" i="7"/>
  <c r="C39" i="7"/>
  <c r="C17" i="7"/>
  <c r="B47" i="7"/>
  <c r="H47" i="7"/>
  <c r="I46" i="7"/>
  <c r="E48" i="7"/>
  <c r="D45" i="7"/>
  <c r="F22" i="7"/>
  <c r="B22" i="7"/>
  <c r="D35" i="7"/>
  <c r="D15" i="7"/>
  <c r="E46" i="7"/>
  <c r="I28" i="7"/>
  <c r="B16" i="7"/>
  <c r="E19" i="7"/>
  <c r="B18" i="7"/>
  <c r="C42" i="7"/>
  <c r="B41" i="7"/>
  <c r="I23" i="7"/>
  <c r="I30" i="7"/>
  <c r="E30" i="7"/>
  <c r="H41" i="7"/>
  <c r="H32" i="7"/>
  <c r="H16" i="7"/>
  <c r="E17" i="7"/>
  <c r="G40" i="7"/>
  <c r="G28" i="7"/>
  <c r="G29" i="7"/>
  <c r="H36" i="7"/>
  <c r="G22" i="7"/>
  <c r="E33" i="7"/>
  <c r="C25" i="7"/>
  <c r="G34" i="7"/>
  <c r="F38" i="7"/>
  <c r="H33" i="7"/>
  <c r="I26" i="7"/>
  <c r="D31" i="7"/>
  <c r="C26" i="7"/>
  <c r="F18" i="7"/>
  <c r="B21" i="7"/>
  <c r="H30" i="7"/>
  <c r="H44" i="7"/>
  <c r="B17" i="7"/>
  <c r="H37" i="7"/>
  <c r="D22" i="7"/>
  <c r="C31" i="7"/>
  <c r="C34" i="7"/>
  <c r="B39" i="7"/>
  <c r="I32" i="7"/>
  <c r="C21" i="7"/>
  <c r="E23" i="7"/>
  <c r="B29" i="7"/>
  <c r="C44" i="7"/>
  <c r="C24" i="7"/>
  <c r="C22" i="7"/>
  <c r="I16" i="7"/>
  <c r="D25" i="7"/>
  <c r="F41" i="7"/>
  <c r="F39" i="7"/>
  <c r="G38" i="7"/>
  <c r="B34" i="7"/>
  <c r="D16" i="7"/>
  <c r="D18" i="7"/>
  <c r="E41" i="7"/>
  <c r="E22" i="7"/>
  <c r="C16" i="7"/>
  <c r="C23" i="7"/>
  <c r="E28" i="7"/>
  <c r="H42" i="7"/>
  <c r="E35" i="7"/>
  <c r="F46" i="7"/>
  <c r="G47" i="7"/>
  <c r="B154" i="7"/>
  <c r="I19" i="7"/>
  <c r="F24" i="7"/>
  <c r="D47" i="7"/>
  <c r="F42" i="7"/>
  <c r="C41" i="7"/>
  <c r="H31" i="7"/>
  <c r="C20" i="7"/>
  <c r="C35" i="7"/>
  <c r="D40" i="7"/>
  <c r="B36" i="7"/>
  <c r="G27" i="7"/>
  <c r="G42" i="7"/>
  <c r="E25" i="7"/>
  <c r="B32" i="7"/>
  <c r="G14" i="7"/>
  <c r="I41" i="7"/>
  <c r="E21" i="7"/>
  <c r="I33" i="7"/>
  <c r="I38" i="7"/>
  <c r="C15" i="7"/>
  <c r="H22" i="7"/>
  <c r="B23" i="7"/>
  <c r="B25" i="7"/>
  <c r="F32" i="7"/>
  <c r="D43" i="7"/>
  <c r="G25" i="7"/>
  <c r="F37" i="7"/>
  <c r="F31" i="7"/>
  <c r="E36" i="7"/>
  <c r="G24" i="7"/>
  <c r="E40" i="7"/>
  <c r="F25" i="7"/>
  <c r="H23" i="7"/>
  <c r="D26" i="7"/>
  <c r="C29" i="7"/>
  <c r="G39" i="7"/>
  <c r="H18" i="7"/>
  <c r="D28" i="7"/>
  <c r="E29" i="7"/>
  <c r="C28" i="7"/>
  <c r="E45" i="7"/>
  <c r="C45" i="7"/>
  <c r="I21" i="7"/>
  <c r="I17" i="7"/>
  <c r="H28" i="7"/>
  <c r="G26" i="7"/>
  <c r="E44" i="7"/>
  <c r="H40" i="7"/>
  <c r="D27" i="7"/>
  <c r="B38" i="7"/>
  <c r="B15" i="7"/>
  <c r="I43" i="7"/>
  <c r="H39" i="7"/>
  <c r="F23" i="7"/>
  <c r="C36" i="7"/>
  <c r="I18" i="7"/>
  <c r="B42" i="7"/>
  <c r="D41" i="7"/>
  <c r="D33" i="7"/>
  <c r="G19" i="7"/>
  <c r="G31" i="7"/>
  <c r="D29" i="7"/>
  <c r="H43" i="7"/>
  <c r="F40" i="7"/>
  <c r="B31" i="7"/>
  <c r="D19" i="7"/>
  <c r="E20" i="7"/>
  <c r="I44" i="7"/>
  <c r="B45" i="7"/>
  <c r="H46" i="7"/>
  <c r="F47" i="7"/>
  <c r="C47" i="7"/>
  <c r="F26" i="7"/>
  <c r="B33" i="7"/>
  <c r="I14" i="7"/>
  <c r="E43" i="7"/>
  <c r="E16" i="7"/>
  <c r="H20" i="7"/>
  <c r="H15" i="7"/>
  <c r="D30" i="7"/>
  <c r="G37" i="7"/>
  <c r="B40" i="7"/>
  <c r="B28" i="7"/>
  <c r="H27" i="7"/>
  <c r="F14" i="7"/>
  <c r="D34" i="7"/>
  <c r="D39" i="7"/>
  <c r="D36" i="7"/>
  <c r="E14" i="7"/>
  <c r="H19" i="7"/>
  <c r="H35" i="7"/>
  <c r="G43" i="7"/>
  <c r="B44" i="7"/>
  <c r="H29" i="7"/>
  <c r="B19" i="7"/>
  <c r="C33" i="7"/>
  <c r="E34" i="7"/>
  <c r="D42" i="7"/>
  <c r="I25" i="7"/>
  <c r="E32" i="7"/>
  <c r="C27" i="7"/>
  <c r="G30" i="7"/>
  <c r="F45" i="7"/>
  <c r="F16" i="7"/>
  <c r="I20" i="7"/>
  <c r="F35" i="7"/>
  <c r="C38" i="7"/>
  <c r="B14" i="7"/>
  <c r="G33" i="7"/>
  <c r="G36" i="7"/>
  <c r="I31" i="7"/>
  <c r="C37" i="7"/>
  <c r="H34" i="7"/>
  <c r="G41" i="7"/>
  <c r="I45" i="7"/>
  <c r="E15" i="7"/>
  <c r="H24" i="7"/>
  <c r="G20" i="7"/>
  <c r="C43" i="7"/>
  <c r="D17" i="7"/>
  <c r="C32" i="7"/>
  <c r="F27" i="7"/>
  <c r="I40" i="7"/>
  <c r="F19" i="7"/>
  <c r="F36" i="7"/>
  <c r="F15" i="7"/>
  <c r="I34" i="7"/>
  <c r="D14" i="7"/>
  <c r="I27" i="7"/>
  <c r="F43" i="7"/>
  <c r="B46" i="7"/>
  <c r="E37" i="7"/>
  <c r="E27" i="7"/>
  <c r="E24" i="7"/>
  <c r="D38" i="7"/>
  <c r="G46" i="7"/>
  <c r="I47" i="7"/>
  <c r="C46" i="7"/>
  <c r="E47" i="7"/>
  <c r="D52" i="7"/>
  <c r="G51" i="7"/>
  <c r="F83" i="7"/>
  <c r="D53" i="7"/>
  <c r="E88" i="7"/>
  <c r="D132" i="7"/>
  <c r="B151" i="7"/>
  <c r="D90" i="7"/>
  <c r="I159" i="7"/>
  <c r="E59" i="7"/>
  <c r="E65" i="7"/>
  <c r="F50" i="7"/>
  <c r="C174" i="7"/>
  <c r="C49" i="7"/>
  <c r="G145" i="7"/>
  <c r="B102" i="7"/>
  <c r="H176" i="7"/>
  <c r="F87" i="7"/>
  <c r="B55" i="7"/>
  <c r="C60" i="7"/>
  <c r="C163" i="7"/>
  <c r="H52" i="7"/>
  <c r="C133" i="7"/>
  <c r="C155" i="7"/>
  <c r="D50" i="7"/>
  <c r="I95" i="7"/>
  <c r="E51" i="7"/>
  <c r="B80" i="7"/>
  <c r="F147" i="7"/>
  <c r="C108" i="7"/>
  <c r="B148" i="7"/>
  <c r="F104" i="7"/>
  <c r="H94" i="7"/>
  <c r="E52" i="7"/>
  <c r="D161" i="7"/>
  <c r="G133" i="7"/>
  <c r="E120" i="7"/>
  <c r="G163" i="7"/>
  <c r="G53" i="7"/>
  <c r="E53" i="7"/>
  <c r="E158" i="7"/>
  <c r="G98" i="7"/>
  <c r="G52" i="7"/>
  <c r="E80" i="7"/>
  <c r="B53" i="7"/>
  <c r="H50" i="7"/>
  <c r="B144" i="7"/>
  <c r="G117" i="7"/>
  <c r="B122" i="7"/>
  <c r="I53" i="7"/>
  <c r="B149" i="7"/>
  <c r="D148" i="7"/>
  <c r="G122" i="7"/>
  <c r="D49" i="7"/>
  <c r="E156" i="7"/>
  <c r="I60" i="7"/>
  <c r="C138" i="7"/>
  <c r="C112" i="7"/>
  <c r="F105" i="7"/>
  <c r="C150" i="7"/>
  <c r="E114" i="7"/>
  <c r="C134" i="7"/>
  <c r="E149" i="7"/>
  <c r="E118" i="7"/>
  <c r="G144" i="7"/>
  <c r="F103" i="7"/>
  <c r="I94" i="7"/>
  <c r="F123" i="7"/>
  <c r="F59" i="7"/>
  <c r="C203" i="7"/>
  <c r="F71" i="7"/>
  <c r="C101" i="7"/>
  <c r="B152" i="7"/>
  <c r="C184" i="7"/>
  <c r="G131" i="7"/>
  <c r="I93" i="7"/>
  <c r="I133" i="7"/>
  <c r="G95" i="7"/>
  <c r="H124" i="7"/>
  <c r="F101" i="7"/>
  <c r="I51" i="7"/>
  <c r="D95" i="7"/>
  <c r="G50" i="7"/>
  <c r="C154" i="7"/>
  <c r="H77" i="7"/>
  <c r="B49" i="7"/>
  <c r="F77" i="7"/>
  <c r="G115" i="7"/>
  <c r="D86" i="7"/>
  <c r="G99" i="7"/>
  <c r="H93" i="7"/>
  <c r="I78" i="7"/>
  <c r="E50" i="7"/>
  <c r="D136" i="7"/>
  <c r="H53" i="7"/>
  <c r="F139" i="7"/>
  <c r="E49" i="7"/>
  <c r="C51" i="7"/>
  <c r="G65" i="7"/>
  <c r="I122" i="7"/>
  <c r="I138" i="7"/>
  <c r="I108" i="7"/>
  <c r="H49" i="7"/>
  <c r="C65" i="7"/>
  <c r="H91" i="7"/>
  <c r="D51" i="7"/>
  <c r="D107" i="7"/>
  <c r="B50" i="7"/>
  <c r="I54" i="7"/>
  <c r="F52" i="7"/>
  <c r="C87" i="7"/>
  <c r="H92" i="7"/>
  <c r="I162" i="7"/>
  <c r="G87" i="7"/>
  <c r="B51" i="7"/>
  <c r="F108" i="7"/>
  <c r="I144" i="7"/>
  <c r="H101" i="7"/>
  <c r="E89" i="7"/>
  <c r="C167" i="7"/>
  <c r="F67" i="7"/>
  <c r="D115" i="7"/>
  <c r="D160" i="7"/>
  <c r="C79" i="7"/>
  <c r="C63" i="7"/>
  <c r="D62" i="7"/>
  <c r="B140" i="7"/>
  <c r="F126" i="7"/>
  <c r="G156" i="7"/>
  <c r="D89" i="7"/>
  <c r="E105" i="7"/>
  <c r="C105" i="7"/>
  <c r="H171" i="7"/>
  <c r="H65" i="7"/>
  <c r="B70" i="7"/>
  <c r="D87" i="7"/>
  <c r="E115" i="7"/>
  <c r="D130" i="7"/>
  <c r="C89" i="7"/>
  <c r="I107" i="7"/>
  <c r="F58" i="7"/>
  <c r="H207" i="7"/>
  <c r="I71" i="7"/>
  <c r="B162" i="7"/>
  <c r="C207" i="7"/>
  <c r="I121" i="7"/>
  <c r="C90" i="7"/>
  <c r="F73" i="7"/>
  <c r="H87" i="7"/>
  <c r="C201" i="7"/>
  <c r="F51" i="7"/>
  <c r="E127" i="7"/>
  <c r="E74" i="7"/>
  <c r="D69" i="7"/>
  <c r="D125" i="7"/>
  <c r="I80" i="7"/>
  <c r="I61" i="7"/>
  <c r="H197" i="7"/>
  <c r="I158" i="7"/>
  <c r="I152" i="7"/>
  <c r="F118" i="7"/>
  <c r="D129" i="7"/>
  <c r="G54" i="7"/>
  <c r="I66" i="7"/>
  <c r="E99" i="7"/>
  <c r="C194" i="7"/>
  <c r="B95" i="7"/>
  <c r="F85" i="7"/>
  <c r="I65" i="7"/>
  <c r="D83" i="7"/>
  <c r="C72" i="7"/>
  <c r="H159" i="7"/>
  <c r="G73" i="7"/>
  <c r="G84" i="7"/>
  <c r="D60" i="7"/>
  <c r="G69" i="7"/>
  <c r="G151" i="7"/>
  <c r="E63" i="7"/>
  <c r="B135" i="7"/>
  <c r="D124" i="7"/>
  <c r="F122" i="7"/>
  <c r="C127" i="7"/>
  <c r="D68" i="7"/>
  <c r="F65" i="7"/>
  <c r="C190" i="7"/>
  <c r="G132" i="7"/>
  <c r="H199" i="7"/>
  <c r="H163" i="7"/>
  <c r="F143" i="7"/>
  <c r="G121" i="7"/>
  <c r="I112" i="7"/>
  <c r="E91" i="7"/>
  <c r="G49" i="7"/>
  <c r="H141" i="7"/>
  <c r="C118" i="7"/>
  <c r="F88" i="7"/>
  <c r="C116" i="7"/>
  <c r="F136" i="7"/>
  <c r="G158" i="7"/>
  <c r="H55" i="7"/>
  <c r="F159" i="7"/>
  <c r="I85" i="7"/>
  <c r="H148" i="7"/>
  <c r="B127" i="7"/>
  <c r="I127" i="7"/>
  <c r="C123" i="7"/>
  <c r="F135" i="7"/>
  <c r="D104" i="7"/>
  <c r="H100" i="7"/>
  <c r="C95" i="7"/>
  <c r="H68" i="7"/>
  <c r="E87" i="7"/>
  <c r="G72" i="7"/>
  <c r="G154" i="7"/>
  <c r="H156" i="7"/>
  <c r="E163" i="7"/>
  <c r="H164" i="7"/>
  <c r="C187" i="7"/>
  <c r="H144" i="7"/>
  <c r="B157" i="7"/>
  <c r="I128" i="7"/>
  <c r="C61" i="7"/>
  <c r="C131" i="7"/>
  <c r="I105" i="7"/>
  <c r="H202" i="7"/>
  <c r="C179" i="7"/>
  <c r="I89" i="7"/>
  <c r="D117" i="7"/>
  <c r="F75" i="7"/>
  <c r="D88" i="7"/>
  <c r="B123" i="7"/>
  <c r="H149" i="7"/>
  <c r="C78" i="7"/>
  <c r="H85" i="7"/>
  <c r="E66" i="7"/>
  <c r="E116" i="7"/>
  <c r="B106" i="7"/>
  <c r="G127" i="7"/>
  <c r="E70" i="7"/>
  <c r="G96" i="7"/>
  <c r="D92" i="7"/>
  <c r="B131" i="7"/>
  <c r="B142" i="7"/>
  <c r="I119" i="7"/>
  <c r="I84" i="7"/>
  <c r="F55" i="7"/>
  <c r="I150" i="7"/>
  <c r="H184" i="7"/>
  <c r="F116" i="7"/>
  <c r="G125" i="7"/>
  <c r="C141" i="7"/>
  <c r="E157" i="7"/>
  <c r="I102" i="7"/>
  <c r="G77" i="7"/>
  <c r="B85" i="7"/>
  <c r="F157" i="7"/>
  <c r="B83" i="7"/>
  <c r="G85" i="7"/>
  <c r="H116" i="7"/>
  <c r="H195" i="7"/>
  <c r="G124" i="7"/>
  <c r="I64" i="7"/>
  <c r="F100" i="7"/>
  <c r="D61" i="7"/>
  <c r="B155" i="7"/>
  <c r="C212" i="7"/>
  <c r="C198" i="7"/>
  <c r="H126" i="7"/>
  <c r="I118" i="7"/>
  <c r="C114" i="7"/>
  <c r="G60" i="7"/>
  <c r="C157" i="7"/>
  <c r="H60" i="7"/>
  <c r="C84" i="7"/>
  <c r="E76" i="7"/>
  <c r="F150" i="7"/>
  <c r="H162" i="7"/>
  <c r="C67" i="7"/>
  <c r="H145" i="7"/>
  <c r="G78" i="7"/>
  <c r="H134" i="7"/>
  <c r="F156" i="7"/>
  <c r="F78" i="7"/>
  <c r="C100" i="7"/>
  <c r="C169" i="7"/>
  <c r="F89" i="7"/>
  <c r="B108" i="7"/>
  <c r="C162" i="7"/>
  <c r="B137" i="7"/>
  <c r="D109" i="7"/>
  <c r="C55" i="7"/>
  <c r="F152" i="7"/>
  <c r="C213" i="7"/>
  <c r="B121" i="7"/>
  <c r="C126" i="7"/>
  <c r="I149" i="7"/>
  <c r="G82" i="7"/>
  <c r="G70" i="7"/>
  <c r="F68" i="7"/>
  <c r="B125" i="7"/>
  <c r="C199" i="7"/>
  <c r="F96" i="7"/>
  <c r="H180" i="7"/>
  <c r="D101" i="7"/>
  <c r="H135" i="7"/>
  <c r="D57" i="7"/>
  <c r="C204" i="7"/>
  <c r="E55" i="7"/>
  <c r="F95" i="7"/>
  <c r="C88" i="7"/>
  <c r="E78" i="7"/>
  <c r="E94" i="7"/>
  <c r="D71" i="7"/>
  <c r="G64" i="7"/>
  <c r="E129" i="7"/>
  <c r="H128" i="7"/>
  <c r="G86" i="7"/>
  <c r="C211" i="7"/>
  <c r="H114" i="7"/>
  <c r="H192" i="7"/>
  <c r="I124" i="7"/>
  <c r="B129" i="7"/>
  <c r="G55" i="7"/>
  <c r="B118" i="7"/>
  <c r="G162" i="7"/>
  <c r="E98" i="7"/>
  <c r="E109" i="7"/>
  <c r="G141" i="7"/>
  <c r="H127" i="7"/>
  <c r="C180" i="7"/>
  <c r="I81" i="7"/>
  <c r="F145" i="7"/>
  <c r="G120" i="7"/>
  <c r="D121" i="7"/>
  <c r="F160" i="7"/>
  <c r="C66" i="7"/>
  <c r="I141" i="7"/>
  <c r="G81" i="7"/>
  <c r="B138" i="7"/>
  <c r="B71" i="7"/>
  <c r="E138" i="7"/>
  <c r="D81" i="7"/>
  <c r="D162" i="7"/>
  <c r="I146" i="7"/>
  <c r="E104" i="7"/>
  <c r="E121" i="7"/>
  <c r="F74" i="7"/>
  <c r="B76" i="7"/>
  <c r="B60" i="7"/>
  <c r="C210" i="7"/>
  <c r="D118" i="7"/>
  <c r="D77" i="7"/>
  <c r="C196" i="7"/>
  <c r="G140" i="7"/>
  <c r="B124" i="7"/>
  <c r="D146" i="7"/>
  <c r="F90" i="7"/>
  <c r="D145" i="7"/>
  <c r="C202" i="7"/>
  <c r="C159" i="7"/>
  <c r="C156" i="7"/>
  <c r="D128" i="7"/>
  <c r="E130" i="7"/>
  <c r="G153" i="7"/>
  <c r="B160" i="7"/>
  <c r="C122" i="7"/>
  <c r="G57" i="7"/>
  <c r="C189" i="7"/>
  <c r="C128" i="7"/>
  <c r="C98" i="7"/>
  <c r="D151" i="7"/>
  <c r="H147" i="7"/>
  <c r="B113" i="7"/>
  <c r="I98" i="7"/>
  <c r="D144" i="7"/>
  <c r="C68" i="7"/>
  <c r="I68" i="7"/>
  <c r="E100" i="7"/>
  <c r="B133" i="7"/>
  <c r="I100" i="7"/>
  <c r="G67" i="7"/>
  <c r="I157" i="7"/>
  <c r="D123" i="7"/>
  <c r="D157" i="7"/>
  <c r="G157" i="7"/>
  <c r="I160" i="7"/>
  <c r="C143" i="7"/>
  <c r="H178" i="7"/>
  <c r="C124" i="7"/>
  <c r="D105" i="7"/>
  <c r="I109" i="7"/>
  <c r="G114" i="7"/>
  <c r="G134" i="7"/>
  <c r="H158" i="7"/>
  <c r="E79" i="7"/>
  <c r="B134" i="7"/>
  <c r="F110" i="7"/>
  <c r="G104" i="7"/>
  <c r="I123" i="7"/>
  <c r="H142" i="7"/>
  <c r="B150" i="7"/>
  <c r="I91" i="7"/>
  <c r="D56" i="7"/>
  <c r="H198" i="7"/>
  <c r="H211" i="7"/>
  <c r="C97" i="7"/>
  <c r="H103" i="7"/>
  <c r="D153" i="7"/>
  <c r="E151" i="7"/>
  <c r="E117" i="7"/>
  <c r="C93" i="7"/>
  <c r="C161" i="7"/>
  <c r="F63" i="7"/>
  <c r="H111" i="7"/>
  <c r="G102" i="7"/>
  <c r="C62" i="7"/>
  <c r="C166" i="7"/>
  <c r="C107" i="7"/>
  <c r="G89" i="7"/>
  <c r="G58" i="7"/>
  <c r="C80" i="7"/>
  <c r="E128" i="7"/>
  <c r="H106" i="7"/>
  <c r="G152" i="7"/>
  <c r="D155" i="7"/>
  <c r="I137" i="7"/>
  <c r="D72" i="7"/>
  <c r="C64" i="7"/>
  <c r="B72" i="7"/>
  <c r="C191" i="7"/>
  <c r="B59" i="7"/>
  <c r="H179" i="7"/>
  <c r="G106" i="7"/>
  <c r="H96" i="7"/>
  <c r="C73" i="7"/>
  <c r="B156" i="7"/>
  <c r="F80" i="7"/>
  <c r="E153" i="7"/>
  <c r="H54" i="7"/>
  <c r="H188" i="7"/>
  <c r="G79" i="7"/>
  <c r="E136" i="7"/>
  <c r="E122" i="7"/>
  <c r="C135" i="7"/>
  <c r="I67" i="7"/>
  <c r="D147" i="7"/>
  <c r="C139" i="7"/>
  <c r="B114" i="7"/>
  <c r="I56" i="7"/>
  <c r="E92" i="7"/>
  <c r="I134" i="7"/>
  <c r="C111" i="7"/>
  <c r="H186" i="7"/>
  <c r="H57" i="7"/>
  <c r="D139" i="7"/>
  <c r="F129" i="7"/>
  <c r="G74" i="7"/>
  <c r="H133" i="7"/>
  <c r="G91" i="7"/>
  <c r="G90" i="7"/>
  <c r="E137" i="7"/>
  <c r="G110" i="7"/>
  <c r="C69" i="7"/>
  <c r="F120" i="7"/>
  <c r="I126" i="7"/>
  <c r="E123" i="7"/>
  <c r="F140" i="7"/>
  <c r="H194" i="7"/>
  <c r="F72" i="7"/>
  <c r="C151" i="7"/>
  <c r="C178" i="7"/>
  <c r="F92" i="7"/>
  <c r="F76" i="7"/>
  <c r="G136" i="7"/>
  <c r="D126" i="7"/>
  <c r="B97" i="7"/>
  <c r="E58" i="7"/>
  <c r="I156" i="7"/>
  <c r="C86" i="7"/>
  <c r="H170" i="7"/>
  <c r="H86" i="7"/>
  <c r="H130" i="7"/>
  <c r="E155" i="7"/>
  <c r="H160" i="7"/>
  <c r="H64" i="7"/>
  <c r="C171" i="7"/>
  <c r="B86" i="7"/>
  <c r="F114" i="7"/>
  <c r="C181" i="7"/>
  <c r="C165" i="7"/>
  <c r="G56" i="7"/>
  <c r="D135" i="7"/>
  <c r="E60" i="7"/>
  <c r="B119" i="7"/>
  <c r="G109" i="7"/>
  <c r="H61" i="7"/>
  <c r="H138" i="7"/>
  <c r="F84" i="7"/>
  <c r="D102" i="7"/>
  <c r="H121" i="7"/>
  <c r="D54" i="7"/>
  <c r="B136" i="7"/>
  <c r="E132" i="7"/>
  <c r="D91" i="7"/>
  <c r="D106" i="7"/>
  <c r="E160" i="7"/>
  <c r="F124" i="7"/>
  <c r="F93" i="7"/>
  <c r="F153" i="7"/>
  <c r="G112" i="7"/>
  <c r="H63" i="7"/>
  <c r="I90" i="7"/>
  <c r="D152" i="7"/>
  <c r="E95" i="7"/>
  <c r="E69" i="7"/>
  <c r="I117" i="7"/>
  <c r="E119" i="7"/>
  <c r="H189" i="7"/>
  <c r="F69" i="7"/>
  <c r="F57" i="7"/>
  <c r="E154" i="7"/>
  <c r="F158" i="7"/>
  <c r="I70" i="7"/>
  <c r="F82" i="7"/>
  <c r="C70" i="7"/>
  <c r="B64" i="7"/>
  <c r="B57" i="7"/>
  <c r="E71" i="7"/>
  <c r="H110" i="7"/>
  <c r="D78" i="7"/>
  <c r="E96" i="7"/>
  <c r="H109" i="7"/>
  <c r="C102" i="7"/>
  <c r="D141" i="7"/>
  <c r="H107" i="7"/>
  <c r="H74" i="7"/>
  <c r="C76" i="7"/>
  <c r="E124" i="7"/>
  <c r="B84" i="7"/>
  <c r="B128" i="7"/>
  <c r="I131" i="7"/>
  <c r="C183" i="7"/>
  <c r="D142" i="7"/>
  <c r="H166" i="7"/>
  <c r="I129" i="7"/>
  <c r="H98" i="7"/>
  <c r="C176" i="7"/>
  <c r="G61" i="7"/>
  <c r="C197" i="7"/>
  <c r="H169" i="7"/>
  <c r="B132" i="7"/>
  <c r="H174" i="7"/>
  <c r="F125" i="7"/>
  <c r="B143" i="7"/>
  <c r="D59" i="7"/>
  <c r="D154" i="7"/>
  <c r="G100" i="7"/>
  <c r="C200" i="7"/>
  <c r="E72" i="7"/>
  <c r="G119" i="7"/>
  <c r="F119" i="7"/>
  <c r="B68" i="7"/>
  <c r="E139" i="7"/>
  <c r="C83" i="7"/>
  <c r="H150" i="7"/>
  <c r="G159" i="7"/>
  <c r="C153" i="7"/>
  <c r="C193" i="7"/>
  <c r="H136" i="7"/>
  <c r="B105" i="7"/>
  <c r="B82" i="7"/>
  <c r="H79" i="7"/>
  <c r="B101" i="7"/>
  <c r="G71" i="7"/>
  <c r="F61" i="7"/>
  <c r="C192" i="7"/>
  <c r="F109" i="7"/>
  <c r="H73" i="7"/>
  <c r="E67" i="7"/>
  <c r="F79" i="7"/>
  <c r="F102" i="7"/>
  <c r="F111" i="7"/>
  <c r="H88" i="7"/>
  <c r="D127" i="7"/>
  <c r="F148" i="7"/>
  <c r="E134" i="7"/>
  <c r="I82" i="7"/>
  <c r="H71" i="7"/>
  <c r="H213" i="7"/>
  <c r="F62" i="7"/>
  <c r="B161" i="7"/>
  <c r="B159" i="7"/>
  <c r="I111" i="7"/>
  <c r="G92" i="7"/>
  <c r="H105" i="7"/>
  <c r="E83" i="7"/>
  <c r="G118" i="7"/>
  <c r="G155" i="7"/>
  <c r="I55" i="7"/>
  <c r="D93" i="7"/>
  <c r="H152" i="7"/>
  <c r="C164" i="7"/>
  <c r="H75" i="7"/>
  <c r="H102" i="7"/>
  <c r="F130" i="7"/>
  <c r="I135" i="7"/>
  <c r="E82" i="7"/>
  <c r="H137" i="7"/>
  <c r="B73" i="7"/>
  <c r="B78" i="7"/>
  <c r="E125" i="7"/>
  <c r="I92" i="7"/>
  <c r="I145" i="7"/>
  <c r="I57" i="7"/>
  <c r="F81" i="7"/>
  <c r="E68" i="7"/>
  <c r="C91" i="7"/>
  <c r="I163" i="7"/>
  <c r="G88" i="7"/>
  <c r="D143" i="7"/>
  <c r="E77" i="7"/>
  <c r="C147" i="7"/>
  <c r="D158" i="7"/>
  <c r="F98" i="7"/>
  <c r="H154" i="7"/>
  <c r="B87" i="7"/>
  <c r="D100" i="7"/>
  <c r="I96" i="7"/>
  <c r="H122" i="7"/>
  <c r="G161" i="7"/>
  <c r="G139" i="7"/>
  <c r="C120" i="7"/>
  <c r="F149" i="7"/>
  <c r="E133" i="7"/>
  <c r="I130" i="7"/>
  <c r="H120" i="7"/>
  <c r="C99" i="7"/>
  <c r="D116" i="7"/>
  <c r="C119" i="7"/>
  <c r="B147" i="7"/>
  <c r="C104" i="7"/>
  <c r="F128" i="7"/>
  <c r="E159" i="7"/>
  <c r="H118" i="7"/>
  <c r="E75" i="7"/>
  <c r="C109" i="7"/>
  <c r="G75" i="7"/>
  <c r="F94" i="7"/>
  <c r="E54" i="7"/>
  <c r="H104" i="7"/>
  <c r="D103" i="7"/>
  <c r="D73" i="7"/>
  <c r="F121" i="7"/>
  <c r="E142" i="7"/>
  <c r="C208" i="7"/>
  <c r="H183" i="7"/>
  <c r="B74" i="7"/>
  <c r="B115" i="7"/>
  <c r="C177" i="7"/>
  <c r="D113" i="7"/>
  <c r="H193" i="7"/>
  <c r="H129" i="7"/>
  <c r="B96" i="7"/>
  <c r="G129" i="7"/>
  <c r="H177" i="7"/>
  <c r="C185" i="7"/>
  <c r="G123" i="7"/>
  <c r="C115" i="7"/>
  <c r="I103" i="7"/>
  <c r="H200" i="7"/>
  <c r="H97" i="7"/>
  <c r="I136" i="7"/>
  <c r="B90" i="7"/>
  <c r="C148" i="7"/>
  <c r="D98" i="7"/>
  <c r="F141" i="7"/>
  <c r="I148" i="7"/>
  <c r="H113" i="7"/>
  <c r="I140" i="7"/>
  <c r="G146" i="7"/>
  <c r="F154" i="7"/>
  <c r="G142" i="7"/>
  <c r="C209" i="7"/>
  <c r="D58" i="7"/>
  <c r="I116" i="7"/>
  <c r="B153" i="7"/>
  <c r="F99" i="7"/>
  <c r="C152" i="7"/>
  <c r="E86" i="7"/>
  <c r="F115" i="7"/>
  <c r="H181" i="7"/>
  <c r="B69" i="7"/>
  <c r="H99" i="7"/>
  <c r="G130" i="7"/>
  <c r="B94" i="7"/>
  <c r="E101" i="7"/>
  <c r="H204" i="7"/>
  <c r="E144" i="7"/>
  <c r="H168" i="7"/>
  <c r="I132" i="7"/>
  <c r="F107" i="7"/>
  <c r="H56" i="7"/>
  <c r="B112" i="7"/>
  <c r="C71" i="7"/>
  <c r="H108" i="7"/>
  <c r="H59" i="7"/>
  <c r="C85" i="7"/>
  <c r="D156" i="7"/>
  <c r="C77" i="7"/>
  <c r="H132" i="7"/>
  <c r="F162" i="7"/>
  <c r="D149" i="7"/>
  <c r="C168" i="7"/>
  <c r="B61" i="7"/>
  <c r="E111" i="7"/>
  <c r="I142" i="7"/>
  <c r="C94" i="7"/>
  <c r="D70" i="7"/>
  <c r="C110" i="7"/>
  <c r="H167" i="7"/>
  <c r="B158" i="7"/>
  <c r="E135" i="7"/>
  <c r="H70" i="7"/>
  <c r="E108" i="7"/>
  <c r="B139" i="7"/>
  <c r="I75" i="7"/>
  <c r="I104" i="7"/>
  <c r="E150" i="7"/>
  <c r="B109" i="7"/>
  <c r="F56" i="7"/>
  <c r="G149" i="7"/>
  <c r="C121" i="7"/>
  <c r="D163" i="7"/>
  <c r="H172" i="7"/>
  <c r="E90" i="7"/>
  <c r="B88" i="7"/>
  <c r="G128" i="7"/>
  <c r="F112" i="7"/>
  <c r="C113" i="7"/>
  <c r="G113" i="7"/>
  <c r="F60" i="7"/>
  <c r="I115" i="7"/>
  <c r="I143" i="7"/>
  <c r="D99" i="7"/>
  <c r="I77" i="7"/>
  <c r="C136" i="7"/>
  <c r="I114" i="7"/>
  <c r="D80" i="7"/>
  <c r="G116" i="7"/>
  <c r="B104" i="7"/>
  <c r="E143" i="7"/>
  <c r="C54" i="7"/>
  <c r="I58" i="7"/>
  <c r="C129" i="7"/>
  <c r="B116" i="7"/>
  <c r="C182" i="7"/>
  <c r="E126" i="7"/>
  <c r="G126" i="7"/>
  <c r="H80" i="7"/>
  <c r="G103" i="7"/>
  <c r="E162" i="7"/>
  <c r="G148" i="7"/>
  <c r="G83" i="7"/>
  <c r="H209" i="7"/>
  <c r="B107" i="7"/>
  <c r="H153" i="7"/>
  <c r="H157" i="7"/>
  <c r="H165" i="7"/>
  <c r="E56" i="7"/>
  <c r="D134" i="7"/>
  <c r="E85" i="7"/>
  <c r="F151" i="7"/>
  <c r="I86" i="7"/>
  <c r="H185" i="7"/>
  <c r="I63" i="7"/>
  <c r="E161" i="7"/>
  <c r="B117" i="7"/>
  <c r="I88" i="7"/>
  <c r="E140" i="7"/>
  <c r="E107" i="7"/>
  <c r="F133" i="7"/>
  <c r="D137" i="7"/>
  <c r="D159" i="7"/>
  <c r="B145" i="7"/>
  <c r="B58" i="7"/>
  <c r="D97" i="7"/>
  <c r="C92" i="7"/>
  <c r="I125" i="7"/>
  <c r="F91" i="7"/>
  <c r="I153" i="7"/>
  <c r="F144" i="7"/>
  <c r="H69" i="7"/>
  <c r="C58" i="7"/>
  <c r="I79" i="7"/>
  <c r="D64" i="7"/>
  <c r="B91" i="7"/>
  <c r="E131" i="7"/>
  <c r="C132" i="7"/>
  <c r="D122" i="7"/>
  <c r="D140" i="7"/>
  <c r="D82" i="7"/>
  <c r="F142" i="7"/>
  <c r="I59" i="7"/>
  <c r="I83" i="7"/>
  <c r="B62" i="7"/>
  <c r="G66" i="7"/>
  <c r="F138" i="7"/>
  <c r="H84" i="7"/>
  <c r="E62" i="7"/>
  <c r="B77" i="7"/>
  <c r="F146" i="7"/>
  <c r="E112" i="7"/>
  <c r="I106" i="7"/>
  <c r="I97" i="7"/>
  <c r="C50" i="7"/>
  <c r="F127" i="7"/>
  <c r="H151" i="7"/>
  <c r="H143" i="7"/>
  <c r="E106" i="7"/>
  <c r="D65" i="7"/>
  <c r="F117" i="7"/>
  <c r="C137" i="7"/>
  <c r="H117" i="7"/>
  <c r="B146" i="7"/>
  <c r="H190" i="7"/>
  <c r="G143" i="7"/>
  <c r="B66" i="7"/>
  <c r="B103" i="7"/>
  <c r="F155" i="7"/>
  <c r="E73" i="7"/>
  <c r="G160" i="7"/>
  <c r="F131" i="7"/>
  <c r="D108" i="7"/>
  <c r="E145" i="7"/>
  <c r="H205" i="7"/>
  <c r="H81" i="7"/>
  <c r="D133" i="7"/>
  <c r="F66" i="7"/>
  <c r="H139" i="7"/>
  <c r="G137" i="7"/>
  <c r="I72" i="7"/>
  <c r="C125" i="7"/>
  <c r="B99" i="7"/>
  <c r="E148" i="7"/>
  <c r="C149" i="7"/>
  <c r="E57" i="7"/>
  <c r="E97" i="7"/>
  <c r="D74" i="7"/>
  <c r="C59" i="7"/>
  <c r="H76" i="7"/>
  <c r="B93" i="7"/>
  <c r="D111" i="7"/>
  <c r="D66" i="7"/>
  <c r="H208" i="7"/>
  <c r="C56" i="7"/>
  <c r="H125" i="7"/>
  <c r="C82" i="7"/>
  <c r="G94" i="7"/>
  <c r="D75" i="7"/>
  <c r="C175" i="7"/>
  <c r="C117" i="7"/>
  <c r="G101" i="7"/>
  <c r="C140" i="7"/>
  <c r="E64" i="7"/>
  <c r="G150" i="7"/>
  <c r="D150" i="7"/>
  <c r="D112" i="7"/>
  <c r="H82" i="7"/>
  <c r="I101" i="7"/>
  <c r="F161" i="7"/>
  <c r="C81" i="7"/>
  <c r="H66" i="7"/>
  <c r="H67" i="7"/>
  <c r="H191" i="7"/>
  <c r="F54" i="7"/>
  <c r="C188" i="7"/>
  <c r="H146" i="7"/>
  <c r="H62" i="7"/>
  <c r="H161" i="7"/>
  <c r="B65" i="7"/>
  <c r="H119" i="7"/>
  <c r="I151" i="7"/>
  <c r="F97" i="7"/>
  <c r="D67" i="7"/>
  <c r="F113" i="7"/>
  <c r="H95" i="7"/>
  <c r="G138" i="7"/>
  <c r="C74" i="7"/>
  <c r="C57" i="7"/>
  <c r="G63" i="7"/>
  <c r="I110" i="7"/>
  <c r="D110" i="7"/>
  <c r="D94" i="7"/>
  <c r="B100" i="7"/>
  <c r="E61" i="7"/>
  <c r="C158" i="7"/>
  <c r="H206" i="7"/>
  <c r="I113" i="7"/>
  <c r="B89" i="7"/>
  <c r="I120" i="7"/>
  <c r="F134" i="7"/>
  <c r="G62" i="7"/>
  <c r="D119" i="7"/>
  <c r="D79" i="7"/>
  <c r="I155" i="7"/>
  <c r="B130" i="7"/>
  <c r="H182" i="7"/>
  <c r="D76" i="7"/>
  <c r="B98" i="7"/>
  <c r="H72" i="7"/>
  <c r="B67" i="7"/>
  <c r="D131" i="7"/>
  <c r="D55" i="7"/>
  <c r="H212" i="7"/>
  <c r="I87" i="7"/>
  <c r="C160" i="7"/>
  <c r="G105" i="7"/>
  <c r="C130" i="7"/>
  <c r="H78" i="7"/>
  <c r="H175" i="7"/>
  <c r="F64" i="7"/>
  <c r="H58" i="7"/>
  <c r="H131" i="7"/>
  <c r="H89" i="7"/>
  <c r="C145" i="7"/>
  <c r="H112" i="7"/>
  <c r="G80" i="7"/>
  <c r="E93" i="7"/>
  <c r="H203" i="7"/>
  <c r="C106" i="7"/>
  <c r="F137" i="7"/>
  <c r="H196" i="7"/>
  <c r="D120" i="7"/>
  <c r="C172" i="7"/>
  <c r="I62" i="7"/>
  <c r="G108" i="7"/>
  <c r="H173" i="7"/>
  <c r="I99" i="7"/>
  <c r="C170" i="7"/>
  <c r="C146" i="7"/>
  <c r="I161" i="7"/>
  <c r="B75" i="7"/>
  <c r="H140" i="7"/>
  <c r="D138" i="7"/>
  <c r="I73" i="7"/>
  <c r="G97" i="7"/>
  <c r="H115" i="7"/>
  <c r="B56" i="7"/>
  <c r="I139" i="7"/>
  <c r="I147" i="7"/>
  <c r="C144" i="7"/>
  <c r="E141" i="7"/>
  <c r="F106" i="7"/>
  <c r="B81" i="7"/>
  <c r="G59" i="7"/>
  <c r="B54" i="7"/>
  <c r="E102" i="7"/>
  <c r="D63" i="7"/>
  <c r="D96" i="7"/>
  <c r="G135" i="7"/>
  <c r="G107" i="7"/>
  <c r="B111" i="7"/>
  <c r="D114" i="7"/>
  <c r="I154" i="7"/>
  <c r="D84" i="7"/>
  <c r="G76" i="7"/>
  <c r="H83" i="7"/>
  <c r="C206" i="7"/>
  <c r="F132" i="7"/>
  <c r="E152" i="7"/>
  <c r="I76" i="7"/>
  <c r="D85" i="7"/>
  <c r="E146" i="7"/>
  <c r="F70" i="7"/>
  <c r="F53" i="7"/>
  <c r="I49" i="7"/>
  <c r="H201" i="7"/>
  <c r="B92" i="7"/>
  <c r="F163" i="7"/>
  <c r="H210" i="7"/>
  <c r="B141" i="7"/>
  <c r="E147" i="7"/>
  <c r="H187" i="7"/>
  <c r="G147" i="7"/>
  <c r="H90" i="7"/>
  <c r="H51" i="7"/>
  <c r="I50" i="7"/>
  <c r="C53" i="7"/>
  <c r="E110" i="7"/>
  <c r="I69" i="7"/>
  <c r="B63" i="7"/>
  <c r="C52" i="7"/>
  <c r="C142" i="7"/>
  <c r="F49" i="7"/>
  <c r="C186" i="7"/>
  <c r="E103" i="7"/>
  <c r="E113" i="7"/>
  <c r="H155" i="7"/>
  <c r="F86" i="7"/>
  <c r="I52" i="7"/>
  <c r="H123" i="7"/>
  <c r="C103" i="7"/>
  <c r="E81" i="7"/>
  <c r="C195" i="7"/>
  <c r="B126" i="7"/>
  <c r="E84" i="7"/>
  <c r="B79" i="7"/>
  <c r="C75" i="7"/>
  <c r="G111" i="7"/>
  <c r="B52" i="7"/>
  <c r="G93" i="7"/>
  <c r="B120" i="7"/>
  <c r="G68" i="7"/>
  <c r="B110" i="7"/>
  <c r="I74" i="7"/>
  <c r="C173" i="7"/>
  <c r="C96" i="7"/>
  <c r="B163" i="7"/>
  <c r="C205" i="7"/>
  <c r="Q382" i="1" l="1"/>
  <c r="J86" i="7"/>
  <c r="J53" i="7"/>
  <c r="J163" i="7"/>
  <c r="J182" i="7"/>
  <c r="J19" i="7"/>
  <c r="J176" i="7"/>
  <c r="J191" i="7"/>
  <c r="J39" i="7"/>
  <c r="J212" i="7"/>
  <c r="J207" i="7"/>
  <c r="J43" i="7"/>
  <c r="J30" i="7"/>
  <c r="J184" i="7"/>
  <c r="J131" i="7"/>
  <c r="J127" i="7"/>
  <c r="J151" i="7"/>
  <c r="J141" i="7"/>
  <c r="J94" i="7"/>
  <c r="J98" i="7"/>
  <c r="J79" i="7"/>
  <c r="J82" i="7"/>
  <c r="J57" i="7"/>
  <c r="J93" i="7"/>
  <c r="J114" i="7"/>
  <c r="J92" i="7"/>
  <c r="J120" i="7"/>
  <c r="J129" i="7"/>
  <c r="J145" i="7"/>
  <c r="J152" i="7"/>
  <c r="J150" i="7"/>
  <c r="J157" i="7"/>
  <c r="J88" i="7"/>
  <c r="J65" i="7"/>
  <c r="J85" i="7"/>
  <c r="J73" i="7"/>
  <c r="J126" i="7"/>
  <c r="J108" i="7"/>
  <c r="J139" i="7"/>
  <c r="J101" i="7"/>
  <c r="J123" i="7"/>
  <c r="J104" i="7"/>
  <c r="J50" i="7"/>
  <c r="J36" i="7"/>
  <c r="J183" i="7"/>
  <c r="J28" i="7"/>
  <c r="J172" i="7"/>
  <c r="J21" i="7"/>
  <c r="J17" i="7"/>
  <c r="J48" i="7"/>
  <c r="J199" i="7"/>
  <c r="J40" i="7"/>
  <c r="J200" i="7"/>
  <c r="J26" i="7"/>
  <c r="J49" i="7"/>
  <c r="J70" i="7"/>
  <c r="J197" i="7"/>
  <c r="J25" i="7"/>
  <c r="J186" i="7"/>
  <c r="J187" i="7"/>
  <c r="J169" i="7"/>
  <c r="J213" i="7"/>
  <c r="J177" i="7"/>
  <c r="J210" i="7"/>
  <c r="J170" i="7"/>
  <c r="J38" i="7"/>
  <c r="J41" i="7"/>
  <c r="J18" i="7"/>
  <c r="J22" i="7"/>
  <c r="J164" i="7"/>
  <c r="J46" i="7"/>
  <c r="J175" i="7"/>
  <c r="J165" i="7"/>
  <c r="J37" i="7"/>
  <c r="J42" i="7"/>
  <c r="J193" i="7"/>
  <c r="J31" i="7"/>
  <c r="J137" i="7"/>
  <c r="J97" i="7"/>
  <c r="J54" i="7"/>
  <c r="J146" i="7"/>
  <c r="J138" i="7"/>
  <c r="J144" i="7"/>
  <c r="J162" i="7"/>
  <c r="J99" i="7"/>
  <c r="J81" i="7"/>
  <c r="J61" i="7"/>
  <c r="J69" i="7"/>
  <c r="J124" i="7"/>
  <c r="J140" i="7"/>
  <c r="J74" i="7"/>
  <c r="J160" i="7"/>
  <c r="J68" i="7"/>
  <c r="J78" i="7"/>
  <c r="J100" i="7"/>
  <c r="J135" i="7"/>
  <c r="J51" i="7"/>
  <c r="J77" i="7"/>
  <c r="J71" i="7"/>
  <c r="J105" i="7"/>
  <c r="J83" i="7"/>
  <c r="J24" i="7"/>
  <c r="J29" i="7"/>
  <c r="J44" i="7"/>
  <c r="J34" i="7"/>
  <c r="J35" i="7"/>
  <c r="J33" i="7"/>
  <c r="J206" i="7"/>
  <c r="J180" i="7"/>
  <c r="J203" i="7"/>
  <c r="J112" i="7"/>
  <c r="J56" i="7"/>
  <c r="J115" i="7"/>
  <c r="J128" i="7"/>
  <c r="J62" i="7"/>
  <c r="J111" i="7"/>
  <c r="J158" i="7"/>
  <c r="J84" i="7"/>
  <c r="J96" i="7"/>
  <c r="J89" i="7"/>
  <c r="J156" i="7"/>
  <c r="J55" i="7"/>
  <c r="J136" i="7"/>
  <c r="J52" i="7"/>
  <c r="J103" i="7"/>
  <c r="J87" i="7"/>
  <c r="J192" i="7"/>
  <c r="J209" i="7"/>
  <c r="J171" i="7"/>
  <c r="J198" i="7"/>
  <c r="J185" i="7"/>
  <c r="J179" i="7"/>
  <c r="J167" i="7"/>
  <c r="J188" i="7"/>
  <c r="J23" i="7"/>
  <c r="J205" i="7"/>
  <c r="J202" i="7"/>
  <c r="J204" i="7"/>
  <c r="J161" i="7"/>
  <c r="J66" i="7"/>
  <c r="J142" i="7"/>
  <c r="J168" i="7"/>
  <c r="J190" i="7"/>
  <c r="J208" i="7"/>
  <c r="J20" i="7"/>
  <c r="J173" i="7"/>
  <c r="J32" i="7"/>
  <c r="J201" i="7"/>
  <c r="J174" i="7"/>
  <c r="J196" i="7"/>
  <c r="J189" i="7"/>
  <c r="J14" i="7"/>
  <c r="J47" i="7"/>
  <c r="J194" i="7"/>
  <c r="J27" i="7"/>
  <c r="J211" i="7"/>
  <c r="J15" i="7"/>
  <c r="J166" i="7"/>
  <c r="J195" i="7"/>
  <c r="J45" i="7"/>
  <c r="J181" i="7"/>
  <c r="J178" i="7"/>
  <c r="J16" i="7"/>
  <c r="J132" i="7"/>
  <c r="J106" i="7"/>
  <c r="J64" i="7"/>
  <c r="J134" i="7"/>
  <c r="J113" i="7"/>
  <c r="J155" i="7"/>
  <c r="J117" i="7"/>
  <c r="J91" i="7"/>
  <c r="J133" i="7"/>
  <c r="J60" i="7"/>
  <c r="J107" i="7"/>
  <c r="J154" i="7"/>
  <c r="J121" i="7"/>
  <c r="J149" i="7"/>
  <c r="J130" i="7"/>
  <c r="J148" i="7"/>
  <c r="J102" i="7"/>
  <c r="J109" i="7"/>
  <c r="J119" i="7"/>
  <c r="J125" i="7"/>
  <c r="J153" i="7"/>
  <c r="J76" i="7"/>
  <c r="J72" i="7"/>
  <c r="J80" i="7"/>
  <c r="J63" i="7"/>
  <c r="J110" i="7"/>
  <c r="J90" i="7"/>
  <c r="J95" i="7"/>
  <c r="J116" i="7"/>
  <c r="J75" i="7"/>
  <c r="J159" i="7"/>
  <c r="J143" i="7"/>
  <c r="J122" i="7"/>
  <c r="J118" i="7"/>
  <c r="J58" i="7"/>
  <c r="J67" i="7"/>
  <c r="J59" i="7"/>
  <c r="J147" i="7"/>
  <c r="Q419" i="1" l="1"/>
  <c r="P40" i="7" a="1"/>
  <c r="P40" i="7" s="1"/>
  <c r="R81" i="7" a="1"/>
  <c r="R81" i="7" s="1"/>
  <c r="N40" i="7" a="1"/>
  <c r="N40" i="7" s="1"/>
  <c r="N181" i="7" a="1"/>
  <c r="N181" i="7" s="1"/>
  <c r="S45" i="7" a="1"/>
  <c r="S45" i="7" s="1"/>
  <c r="Q138" i="7" a="1"/>
  <c r="Q138" i="7" s="1"/>
  <c r="O140" i="7" a="1"/>
  <c r="O140" i="7" s="1"/>
  <c r="O189" i="7" a="1"/>
  <c r="O189" i="7" s="1"/>
  <c r="R197" i="7" a="1"/>
  <c r="R197" i="7" s="1"/>
  <c r="Q17" i="7" a="1"/>
  <c r="Q17" i="7" s="1"/>
  <c r="N99" i="7" a="1"/>
  <c r="N99" i="7" s="1"/>
  <c r="S82" i="7" a="1"/>
  <c r="S82" i="7" s="1"/>
  <c r="S114" i="7" a="1"/>
  <c r="S114" i="7" s="1"/>
  <c r="R202" i="7" a="1"/>
  <c r="R202" i="7" s="1"/>
  <c r="P90" i="7" a="1"/>
  <c r="P90" i="7" s="1"/>
  <c r="M48" i="7" a="1"/>
  <c r="M48" i="7" s="1"/>
  <c r="Q115" i="7" a="1"/>
  <c r="Q115" i="7" s="1"/>
  <c r="O55" i="7" a="1"/>
  <c r="O55" i="7" s="1"/>
  <c r="R56" i="7" a="1"/>
  <c r="R56" i="7" s="1"/>
  <c r="P62" i="7" a="1"/>
  <c r="P62" i="7" s="1"/>
  <c r="M137" i="7" a="1"/>
  <c r="M137" i="7" s="1"/>
  <c r="R44" i="7" a="1"/>
  <c r="R44" i="7" s="1"/>
  <c r="O51" i="7" a="1"/>
  <c r="O51" i="7" s="1"/>
  <c r="N186" i="7" a="1"/>
  <c r="N186" i="7" s="1"/>
  <c r="Q185" i="7" a="1"/>
  <c r="Q185" i="7" s="1"/>
  <c r="R137" i="7" a="1"/>
  <c r="R137" i="7" s="1"/>
  <c r="O34" i="7" a="1"/>
  <c r="O34" i="7" s="1"/>
  <c r="P58" i="7" a="1"/>
  <c r="P58" i="7" s="1"/>
  <c r="S132" i="7" a="1"/>
  <c r="S132" i="7" s="1"/>
  <c r="M177" i="7" a="1"/>
  <c r="M177" i="7" s="1"/>
  <c r="N180" i="7" a="1"/>
  <c r="N180" i="7" s="1"/>
  <c r="P174" i="7" a="1"/>
  <c r="P174" i="7" s="1"/>
  <c r="S156" i="7" a="1"/>
  <c r="S156" i="7" s="1"/>
  <c r="P85" i="7" a="1"/>
  <c r="P85" i="7" s="1"/>
  <c r="N120" i="7" a="1"/>
  <c r="N120" i="7" s="1"/>
  <c r="O43" i="7" a="1"/>
  <c r="O43" i="7" s="1"/>
  <c r="N26" i="7" a="1"/>
  <c r="N26" i="7" s="1"/>
  <c r="Q165" i="7" a="1"/>
  <c r="Q165" i="7" s="1"/>
  <c r="N144" i="7" a="1"/>
  <c r="N144" i="7" s="1"/>
  <c r="N208" i="7" a="1"/>
  <c r="N208" i="7" s="1"/>
  <c r="P151" i="7" a="1"/>
  <c r="P151" i="7" s="1"/>
  <c r="S90" i="7" a="1"/>
  <c r="S90" i="7" s="1"/>
  <c r="R194" i="7" a="1"/>
  <c r="R194" i="7" s="1"/>
  <c r="P67" i="7" a="1"/>
  <c r="P67" i="7" s="1"/>
  <c r="N155" i="7" a="1"/>
  <c r="N155" i="7" s="1"/>
  <c r="Q39" i="7" a="1"/>
  <c r="Q39" i="7" s="1"/>
  <c r="O31" i="7" a="1"/>
  <c r="O31" i="7" s="1"/>
  <c r="M104" i="7" a="1"/>
  <c r="M104" i="7" s="1"/>
  <c r="R92" i="7" a="1"/>
  <c r="R92" i="7" s="1"/>
  <c r="N22" i="7" a="1"/>
  <c r="N22" i="7" s="1"/>
  <c r="N203" i="7" a="1"/>
  <c r="N203" i="7" s="1"/>
  <c r="O44" i="7" a="1"/>
  <c r="O44" i="7" s="1"/>
  <c r="M125" i="7" a="1"/>
  <c r="M125" i="7" s="1"/>
  <c r="S39" i="7" a="1"/>
  <c r="S39" i="7" s="1"/>
  <c r="R117" i="7" a="1"/>
  <c r="R117" i="7" s="1"/>
  <c r="P176" i="7" a="1"/>
  <c r="P176" i="7" s="1"/>
  <c r="R166" i="7" a="1"/>
  <c r="R166" i="7" s="1"/>
  <c r="O157" i="7" a="1"/>
  <c r="O157" i="7" s="1"/>
  <c r="S49" i="7" a="1"/>
  <c r="S49" i="7" s="1"/>
  <c r="P167" i="7" a="1"/>
  <c r="P167" i="7" s="1"/>
  <c r="S62" i="7" a="1"/>
  <c r="S62" i="7" s="1"/>
  <c r="O70" i="7" a="1"/>
  <c r="O70" i="7" s="1"/>
  <c r="Q180" i="7" a="1"/>
  <c r="Q180" i="7" s="1"/>
  <c r="P166" i="7" a="1"/>
  <c r="P166" i="7" s="1"/>
  <c r="R172" i="7" a="1"/>
  <c r="R172" i="7" s="1"/>
  <c r="P54" i="7" a="1"/>
  <c r="P54" i="7" s="1"/>
  <c r="P22" i="7" a="1"/>
  <c r="P22" i="7" s="1"/>
  <c r="S48" i="7" a="1"/>
  <c r="S48" i="7" s="1"/>
  <c r="Q75" i="7" a="1"/>
  <c r="Q75" i="7" s="1"/>
  <c r="O147" i="7" a="1"/>
  <c r="O147" i="7" s="1"/>
  <c r="P91" i="7" a="1"/>
  <c r="P91" i="7" s="1"/>
  <c r="M168" i="7" a="1"/>
  <c r="M168" i="7" s="1"/>
  <c r="M145" i="7" a="1"/>
  <c r="M145" i="7" s="1"/>
  <c r="M98" i="7" a="1"/>
  <c r="M98" i="7" s="1"/>
  <c r="P108" i="7" a="1"/>
  <c r="P108" i="7" s="1"/>
  <c r="Q122" i="7" a="1"/>
  <c r="Q122" i="7" s="1"/>
  <c r="O128" i="7" a="1"/>
  <c r="O128" i="7" s="1"/>
  <c r="P153" i="7" a="1"/>
  <c r="P153" i="7" s="1"/>
  <c r="N131" i="7" a="1"/>
  <c r="N131" i="7" s="1"/>
  <c r="N201" i="7" a="1"/>
  <c r="N201" i="7" s="1"/>
  <c r="P61" i="7" a="1"/>
  <c r="P61" i="7" s="1"/>
  <c r="N133" i="7" a="1"/>
  <c r="N133" i="7" s="1"/>
  <c r="P213" i="7" a="1"/>
  <c r="P213" i="7" s="1"/>
  <c r="S15" i="7" a="1"/>
  <c r="S15" i="7" s="1"/>
  <c r="N52" i="7" a="1"/>
  <c r="N52" i="7" s="1"/>
  <c r="Q48" i="7" a="1"/>
  <c r="Q48" i="7" s="1"/>
  <c r="S152" i="7" a="1"/>
  <c r="S152" i="7" s="1"/>
  <c r="M82" i="7" a="1"/>
  <c r="M82" i="7" s="1"/>
  <c r="Q102" i="7" a="1"/>
  <c r="Q102" i="7" s="1"/>
  <c r="S91" i="7" a="1"/>
  <c r="S91" i="7" s="1"/>
  <c r="Q132" i="7" a="1"/>
  <c r="Q132" i="7" s="1"/>
  <c r="S66" i="7" a="1"/>
  <c r="S66" i="7" s="1"/>
  <c r="N79" i="7" a="1"/>
  <c r="N79" i="7" s="1"/>
  <c r="O212" i="7" a="1"/>
  <c r="O212" i="7" s="1"/>
  <c r="Q43" i="7" a="1"/>
  <c r="Q43" i="7" s="1"/>
  <c r="M179" i="7" a="1"/>
  <c r="M179" i="7" s="1"/>
  <c r="N28" i="7" a="1"/>
  <c r="N28" i="7" s="1"/>
  <c r="M152" i="7" a="1"/>
  <c r="M152" i="7" s="1"/>
  <c r="Q184" i="7" a="1"/>
  <c r="Q184" i="7" s="1"/>
  <c r="P136" i="7" a="1"/>
  <c r="P136" i="7" s="1"/>
  <c r="R87" i="7" a="1"/>
  <c r="R87" i="7" s="1"/>
  <c r="N57" i="7" a="1"/>
  <c r="N57" i="7" s="1"/>
  <c r="S138" i="7" a="1"/>
  <c r="S138" i="7" s="1"/>
  <c r="R42" i="7" a="1"/>
  <c r="R42" i="7" s="1"/>
  <c r="S110" i="7" a="1"/>
  <c r="S110" i="7" s="1"/>
  <c r="N198" i="7" a="1"/>
  <c r="N198" i="7" s="1"/>
  <c r="S140" i="7" a="1"/>
  <c r="S140" i="7" s="1"/>
  <c r="R114" i="7" a="1"/>
  <c r="R114" i="7" s="1"/>
  <c r="M149" i="7" a="1"/>
  <c r="M149" i="7" s="1"/>
  <c r="N117" i="7" a="1"/>
  <c r="N117" i="7" s="1"/>
  <c r="N111" i="7" a="1"/>
  <c r="N111" i="7" s="1"/>
  <c r="Q134" i="7" a="1"/>
  <c r="Q134" i="7" s="1"/>
  <c r="S16" i="7" a="1"/>
  <c r="S16" i="7" s="1"/>
  <c r="M189" i="7" a="1"/>
  <c r="M189" i="7" s="1"/>
  <c r="N121" i="7" a="1"/>
  <c r="N121" i="7" s="1"/>
  <c r="N18" i="7" a="1"/>
  <c r="N18" i="7" s="1"/>
  <c r="N154" i="7" a="1"/>
  <c r="N154" i="7" s="1"/>
  <c r="Q119" i="7" a="1"/>
  <c r="Q119" i="7" s="1"/>
  <c r="M175" i="7" a="1"/>
  <c r="M175" i="7" s="1"/>
  <c r="M114" i="7" a="1"/>
  <c r="M114" i="7" s="1"/>
  <c r="Q174" i="7" a="1"/>
  <c r="Q174" i="7" s="1"/>
  <c r="P175" i="7" a="1"/>
  <c r="P175" i="7" s="1"/>
  <c r="R30" i="7" a="1"/>
  <c r="R30" i="7" s="1"/>
  <c r="P168" i="7" a="1"/>
  <c r="P168" i="7" s="1"/>
  <c r="R100" i="7" a="1"/>
  <c r="R100" i="7" s="1"/>
  <c r="M35" i="7" a="1"/>
  <c r="M35" i="7" s="1"/>
  <c r="N152" i="7" a="1"/>
  <c r="N152" i="7" s="1"/>
  <c r="Q45" i="7" a="1"/>
  <c r="Q45" i="7" s="1"/>
  <c r="P188" i="7" a="1"/>
  <c r="P188" i="7" s="1"/>
  <c r="M159" i="7" a="1"/>
  <c r="M159" i="7" s="1"/>
  <c r="P182" i="7" a="1"/>
  <c r="P182" i="7" s="1"/>
  <c r="O88" i="7" a="1"/>
  <c r="O88" i="7" s="1"/>
  <c r="O61" i="7" a="1"/>
  <c r="O61" i="7" s="1"/>
  <c r="S23" i="7" a="1"/>
  <c r="S23" i="7" s="1"/>
  <c r="R78" i="7" a="1"/>
  <c r="R78" i="7" s="1"/>
  <c r="M52" i="7" a="1"/>
  <c r="M52" i="7" s="1"/>
  <c r="R89" i="7" a="1"/>
  <c r="R89" i="7" s="1"/>
  <c r="P120" i="7" a="1"/>
  <c r="P120" i="7" s="1"/>
  <c r="O182" i="7" a="1"/>
  <c r="O182" i="7" s="1"/>
  <c r="Q54" i="7" a="1"/>
  <c r="Q54" i="7" s="1"/>
  <c r="N51" i="7" a="1"/>
  <c r="N51" i="7" s="1"/>
  <c r="P71" i="7" a="1"/>
  <c r="P71" i="7" s="1"/>
  <c r="N177" i="7" a="1"/>
  <c r="N177" i="7" s="1"/>
  <c r="O79" i="7" a="1"/>
  <c r="O79" i="7" s="1"/>
  <c r="R180" i="7" a="1"/>
  <c r="R180" i="7" s="1"/>
  <c r="N68" i="7" a="1"/>
  <c r="N68" i="7" s="1"/>
  <c r="M121" i="7" a="1"/>
  <c r="M121" i="7" s="1"/>
  <c r="O98" i="7" a="1"/>
  <c r="O98" i="7" s="1"/>
  <c r="M203" i="7" a="1"/>
  <c r="M203" i="7" s="1"/>
  <c r="Q36" i="7" a="1"/>
  <c r="Q36" i="7" s="1"/>
  <c r="P190" i="7" a="1"/>
  <c r="P190" i="7" s="1"/>
  <c r="R136" i="7" a="1"/>
  <c r="R136" i="7" s="1"/>
  <c r="N146" i="7" a="1"/>
  <c r="N146" i="7" s="1"/>
  <c r="S92" i="7" a="1"/>
  <c r="S92" i="7" s="1"/>
  <c r="M129" i="7" a="1"/>
  <c r="M129" i="7" s="1"/>
  <c r="M68" i="7" a="1"/>
  <c r="M68" i="7" s="1"/>
  <c r="P113" i="7" a="1"/>
  <c r="P113" i="7" s="1"/>
  <c r="Q203" i="7" a="1"/>
  <c r="Q203" i="7" s="1"/>
  <c r="M94" i="7" a="1"/>
  <c r="M94" i="7" s="1"/>
  <c r="Q55" i="7" a="1"/>
  <c r="Q55" i="7" s="1"/>
  <c r="P163" i="7" a="1"/>
  <c r="P163" i="7" s="1"/>
  <c r="S125" i="7" a="1"/>
  <c r="S125" i="7" s="1"/>
  <c r="S54" i="7" a="1"/>
  <c r="S54" i="7" s="1"/>
  <c r="R206" i="7" a="1"/>
  <c r="R206" i="7" s="1"/>
  <c r="S99" i="7" a="1"/>
  <c r="S99" i="7" s="1"/>
  <c r="M58" i="7" a="1"/>
  <c r="M58" i="7" s="1"/>
  <c r="Q135" i="7" a="1"/>
  <c r="Q135" i="7" s="1"/>
  <c r="O89" i="7" a="1"/>
  <c r="O89" i="7" s="1"/>
  <c r="M41" i="7" a="1"/>
  <c r="M41" i="7" s="1"/>
  <c r="Q31" i="7" a="1"/>
  <c r="Q31" i="7" s="1"/>
  <c r="S25" i="7" a="1"/>
  <c r="S25" i="7" s="1"/>
  <c r="S170" i="7" a="1"/>
  <c r="S170" i="7" s="1"/>
  <c r="N64" i="7" a="1"/>
  <c r="N64" i="7" s="1"/>
  <c r="N46" i="7" a="1"/>
  <c r="N46" i="7" s="1"/>
  <c r="M17" i="7" a="1"/>
  <c r="M17" i="7" s="1"/>
  <c r="O66" i="7" a="1"/>
  <c r="O66" i="7" s="1"/>
  <c r="N207" i="7" a="1"/>
  <c r="N207" i="7" s="1"/>
  <c r="Q19" i="7" a="1"/>
  <c r="Q19" i="7" s="1"/>
  <c r="M78" i="7" a="1"/>
  <c r="M78" i="7" s="1"/>
  <c r="P129" i="7" a="1"/>
  <c r="P129" i="7" s="1"/>
  <c r="O146" i="7" a="1"/>
  <c r="O146" i="7" s="1"/>
  <c r="Q107" i="7" a="1"/>
  <c r="Q107" i="7" s="1"/>
  <c r="P102" i="7" a="1"/>
  <c r="P102" i="7" s="1"/>
  <c r="O126" i="7" a="1"/>
  <c r="O126" i="7" s="1"/>
  <c r="P160" i="7" a="1"/>
  <c r="P160" i="7" s="1"/>
  <c r="O141" i="7" a="1"/>
  <c r="O141" i="7" s="1"/>
  <c r="N172" i="7" a="1"/>
  <c r="N172" i="7" s="1"/>
  <c r="R17" i="7" a="1"/>
  <c r="R17" i="7" s="1"/>
  <c r="M25" i="7" a="1"/>
  <c r="M25" i="7" s="1"/>
  <c r="N101" i="7" a="1"/>
  <c r="N101" i="7" s="1"/>
  <c r="P171" i="7" a="1"/>
  <c r="P171" i="7" s="1"/>
  <c r="O49" i="7" a="1"/>
  <c r="O49" i="7" s="1"/>
  <c r="Q76" i="7" a="1"/>
  <c r="Q76" i="7" s="1"/>
  <c r="Q85" i="7" a="1"/>
  <c r="Q85" i="7" s="1"/>
  <c r="O180" i="7" a="1"/>
  <c r="O180" i="7" s="1"/>
  <c r="O95" i="7" a="1"/>
  <c r="O95" i="7" s="1"/>
  <c r="Q198" i="7" a="1"/>
  <c r="Q198" i="7" s="1"/>
  <c r="S143" i="7" a="1"/>
  <c r="S143" i="7" s="1"/>
  <c r="Q33" i="7" a="1"/>
  <c r="Q33" i="7" s="1"/>
  <c r="P64" i="7" a="1"/>
  <c r="P64" i="7" s="1"/>
  <c r="Q118" i="7" a="1"/>
  <c r="Q118" i="7" s="1"/>
  <c r="Q181" i="7" a="1"/>
  <c r="Q181" i="7" s="1"/>
  <c r="O213" i="7" a="1"/>
  <c r="O213" i="7" s="1"/>
  <c r="R79" i="7" a="1"/>
  <c r="R79" i="7" s="1"/>
  <c r="O22" i="7" a="1"/>
  <c r="O22" i="7" s="1"/>
  <c r="Q193" i="7" a="1"/>
  <c r="Q193" i="7" s="1"/>
  <c r="Q131" i="7" a="1"/>
  <c r="Q131" i="7" s="1"/>
  <c r="P199" i="7" a="1"/>
  <c r="P199" i="7" s="1"/>
  <c r="N147" i="7" a="1"/>
  <c r="N147" i="7" s="1"/>
  <c r="O36" i="7" a="1"/>
  <c r="O36" i="7" s="1"/>
  <c r="S177" i="7" a="1"/>
  <c r="S177" i="7" s="1"/>
  <c r="R132" i="7" a="1"/>
  <c r="R132" i="7" s="1"/>
  <c r="S189" i="7" a="1"/>
  <c r="S189" i="7" s="1"/>
  <c r="Q26" i="7" a="1"/>
  <c r="Q26" i="7" s="1"/>
  <c r="N69" i="7" a="1"/>
  <c r="N69" i="7" s="1"/>
  <c r="Q74" i="7" a="1"/>
  <c r="Q74" i="7" s="1"/>
  <c r="P128" i="7" a="1"/>
  <c r="P128" i="7" s="1"/>
  <c r="O68" i="7" a="1"/>
  <c r="O68" i="7" s="1"/>
  <c r="R119" i="7" a="1"/>
  <c r="R119" i="7" s="1"/>
  <c r="M167" i="7" a="1"/>
  <c r="M167" i="7" s="1"/>
  <c r="M39" i="7" a="1"/>
  <c r="M39" i="7" s="1"/>
  <c r="N95" i="7" a="1"/>
  <c r="N95" i="7" s="1"/>
  <c r="R198" i="7" a="1"/>
  <c r="R198" i="7" s="1"/>
  <c r="P204" i="7" a="1"/>
  <c r="P204" i="7" s="1"/>
  <c r="R171" i="7" a="1"/>
  <c r="R171" i="7" s="1"/>
  <c r="Q52" i="7" a="1"/>
  <c r="Q52" i="7" s="1"/>
  <c r="O83" i="7" a="1"/>
  <c r="O83" i="7" s="1"/>
  <c r="P36" i="7" a="1"/>
  <c r="P36" i="7" s="1"/>
  <c r="R94" i="7" a="1"/>
  <c r="R94" i="7" s="1"/>
  <c r="M91" i="7" a="1"/>
  <c r="M91" i="7" s="1"/>
  <c r="P74" i="7" a="1"/>
  <c r="P74" i="7" s="1"/>
  <c r="S89" i="7" a="1"/>
  <c r="S89" i="7" s="1"/>
  <c r="O136" i="7" a="1"/>
  <c r="O136" i="7" s="1"/>
  <c r="O167" i="7" a="1"/>
  <c r="O167" i="7" s="1"/>
  <c r="Q177" i="7" a="1"/>
  <c r="Q177" i="7" s="1"/>
  <c r="P97" i="7" a="1"/>
  <c r="P97" i="7" s="1"/>
  <c r="M106" i="7" a="1"/>
  <c r="M106" i="7" s="1"/>
  <c r="Q23" i="7" a="1"/>
  <c r="Q23" i="7" s="1"/>
  <c r="S76" i="7" a="1"/>
  <c r="S76" i="7" s="1"/>
  <c r="R20" i="7" a="1"/>
  <c r="R20" i="7" s="1"/>
  <c r="R140" i="7" a="1"/>
  <c r="R140" i="7" s="1"/>
  <c r="P124" i="7" a="1"/>
  <c r="P124" i="7" s="1"/>
  <c r="M34" i="7" a="1"/>
  <c r="M34" i="7" s="1"/>
  <c r="O200" i="7" a="1"/>
  <c r="O200" i="7" s="1"/>
  <c r="M18" i="7" a="1"/>
  <c r="M18" i="7" s="1"/>
  <c r="S103" i="7" a="1"/>
  <c r="S103" i="7" s="1"/>
  <c r="R51" i="7" a="1"/>
  <c r="R51" i="7" s="1"/>
  <c r="Q77" i="7" a="1"/>
  <c r="Q77" i="7" s="1"/>
  <c r="S141" i="7" a="1"/>
  <c r="S141" i="7" s="1"/>
  <c r="M151" i="7" a="1"/>
  <c r="M151" i="7" s="1"/>
  <c r="M205" i="7" a="1"/>
  <c r="M205" i="7" s="1"/>
  <c r="S112" i="7" a="1"/>
  <c r="S112" i="7" s="1"/>
  <c r="O121" i="7" a="1"/>
  <c r="O121" i="7" s="1"/>
  <c r="O18" i="7" a="1"/>
  <c r="O18" i="7" s="1"/>
  <c r="R167" i="7" a="1"/>
  <c r="R167" i="7" s="1"/>
  <c r="M126" i="7" a="1"/>
  <c r="M126" i="7" s="1"/>
  <c r="Q123" i="7" a="1"/>
  <c r="Q123" i="7" s="1"/>
  <c r="N85" i="7" a="1"/>
  <c r="N85" i="7" s="1"/>
  <c r="R164" i="7" a="1"/>
  <c r="R164" i="7" s="1"/>
  <c r="M131" i="7" a="1"/>
  <c r="M131" i="7" s="1"/>
  <c r="S19" i="7" a="1"/>
  <c r="S19" i="7" s="1"/>
  <c r="P42" i="7" a="1"/>
  <c r="P42" i="7" s="1"/>
  <c r="O159" i="7" a="1"/>
  <c r="O159" i="7" s="1"/>
  <c r="N103" i="7" a="1"/>
  <c r="N103" i="7" s="1"/>
  <c r="M99" i="7" a="1"/>
  <c r="M99" i="7" s="1"/>
  <c r="N128" i="7" a="1"/>
  <c r="N128" i="7" s="1"/>
  <c r="N27" i="7" a="1"/>
  <c r="N27" i="7" s="1"/>
  <c r="S96" i="7" a="1"/>
  <c r="S96" i="7" s="1"/>
  <c r="M112" i="7" a="1"/>
  <c r="M112" i="7" s="1"/>
  <c r="S157" i="7" a="1"/>
  <c r="S157" i="7" s="1"/>
  <c r="M28" i="7" a="1"/>
  <c r="M28" i="7" s="1"/>
  <c r="Q209" i="7" a="1"/>
  <c r="Q209" i="7" s="1"/>
  <c r="N60" i="7" a="1"/>
  <c r="N60" i="7" s="1"/>
  <c r="Q148" i="7" a="1"/>
  <c r="Q148" i="7" s="1"/>
  <c r="P116" i="7" a="1"/>
  <c r="P116" i="7" s="1"/>
  <c r="M148" i="7" a="1"/>
  <c r="M148" i="7" s="1"/>
  <c r="N104" i="7" a="1"/>
  <c r="N104" i="7" s="1"/>
  <c r="N123" i="7" a="1"/>
  <c r="N123" i="7" s="1"/>
  <c r="S95" i="7" a="1"/>
  <c r="S95" i="7" s="1"/>
  <c r="Q182" i="7" a="1"/>
  <c r="Q182" i="7" s="1"/>
  <c r="P196" i="7" a="1"/>
  <c r="P196" i="7" s="1"/>
  <c r="R150" i="7" a="1"/>
  <c r="R150" i="7" s="1"/>
  <c r="M115" i="7" a="1"/>
  <c r="M115" i="7" s="1"/>
  <c r="Q202" i="7" a="1"/>
  <c r="Q202" i="7" s="1"/>
  <c r="N47" i="7" a="1"/>
  <c r="N47" i="7" s="1"/>
  <c r="R76" i="7" a="1"/>
  <c r="R76" i="7" s="1"/>
  <c r="Q21" i="7" a="1"/>
  <c r="Q21" i="7" s="1"/>
  <c r="O205" i="7" a="1"/>
  <c r="O205" i="7" s="1"/>
  <c r="N86" i="7" a="1"/>
  <c r="N86" i="7" s="1"/>
  <c r="O193" i="7" a="1"/>
  <c r="O193" i="7" s="1"/>
  <c r="N21" i="7" a="1"/>
  <c r="N21" i="7" s="1"/>
  <c r="Q46" i="7" a="1"/>
  <c r="Q46" i="7" s="1"/>
  <c r="Q108" i="7" a="1"/>
  <c r="Q108" i="7" s="1"/>
  <c r="Q20" i="7" a="1"/>
  <c r="Q20" i="7" s="1"/>
  <c r="O143" i="7" a="1"/>
  <c r="O143" i="7" s="1"/>
  <c r="O163" i="7" a="1"/>
  <c r="O163" i="7" s="1"/>
  <c r="P63" i="7" a="1"/>
  <c r="P63" i="7" s="1"/>
  <c r="O208" i="7" a="1"/>
  <c r="O208" i="7" s="1"/>
  <c r="Q60" i="7" a="1"/>
  <c r="Q60" i="7" s="1"/>
  <c r="O148" i="7" a="1"/>
  <c r="O148" i="7" s="1"/>
  <c r="M188" i="7" a="1"/>
  <c r="M188" i="7" s="1"/>
  <c r="N41" i="7" a="1"/>
  <c r="N41" i="7" s="1"/>
  <c r="R183" i="7" a="1"/>
  <c r="R183" i="7" s="1"/>
  <c r="N212" i="7" a="1"/>
  <c r="N212" i="7" s="1"/>
  <c r="O69" i="7" a="1"/>
  <c r="O69" i="7" s="1"/>
  <c r="Q106" i="7" a="1"/>
  <c r="Q106" i="7" s="1"/>
  <c r="M171" i="7" a="1"/>
  <c r="M171" i="7" s="1"/>
  <c r="Q187" i="7" a="1"/>
  <c r="Q187" i="7" s="1"/>
  <c r="O101" i="7" a="1"/>
  <c r="O101" i="7" s="1"/>
  <c r="O196" i="7" a="1"/>
  <c r="O196" i="7" s="1"/>
  <c r="S129" i="7" a="1"/>
  <c r="S129" i="7" s="1"/>
  <c r="S46" i="7" a="1"/>
  <c r="S46" i="7" s="1"/>
  <c r="S179" i="7" a="1"/>
  <c r="S179" i="7" s="1"/>
  <c r="M107" i="7" a="1"/>
  <c r="M107" i="7" s="1"/>
  <c r="P137" i="7" a="1"/>
  <c r="P137" i="7" s="1"/>
  <c r="P78" i="7" a="1"/>
  <c r="P78" i="7" s="1"/>
  <c r="M209" i="7" a="1"/>
  <c r="M209" i="7" s="1"/>
  <c r="N162" i="7" a="1"/>
  <c r="N162" i="7" s="1"/>
  <c r="R163" i="7" a="1"/>
  <c r="R163" i="7" s="1"/>
  <c r="Q127" i="7" a="1"/>
  <c r="Q127" i="7" s="1"/>
  <c r="N100" i="7" a="1"/>
  <c r="N100" i="7" s="1"/>
  <c r="R52" i="7" a="1"/>
  <c r="R52" i="7" s="1"/>
  <c r="N213" i="7" a="1"/>
  <c r="N213" i="7" s="1"/>
  <c r="Q25" i="7" a="1"/>
  <c r="Q25" i="7" s="1"/>
  <c r="P201" i="7" a="1"/>
  <c r="P201" i="7" s="1"/>
  <c r="R111" i="7" a="1"/>
  <c r="R111" i="7" s="1"/>
  <c r="R21" i="7" a="1"/>
  <c r="R21" i="7" s="1"/>
  <c r="O164" i="7" a="1"/>
  <c r="O164" i="7" s="1"/>
  <c r="M173" i="7" a="1"/>
  <c r="M173" i="7" s="1"/>
  <c r="S191" i="7" a="1"/>
  <c r="S191" i="7" s="1"/>
  <c r="R59" i="7" a="1"/>
  <c r="R59" i="7" s="1"/>
  <c r="P145" i="7" a="1"/>
  <c r="P145" i="7" s="1"/>
  <c r="M90" i="7" a="1"/>
  <c r="M90" i="7" s="1"/>
  <c r="R159" i="7" a="1"/>
  <c r="R159" i="7" s="1"/>
  <c r="S187" i="7" a="1"/>
  <c r="S187" i="7" s="1"/>
  <c r="R152" i="7" a="1"/>
  <c r="R152" i="7" s="1"/>
  <c r="R106" i="7" a="1"/>
  <c r="R106" i="7" s="1"/>
  <c r="Q154" i="7" a="1"/>
  <c r="Q154" i="7" s="1"/>
  <c r="Q141" i="7" a="1"/>
  <c r="Q141" i="7" s="1"/>
  <c r="S87" i="7" a="1"/>
  <c r="S87" i="7" s="1"/>
  <c r="Q86" i="7" a="1"/>
  <c r="Q86" i="7" s="1"/>
  <c r="O117" i="7" a="1"/>
  <c r="O117" i="7" s="1"/>
  <c r="S108" i="7" a="1"/>
  <c r="S108" i="7" s="1"/>
  <c r="N197" i="7" a="1"/>
  <c r="N197" i="7" s="1"/>
  <c r="M40" i="7" a="1"/>
  <c r="M40" i="7" s="1"/>
  <c r="O62" i="7" a="1"/>
  <c r="O62" i="7" s="1"/>
  <c r="M199" i="7" a="1"/>
  <c r="M199" i="7" s="1"/>
  <c r="N92" i="7" a="1"/>
  <c r="N92" i="7" s="1"/>
  <c r="O102" i="7" a="1"/>
  <c r="O102" i="7" s="1"/>
  <c r="S119" i="7" a="1"/>
  <c r="S119" i="7" s="1"/>
  <c r="R169" i="7" a="1"/>
  <c r="R169" i="7" s="1"/>
  <c r="O145" i="7" a="1"/>
  <c r="O145" i="7" s="1"/>
  <c r="R189" i="7" a="1"/>
  <c r="R189" i="7" s="1"/>
  <c r="R125" i="7" a="1"/>
  <c r="R125" i="7" s="1"/>
  <c r="O86" i="7" a="1"/>
  <c r="O86" i="7" s="1"/>
  <c r="M62" i="7" a="1"/>
  <c r="M62" i="7" s="1"/>
  <c r="Q72" i="7" a="1"/>
  <c r="Q72" i="7" s="1"/>
  <c r="R99" i="7" a="1"/>
  <c r="R99" i="7" s="1"/>
  <c r="N195" i="7" a="1"/>
  <c r="N195" i="7" s="1"/>
  <c r="O50" i="7" a="1"/>
  <c r="O50" i="7" s="1"/>
  <c r="P193" i="7" a="1"/>
  <c r="P193" i="7" s="1"/>
  <c r="O122" i="7" a="1"/>
  <c r="O122" i="7" s="1"/>
  <c r="S181" i="7" a="1"/>
  <c r="S181" i="7" s="1"/>
  <c r="O92" i="7" a="1"/>
  <c r="O92" i="7" s="1"/>
  <c r="O52" i="7" a="1"/>
  <c r="O52" i="7" s="1"/>
  <c r="P55" i="7" a="1"/>
  <c r="P55" i="7" s="1"/>
  <c r="P87" i="7" a="1"/>
  <c r="P87" i="7" s="1"/>
  <c r="P186" i="7" a="1"/>
  <c r="P186" i="7" s="1"/>
  <c r="S94" i="7" a="1"/>
  <c r="S94" i="7" s="1"/>
  <c r="P103" i="7" a="1"/>
  <c r="P103" i="7" s="1"/>
  <c r="N189" i="7" a="1"/>
  <c r="N189" i="7" s="1"/>
  <c r="S205" i="7" a="1"/>
  <c r="S205" i="7" s="1"/>
  <c r="O74" i="7" a="1"/>
  <c r="O74" i="7" s="1"/>
  <c r="R80" i="7" a="1"/>
  <c r="R80" i="7" s="1"/>
  <c r="M70" i="7" a="1"/>
  <c r="M70" i="7" s="1"/>
  <c r="M210" i="7" a="1"/>
  <c r="M210" i="7" s="1"/>
  <c r="S168" i="7" a="1"/>
  <c r="S168" i="7" s="1"/>
  <c r="R118" i="7" a="1"/>
  <c r="R118" i="7" s="1"/>
  <c r="M74" i="7" a="1"/>
  <c r="M74" i="7" s="1"/>
  <c r="N199" i="7" a="1"/>
  <c r="N199" i="7" s="1"/>
  <c r="O172" i="7" a="1"/>
  <c r="O172" i="7" s="1"/>
  <c r="R18" i="7" a="1"/>
  <c r="R18" i="7" s="1"/>
  <c r="O160" i="7" a="1"/>
  <c r="O160" i="7" s="1"/>
  <c r="S169" i="7" a="1"/>
  <c r="S169" i="7" s="1"/>
  <c r="M30" i="7" a="1"/>
  <c r="M30" i="7" s="1"/>
  <c r="P141" i="7" a="1"/>
  <c r="P141" i="7" s="1"/>
  <c r="M195" i="7" a="1"/>
  <c r="M195" i="7" s="1"/>
  <c r="Q70" i="7" a="1"/>
  <c r="Q70" i="7" s="1"/>
  <c r="O144" i="7" a="1"/>
  <c r="O144" i="7" s="1"/>
  <c r="S109" i="7" a="1"/>
  <c r="S109" i="7" s="1"/>
  <c r="O93" i="7" a="1"/>
  <c r="O93" i="7" s="1"/>
  <c r="Q161" i="7" a="1"/>
  <c r="Q161" i="7" s="1"/>
  <c r="S208" i="7" a="1"/>
  <c r="S208" i="7" s="1"/>
  <c r="O71" i="7" a="1"/>
  <c r="O71" i="7" s="1"/>
  <c r="S78" i="7" a="1"/>
  <c r="S78" i="7" s="1"/>
  <c r="R179" i="7" a="1"/>
  <c r="R179" i="7" s="1"/>
  <c r="M67" i="7" a="1"/>
  <c r="M67" i="7" s="1"/>
  <c r="P184" i="7" a="1"/>
  <c r="P184" i="7" s="1"/>
  <c r="M71" i="7" a="1"/>
  <c r="M71" i="7" s="1"/>
  <c r="O195" i="7" a="1"/>
  <c r="O195" i="7" s="1"/>
  <c r="P107" i="7" a="1"/>
  <c r="P107" i="7" s="1"/>
  <c r="Q157" i="7" a="1"/>
  <c r="Q157" i="7" s="1"/>
  <c r="N138" i="7" a="1"/>
  <c r="N138" i="7" s="1"/>
  <c r="O211" i="7" a="1"/>
  <c r="O211" i="7" s="1"/>
  <c r="Q22" i="7" a="1"/>
  <c r="Q22" i="7" s="1"/>
  <c r="Q92" i="7" a="1"/>
  <c r="Q92" i="7" s="1"/>
  <c r="P109" i="7" a="1"/>
  <c r="P109" i="7" s="1"/>
  <c r="M26" i="7" a="1"/>
  <c r="M26" i="7" s="1"/>
  <c r="N188" i="7" a="1"/>
  <c r="N188" i="7" s="1"/>
  <c r="Q153" i="7" a="1"/>
  <c r="Q153" i="7" s="1"/>
  <c r="P180" i="7" a="1"/>
  <c r="P180" i="7" s="1"/>
  <c r="S93" i="7" a="1"/>
  <c r="S93" i="7" s="1"/>
  <c r="O45" i="7" a="1"/>
  <c r="O45" i="7" s="1"/>
  <c r="M64" i="7" a="1"/>
  <c r="M64" i="7" s="1"/>
  <c r="N134" i="7" a="1"/>
  <c r="N134" i="7" s="1"/>
  <c r="N157" i="7" a="1"/>
  <c r="N157" i="7" s="1"/>
  <c r="R160" i="7" a="1"/>
  <c r="R160" i="7" s="1"/>
  <c r="S171" i="7" a="1"/>
  <c r="S171" i="7" s="1"/>
  <c r="Q163" i="7" a="1"/>
  <c r="Q163" i="7" s="1"/>
  <c r="N63" i="7" a="1"/>
  <c r="N63" i="7" s="1"/>
  <c r="R211" i="7" a="1"/>
  <c r="R211" i="7" s="1"/>
  <c r="M120" i="7" a="1"/>
  <c r="M120" i="7" s="1"/>
  <c r="P155" i="7" a="1"/>
  <c r="P155" i="7" s="1"/>
  <c r="M38" i="7" a="1"/>
  <c r="M38" i="7" s="1"/>
  <c r="R27" i="7" a="1"/>
  <c r="R27" i="7" s="1"/>
  <c r="R15" i="7" a="1"/>
  <c r="R15" i="7" s="1"/>
  <c r="O56" i="7" a="1"/>
  <c r="O56" i="7" s="1"/>
  <c r="S162" i="7" a="1"/>
  <c r="S162" i="7" s="1"/>
  <c r="S207" i="7" a="1"/>
  <c r="S207" i="7" s="1"/>
  <c r="M176" i="7" a="1"/>
  <c r="M176" i="7" s="1"/>
  <c r="M81" i="7" a="1"/>
  <c r="M81" i="7" s="1"/>
  <c r="N205" i="7" a="1"/>
  <c r="N205" i="7" s="1"/>
  <c r="R123" i="7" a="1"/>
  <c r="R123" i="7" s="1"/>
  <c r="S134" i="7" a="1"/>
  <c r="S134" i="7" s="1"/>
  <c r="N75" i="7" a="1"/>
  <c r="N75" i="7" s="1"/>
  <c r="R193" i="7" a="1"/>
  <c r="R193" i="7" s="1"/>
  <c r="Q164" i="7" a="1"/>
  <c r="Q164" i="7" s="1"/>
  <c r="O81" i="7" a="1"/>
  <c r="O81" i="7" s="1"/>
  <c r="P66" i="7" a="1"/>
  <c r="P66" i="7" s="1"/>
  <c r="P95" i="7" a="1"/>
  <c r="P95" i="7" s="1"/>
  <c r="Q191" i="7" a="1"/>
  <c r="Q191" i="7" s="1"/>
  <c r="N161" i="7" a="1"/>
  <c r="N161" i="7" s="1"/>
  <c r="M96" i="7" a="1"/>
  <c r="M96" i="7" s="1"/>
  <c r="M79" i="7" a="1"/>
  <c r="M79" i="7" s="1"/>
  <c r="P147" i="7" a="1"/>
  <c r="P147" i="7" s="1"/>
  <c r="S197" i="7" a="1"/>
  <c r="S197" i="7" s="1"/>
  <c r="S136" i="7" a="1"/>
  <c r="S136" i="7" s="1"/>
  <c r="P70" i="7" a="1"/>
  <c r="P70" i="7" s="1"/>
  <c r="O204" i="7" a="1"/>
  <c r="O204" i="7" s="1"/>
  <c r="M193" i="7" a="1"/>
  <c r="M193" i="7" s="1"/>
  <c r="R62" i="7" a="1"/>
  <c r="R62" i="7" s="1"/>
  <c r="P48" i="7" a="1"/>
  <c r="P48" i="7" s="1"/>
  <c r="O202" i="7" a="1"/>
  <c r="O202" i="7" s="1"/>
  <c r="Q145" i="7" a="1"/>
  <c r="Q145" i="7" s="1"/>
  <c r="S211" i="7" a="1"/>
  <c r="S211" i="7" s="1"/>
  <c r="P157" i="7" a="1"/>
  <c r="P157" i="7" s="1"/>
  <c r="N192" i="7" a="1"/>
  <c r="N192" i="7" s="1"/>
  <c r="Q71" i="7" a="1"/>
  <c r="Q71" i="7" s="1"/>
  <c r="R85" i="7" a="1"/>
  <c r="R85" i="7" s="1"/>
  <c r="R96" i="7" a="1"/>
  <c r="R96" i="7" s="1"/>
  <c r="R186" i="7" a="1"/>
  <c r="R186" i="7" s="1"/>
  <c r="R24" i="7" a="1"/>
  <c r="R24" i="7" s="1"/>
  <c r="S69" i="7" a="1"/>
  <c r="S69" i="7" s="1"/>
  <c r="R23" i="7" a="1"/>
  <c r="R23" i="7" s="1"/>
  <c r="Q81" i="7" a="1"/>
  <c r="Q81" i="7" s="1"/>
  <c r="R97" i="7" a="1"/>
  <c r="R97" i="7" s="1"/>
  <c r="R141" i="7" a="1"/>
  <c r="R141" i="7" s="1"/>
  <c r="Q171" i="7" a="1"/>
  <c r="Q171" i="7" s="1"/>
  <c r="P93" i="7" a="1"/>
  <c r="P93" i="7" s="1"/>
  <c r="S188" i="7" a="1"/>
  <c r="S188" i="7" s="1"/>
  <c r="M66" i="7" a="1"/>
  <c r="M66" i="7" s="1"/>
  <c r="P198" i="7" a="1"/>
  <c r="P198" i="7" s="1"/>
  <c r="Q129" i="7" a="1"/>
  <c r="Q129" i="7" s="1"/>
  <c r="N132" i="7" a="1"/>
  <c r="N132" i="7" s="1"/>
  <c r="R188" i="7" a="1"/>
  <c r="R188" i="7" s="1"/>
  <c r="O64" i="7" a="1"/>
  <c r="O64" i="7" s="1"/>
  <c r="R120" i="7" a="1"/>
  <c r="R120" i="7" s="1"/>
  <c r="S127" i="7" a="1"/>
  <c r="S127" i="7" s="1"/>
  <c r="N184" i="7" a="1"/>
  <c r="N184" i="7" s="1"/>
  <c r="N77" i="7" a="1"/>
  <c r="N77" i="7" s="1"/>
  <c r="Q112" i="7" a="1"/>
  <c r="Q112" i="7" s="1"/>
  <c r="R37" i="7" a="1"/>
  <c r="R37" i="7" s="1"/>
  <c r="P139" i="7" a="1"/>
  <c r="P139" i="7" s="1"/>
  <c r="N136" i="7" a="1"/>
  <c r="N136" i="7" s="1"/>
  <c r="S74" i="7" a="1"/>
  <c r="S74" i="7" s="1"/>
  <c r="N168" i="7" a="1"/>
  <c r="N168" i="7" s="1"/>
  <c r="N171" i="7" a="1"/>
  <c r="N171" i="7" s="1"/>
  <c r="P115" i="7" a="1"/>
  <c r="P115" i="7" s="1"/>
  <c r="N29" i="7" a="1"/>
  <c r="N29" i="7" s="1"/>
  <c r="N124" i="7" a="1"/>
  <c r="N124" i="7" s="1"/>
  <c r="Q212" i="7" a="1"/>
  <c r="Q212" i="7" s="1"/>
  <c r="Q160" i="7" a="1"/>
  <c r="Q160" i="7" s="1"/>
  <c r="M185" i="7" a="1"/>
  <c r="M185" i="7" s="1"/>
  <c r="M158" i="7" a="1"/>
  <c r="M158" i="7" s="1"/>
  <c r="N190" i="7" a="1"/>
  <c r="N190" i="7" s="1"/>
  <c r="Q162" i="7" a="1"/>
  <c r="Q162" i="7" s="1"/>
  <c r="Q210" i="7" a="1"/>
  <c r="Q210" i="7" s="1"/>
  <c r="Q89" i="7" a="1"/>
  <c r="Q89" i="7" s="1"/>
  <c r="R14" i="7" a="1"/>
  <c r="R14" i="7" s="1"/>
  <c r="O84" i="7" a="1"/>
  <c r="O84" i="7" s="1"/>
  <c r="M119" i="7" a="1"/>
  <c r="M119" i="7" s="1"/>
  <c r="N151" i="7" a="1"/>
  <c r="N151" i="7" s="1"/>
  <c r="R205" i="7" a="1"/>
  <c r="R205" i="7" s="1"/>
  <c r="R204" i="7" a="1"/>
  <c r="R204" i="7" s="1"/>
  <c r="R133" i="7" a="1"/>
  <c r="R133" i="7" s="1"/>
  <c r="M141" i="7" a="1"/>
  <c r="M141" i="7" s="1"/>
  <c r="M63" i="7" a="1"/>
  <c r="M63" i="7" s="1"/>
  <c r="M111" i="7" a="1"/>
  <c r="M111" i="7" s="1"/>
  <c r="S101" i="7" a="1"/>
  <c r="S101" i="7" s="1"/>
  <c r="N72" i="7" a="1"/>
  <c r="N72" i="7" s="1"/>
  <c r="S148" i="7" a="1"/>
  <c r="S148" i="7" s="1"/>
  <c r="N84" i="7" a="1"/>
  <c r="N84" i="7" s="1"/>
  <c r="Q143" i="7" a="1"/>
  <c r="Q143" i="7" s="1"/>
  <c r="S22" i="7" a="1"/>
  <c r="S22" i="7" s="1"/>
  <c r="Q32" i="7" a="1"/>
  <c r="Q32" i="7" s="1"/>
  <c r="N93" i="7" a="1"/>
  <c r="N93" i="7" s="1"/>
  <c r="S72" i="7" a="1"/>
  <c r="S72" i="7" s="1"/>
  <c r="O198" i="7" a="1"/>
  <c r="O198" i="7" s="1"/>
  <c r="N38" i="7" a="1"/>
  <c r="N38" i="7" s="1"/>
  <c r="P173" i="7" a="1"/>
  <c r="P173" i="7" s="1"/>
  <c r="Q87" i="7" a="1"/>
  <c r="Q87" i="7" s="1"/>
  <c r="O201" i="7" a="1"/>
  <c r="O201" i="7" s="1"/>
  <c r="P189" i="7" a="1"/>
  <c r="P189" i="7" s="1"/>
  <c r="O100" i="7" a="1"/>
  <c r="O100" i="7" s="1"/>
  <c r="O192" i="7" a="1"/>
  <c r="O192" i="7" s="1"/>
  <c r="S164" i="7" a="1"/>
  <c r="S164" i="7" s="1"/>
  <c r="Q125" i="7" a="1"/>
  <c r="Q125" i="7" s="1"/>
  <c r="R46" i="7" a="1"/>
  <c r="R46" i="7" s="1"/>
  <c r="P131" i="7" a="1"/>
  <c r="P131" i="7" s="1"/>
  <c r="O116" i="7" a="1"/>
  <c r="O116" i="7" s="1"/>
  <c r="N98" i="7" a="1"/>
  <c r="N98" i="7" s="1"/>
  <c r="Q47" i="7" a="1"/>
  <c r="Q47" i="7" s="1"/>
  <c r="Q114" i="7" a="1"/>
  <c r="Q114" i="7" s="1"/>
  <c r="N96" i="7" a="1"/>
  <c r="N96" i="7" s="1"/>
  <c r="P59" i="7" a="1"/>
  <c r="P59" i="7" s="1"/>
  <c r="S42" i="7" a="1"/>
  <c r="S42" i="7" s="1"/>
  <c r="R16" i="7" a="1"/>
  <c r="R16" i="7" s="1"/>
  <c r="Q14" i="7" a="1"/>
  <c r="Q14" i="7" s="1"/>
  <c r="O90" i="7" a="1"/>
  <c r="O90" i="7" s="1"/>
  <c r="R181" i="7" a="1"/>
  <c r="R181" i="7" s="1"/>
  <c r="N87" i="7" a="1"/>
  <c r="N87" i="7" s="1"/>
  <c r="Q15" i="7" a="1"/>
  <c r="Q15" i="7" s="1"/>
  <c r="S183" i="7" a="1"/>
  <c r="S183" i="7" s="1"/>
  <c r="N50" i="7" a="1"/>
  <c r="N50" i="7" s="1"/>
  <c r="N158" i="7" a="1"/>
  <c r="N158" i="7" s="1"/>
  <c r="N175" i="7" a="1"/>
  <c r="N175" i="7" s="1"/>
  <c r="M150" i="7" a="1"/>
  <c r="M150" i="7" s="1"/>
  <c r="O191" i="7" a="1"/>
  <c r="O191" i="7" s="1"/>
  <c r="M76" i="7" a="1"/>
  <c r="M76" i="7" s="1"/>
  <c r="P65" i="7" a="1"/>
  <c r="P65" i="7" s="1"/>
  <c r="S163" i="7" a="1"/>
  <c r="S163" i="7" s="1"/>
  <c r="R168" i="7" a="1"/>
  <c r="R168" i="7" s="1"/>
  <c r="O112" i="7" a="1"/>
  <c r="O112" i="7" s="1"/>
  <c r="P117" i="7" a="1"/>
  <c r="P117" i="7" s="1"/>
  <c r="O97" i="7" a="1"/>
  <c r="O97" i="7" s="1"/>
  <c r="Q62" i="7" a="1"/>
  <c r="Q62" i="7" s="1"/>
  <c r="N80" i="7" a="1"/>
  <c r="N80" i="7" s="1"/>
  <c r="O21" i="7" a="1"/>
  <c r="O21" i="7" s="1"/>
  <c r="O209" i="7" a="1"/>
  <c r="O209" i="7" s="1"/>
  <c r="O53" i="7" a="1"/>
  <c r="O53" i="7" s="1"/>
  <c r="S28" i="7" a="1"/>
  <c r="S28" i="7" s="1"/>
  <c r="P130" i="7" a="1"/>
  <c r="P130" i="7" s="1"/>
  <c r="M166" i="7" a="1"/>
  <c r="M166" i="7" s="1"/>
  <c r="O107" i="7" a="1"/>
  <c r="O107" i="7" s="1"/>
  <c r="N65" i="7" a="1"/>
  <c r="N65" i="7" s="1"/>
  <c r="S165" i="7" a="1"/>
  <c r="S165" i="7" s="1"/>
  <c r="O114" i="7" a="1"/>
  <c r="O114" i="7" s="1"/>
  <c r="N153" i="7" a="1"/>
  <c r="N153" i="7" s="1"/>
  <c r="O179" i="7" a="1"/>
  <c r="O179" i="7" s="1"/>
  <c r="N156" i="7" a="1"/>
  <c r="N156" i="7" s="1"/>
  <c r="R43" i="7" a="1"/>
  <c r="R43" i="7" s="1"/>
  <c r="N31" i="7" a="1"/>
  <c r="N31" i="7" s="1"/>
  <c r="S167" i="7" a="1"/>
  <c r="S167" i="7" s="1"/>
  <c r="O185" i="7" a="1"/>
  <c r="O185" i="7" s="1"/>
  <c r="M22" i="7" a="1"/>
  <c r="M22" i="7" s="1"/>
  <c r="P80" i="7" a="1"/>
  <c r="P80" i="7" s="1"/>
  <c r="R199" i="7" a="1"/>
  <c r="R199" i="7" s="1"/>
  <c r="S111" i="7" a="1"/>
  <c r="S111" i="7" s="1"/>
  <c r="Q28" i="7" a="1"/>
  <c r="Q28" i="7" s="1"/>
  <c r="N115" i="7" a="1"/>
  <c r="N115" i="7" s="1"/>
  <c r="N141" i="7" a="1"/>
  <c r="N141" i="7" s="1"/>
  <c r="S166" i="7" a="1"/>
  <c r="S166" i="7" s="1"/>
  <c r="M65" i="7" a="1"/>
  <c r="M65" i="7" s="1"/>
  <c r="Q78" i="7" a="1"/>
  <c r="Q78" i="7" s="1"/>
  <c r="N43" i="7" a="1"/>
  <c r="N43" i="7" s="1"/>
  <c r="R67" i="7" a="1"/>
  <c r="R67" i="7" s="1"/>
  <c r="Q35" i="7" a="1"/>
  <c r="Q35" i="7" s="1"/>
  <c r="R148" i="7" a="1"/>
  <c r="R148" i="7" s="1"/>
  <c r="R101" i="7" a="1"/>
  <c r="R101" i="7" s="1"/>
  <c r="N163" i="7" a="1"/>
  <c r="N163" i="7" s="1"/>
  <c r="R88" i="7" a="1"/>
  <c r="R88" i="7" s="1"/>
  <c r="R156" i="7" a="1"/>
  <c r="R156" i="7" s="1"/>
  <c r="O190" i="7" a="1"/>
  <c r="O190" i="7" s="1"/>
  <c r="S154" i="7" a="1"/>
  <c r="S154" i="7" s="1"/>
  <c r="N182" i="7" a="1"/>
  <c r="N182" i="7" s="1"/>
  <c r="S36" i="7" a="1"/>
  <c r="S36" i="7" s="1"/>
  <c r="P183" i="7" a="1"/>
  <c r="P183" i="7" s="1"/>
  <c r="R209" i="7" a="1"/>
  <c r="R209" i="7" s="1"/>
  <c r="S131" i="7" a="1"/>
  <c r="S131" i="7" s="1"/>
  <c r="O57" i="7" a="1"/>
  <c r="O57" i="7" s="1"/>
  <c r="P177" i="7" a="1"/>
  <c r="P177" i="7" s="1"/>
  <c r="N53" i="7" a="1"/>
  <c r="N53" i="7" s="1"/>
  <c r="S113" i="7" a="1"/>
  <c r="S113" i="7" s="1"/>
  <c r="M57" i="7" a="1"/>
  <c r="M57" i="7" s="1"/>
  <c r="M77" i="7" a="1"/>
  <c r="M77" i="7" s="1"/>
  <c r="O129" i="7" a="1"/>
  <c r="O129" i="7" s="1"/>
  <c r="S68" i="7" a="1"/>
  <c r="S68" i="7" s="1"/>
  <c r="P200" i="7" a="1"/>
  <c r="P200" i="7" s="1"/>
  <c r="O109" i="7" a="1"/>
  <c r="O109" i="7" s="1"/>
  <c r="O133" i="7" a="1"/>
  <c r="O133" i="7" s="1"/>
  <c r="M56" i="7" a="1"/>
  <c r="M56" i="7" s="1"/>
  <c r="M110" i="7" a="1"/>
  <c r="M110" i="7" s="1"/>
  <c r="R122" i="7" a="1"/>
  <c r="R122" i="7" s="1"/>
  <c r="P51" i="7" a="1"/>
  <c r="P51" i="7" s="1"/>
  <c r="O142" i="7" a="1"/>
  <c r="O142" i="7" s="1"/>
  <c r="S192" i="7" a="1"/>
  <c r="S192" i="7" s="1"/>
  <c r="P149" i="7" a="1"/>
  <c r="P149" i="7" s="1"/>
  <c r="M157" i="7" a="1"/>
  <c r="M157" i="7" s="1"/>
  <c r="O39" i="7" a="1"/>
  <c r="O39" i="7" s="1"/>
  <c r="N183" i="7" a="1"/>
  <c r="N183" i="7" s="1"/>
  <c r="S209" i="7" a="1"/>
  <c r="S209" i="7" s="1"/>
  <c r="P212" i="7" a="1"/>
  <c r="P212" i="7" s="1"/>
  <c r="N166" i="7" a="1"/>
  <c r="N166" i="7" s="1"/>
  <c r="P73" i="7" a="1"/>
  <c r="P73" i="7" s="1"/>
  <c r="O85" i="7" a="1"/>
  <c r="O85" i="7" s="1"/>
  <c r="N135" i="7" a="1"/>
  <c r="N135" i="7" s="1"/>
  <c r="M103" i="7" a="1"/>
  <c r="M103" i="7" s="1"/>
  <c r="Q50" i="7" a="1"/>
  <c r="Q50" i="7" s="1"/>
  <c r="Q188" i="7" a="1"/>
  <c r="Q188" i="7" s="1"/>
  <c r="Q208" i="7" a="1"/>
  <c r="Q208" i="7" s="1"/>
  <c r="O210" i="7" a="1"/>
  <c r="O210" i="7" s="1"/>
  <c r="M50" i="7" a="1"/>
  <c r="M50" i="7" s="1"/>
  <c r="P35" i="7" a="1"/>
  <c r="P35" i="7" s="1"/>
  <c r="N150" i="7" a="1"/>
  <c r="N150" i="7" s="1"/>
  <c r="R210" i="7" a="1"/>
  <c r="R210" i="7" s="1"/>
  <c r="O120" i="7" a="1"/>
  <c r="O120" i="7" s="1"/>
  <c r="P205" i="7" a="1"/>
  <c r="P205" i="7" s="1"/>
  <c r="M154" i="7" a="1"/>
  <c r="M154" i="7" s="1"/>
  <c r="M153" i="7" a="1"/>
  <c r="M153" i="7" s="1"/>
  <c r="S29" i="7" a="1"/>
  <c r="S29" i="7" s="1"/>
  <c r="N187" i="7" a="1"/>
  <c r="N187" i="7" s="1"/>
  <c r="M127" i="7" a="1"/>
  <c r="M127" i="7" s="1"/>
  <c r="Q156" i="7" a="1"/>
  <c r="Q156" i="7" s="1"/>
  <c r="Q63" i="7" a="1"/>
  <c r="Q63" i="7" s="1"/>
  <c r="P121" i="7" a="1"/>
  <c r="P121" i="7" s="1"/>
  <c r="Q151" i="7" a="1"/>
  <c r="Q151" i="7" s="1"/>
  <c r="S196" i="7" a="1"/>
  <c r="S196" i="7" s="1"/>
  <c r="O111" i="7" a="1"/>
  <c r="O111" i="7" s="1"/>
  <c r="O58" i="7" a="1"/>
  <c r="O58" i="7" s="1"/>
  <c r="N97" i="7" a="1"/>
  <c r="N97" i="7" s="1"/>
  <c r="Q146" i="7" a="1"/>
  <c r="Q146" i="7" s="1"/>
  <c r="R71" i="7" a="1"/>
  <c r="R71" i="7" s="1"/>
  <c r="S160" i="7" a="1"/>
  <c r="S160" i="7" s="1"/>
  <c r="M36" i="7" a="1"/>
  <c r="M36" i="7" s="1"/>
  <c r="Q199" i="7" a="1"/>
  <c r="Q199" i="7" s="1"/>
  <c r="P207" i="7" a="1"/>
  <c r="P207" i="7" s="1"/>
  <c r="N159" i="7" a="1"/>
  <c r="N159" i="7" s="1"/>
  <c r="R26" i="7" a="1"/>
  <c r="R26" i="7" s="1"/>
  <c r="N62" i="7" a="1"/>
  <c r="N62" i="7" s="1"/>
  <c r="Q200" i="7" a="1"/>
  <c r="Q200" i="7" s="1"/>
  <c r="M32" i="7" a="1"/>
  <c r="M32" i="7" s="1"/>
  <c r="P25" i="7" a="1"/>
  <c r="P25" i="7" s="1"/>
  <c r="N165" i="7" a="1"/>
  <c r="N165" i="7" s="1"/>
  <c r="P24" i="7" a="1"/>
  <c r="P24" i="7" s="1"/>
  <c r="M194" i="7" a="1"/>
  <c r="M194" i="7" s="1"/>
  <c r="R112" i="7" a="1"/>
  <c r="R112" i="7" s="1"/>
  <c r="S176" i="7" a="1"/>
  <c r="S176" i="7" s="1"/>
  <c r="P99" i="7" a="1"/>
  <c r="P99" i="7" s="1"/>
  <c r="Q37" i="7" a="1"/>
  <c r="Q37" i="7" s="1"/>
  <c r="Q195" i="7" a="1"/>
  <c r="Q195" i="7" s="1"/>
  <c r="R144" i="7" a="1"/>
  <c r="R144" i="7" s="1"/>
  <c r="S73" i="7" a="1"/>
  <c r="S73" i="7" s="1"/>
  <c r="R126" i="7" a="1"/>
  <c r="R126" i="7" s="1"/>
  <c r="N32" i="7" a="1"/>
  <c r="N32" i="7" s="1"/>
  <c r="S84" i="7" a="1"/>
  <c r="S84" i="7" s="1"/>
  <c r="S206" i="7" a="1"/>
  <c r="S206" i="7" s="1"/>
  <c r="M172" i="7" a="1"/>
  <c r="M172" i="7" s="1"/>
  <c r="S153" i="7" a="1"/>
  <c r="S153" i="7" s="1"/>
  <c r="P46" i="7" a="1"/>
  <c r="P46" i="7" s="1"/>
  <c r="O96" i="7" a="1"/>
  <c r="O96" i="7" s="1"/>
  <c r="S145" i="7" a="1"/>
  <c r="S145" i="7" s="1"/>
  <c r="O152" i="7" a="1"/>
  <c r="O152" i="7" s="1"/>
  <c r="S172" i="7" a="1"/>
  <c r="S172" i="7" s="1"/>
  <c r="Q105" i="7" a="1"/>
  <c r="Q105" i="7" s="1"/>
  <c r="O77" i="7" a="1"/>
  <c r="O77" i="7" s="1"/>
  <c r="S159" i="7" a="1"/>
  <c r="S159" i="7" s="1"/>
  <c r="Q196" i="7" a="1"/>
  <c r="Q196" i="7" s="1"/>
  <c r="N42" i="7" a="1"/>
  <c r="N42" i="7" s="1"/>
  <c r="Q189" i="7" a="1"/>
  <c r="Q189" i="7" s="1"/>
  <c r="O199" i="7" a="1"/>
  <c r="O199" i="7" s="1"/>
  <c r="M208" i="7" a="1"/>
  <c r="M208" i="7" s="1"/>
  <c r="R39" i="7" a="1"/>
  <c r="R39" i="7" s="1"/>
  <c r="Q27" i="7" a="1"/>
  <c r="Q27" i="7" s="1"/>
  <c r="N49" i="7" a="1"/>
  <c r="N49" i="7" s="1"/>
  <c r="P154" i="7" a="1"/>
  <c r="P154" i="7" s="1"/>
  <c r="R115" i="7" a="1"/>
  <c r="R115" i="7" s="1"/>
  <c r="N142" i="7" a="1"/>
  <c r="N142" i="7" s="1"/>
  <c r="P49" i="7" a="1"/>
  <c r="P49" i="7" s="1"/>
  <c r="S151" i="7" a="1"/>
  <c r="S151" i="7" s="1"/>
  <c r="N164" i="7" a="1"/>
  <c r="N164" i="7" s="1"/>
  <c r="N89" i="7" a="1"/>
  <c r="N89" i="7" s="1"/>
  <c r="N209" i="7" a="1"/>
  <c r="N209" i="7" s="1"/>
  <c r="S116" i="7" a="1"/>
  <c r="S116" i="7" s="1"/>
  <c r="Q178" i="7" a="1"/>
  <c r="Q178" i="7" s="1"/>
  <c r="N169" i="7" a="1"/>
  <c r="N169" i="7" s="1"/>
  <c r="S64" i="7" a="1"/>
  <c r="S64" i="7" s="1"/>
  <c r="R57" i="7" a="1"/>
  <c r="R57" i="7" s="1"/>
  <c r="N34" i="7" a="1"/>
  <c r="N34" i="7" s="1"/>
  <c r="N113" i="7" a="1"/>
  <c r="N113" i="7" s="1"/>
  <c r="P127" i="7" a="1"/>
  <c r="P127" i="7" s="1"/>
  <c r="R105" i="7" a="1"/>
  <c r="R105" i="7" s="1"/>
  <c r="M201" i="7" a="1"/>
  <c r="M201" i="7" s="1"/>
  <c r="P162" i="7" a="1"/>
  <c r="P162" i="7" s="1"/>
  <c r="Q40" i="7" a="1"/>
  <c r="Q40" i="7" s="1"/>
  <c r="R213" i="7" a="1"/>
  <c r="R213" i="7" s="1"/>
  <c r="R40" i="7" a="1"/>
  <c r="R40" i="7" s="1"/>
  <c r="R161" i="7" a="1"/>
  <c r="R161" i="7" s="1"/>
  <c r="P45" i="7" a="1"/>
  <c r="P45" i="7" s="1"/>
  <c r="M140" i="7" a="1"/>
  <c r="M140" i="7" s="1"/>
  <c r="M197" i="7" a="1"/>
  <c r="M197" i="7" s="1"/>
  <c r="S213" i="7" a="1"/>
  <c r="S213" i="7" s="1"/>
  <c r="S55" i="7" a="1"/>
  <c r="S55" i="7" s="1"/>
  <c r="M186" i="7" a="1"/>
  <c r="M186" i="7" s="1"/>
  <c r="M190" i="7" a="1"/>
  <c r="M190" i="7" s="1"/>
  <c r="R173" i="7" a="1"/>
  <c r="R173" i="7" s="1"/>
  <c r="P105" i="7" a="1"/>
  <c r="P105" i="7" s="1"/>
  <c r="P26" i="7" a="1"/>
  <c r="P26" i="7" s="1"/>
  <c r="Q144" i="7" a="1"/>
  <c r="Q144" i="7" s="1"/>
  <c r="O170" i="7" a="1"/>
  <c r="O170" i="7" s="1"/>
  <c r="S65" i="7" a="1"/>
  <c r="S65" i="7" s="1"/>
  <c r="M155" i="7" a="1"/>
  <c r="M155" i="7" s="1"/>
  <c r="R127" i="7" a="1"/>
  <c r="R127" i="7" s="1"/>
  <c r="Q44" i="7" a="1"/>
  <c r="Q44" i="7" s="1"/>
  <c r="M144" i="7" a="1"/>
  <c r="M144" i="7" s="1"/>
  <c r="N112" i="7" a="1"/>
  <c r="N112" i="7" s="1"/>
  <c r="R200" i="7" a="1"/>
  <c r="R200" i="7" s="1"/>
  <c r="N61" i="7" a="1"/>
  <c r="N61" i="7" s="1"/>
  <c r="O99" i="7" a="1"/>
  <c r="O99" i="7" s="1"/>
  <c r="P203" i="7" a="1"/>
  <c r="P203" i="7" s="1"/>
  <c r="S175" i="7" a="1"/>
  <c r="S175" i="7" s="1"/>
  <c r="S27" i="7" a="1"/>
  <c r="S27" i="7" s="1"/>
  <c r="O67" i="7" a="1"/>
  <c r="O67" i="7" s="1"/>
  <c r="Q34" i="7" a="1"/>
  <c r="Q34" i="7" s="1"/>
  <c r="S26" i="7" a="1"/>
  <c r="S26" i="7" s="1"/>
  <c r="P23" i="7" a="1"/>
  <c r="P23" i="7" s="1"/>
  <c r="S123" i="7" a="1"/>
  <c r="S123" i="7" s="1"/>
  <c r="Q67" i="7" a="1"/>
  <c r="Q67" i="7" s="1"/>
  <c r="R138" i="7" a="1"/>
  <c r="R138" i="7" s="1"/>
  <c r="P92" i="7" a="1"/>
  <c r="P92" i="7" s="1"/>
  <c r="P50" i="7" a="1"/>
  <c r="P50" i="7" s="1"/>
  <c r="N58" i="7" a="1"/>
  <c r="N58" i="7" s="1"/>
  <c r="S35" i="7" a="1"/>
  <c r="S35" i="7" s="1"/>
  <c r="Q204" i="7" a="1"/>
  <c r="Q204" i="7" s="1"/>
  <c r="R170" i="7" a="1"/>
  <c r="R170" i="7" s="1"/>
  <c r="O124" i="7" a="1"/>
  <c r="O124" i="7" s="1"/>
  <c r="R34" i="7" a="1"/>
  <c r="R34" i="7" s="1"/>
  <c r="N206" i="7" a="1"/>
  <c r="N206" i="7" s="1"/>
  <c r="M117" i="7" a="1"/>
  <c r="M117" i="7" s="1"/>
  <c r="P18" i="7" a="1"/>
  <c r="P18" i="7" s="1"/>
  <c r="P150" i="7" a="1"/>
  <c r="P150" i="7" s="1"/>
  <c r="P57" i="7" a="1"/>
  <c r="P57" i="7" s="1"/>
  <c r="N170" i="7" a="1"/>
  <c r="N170" i="7" s="1"/>
  <c r="N160" i="7" a="1"/>
  <c r="N160" i="7" s="1"/>
  <c r="Q79" i="7" a="1"/>
  <c r="Q79" i="7" s="1"/>
  <c r="N167" i="7" a="1"/>
  <c r="N167" i="7" s="1"/>
  <c r="M191" i="7" a="1"/>
  <c r="M191" i="7" s="1"/>
  <c r="N73" i="7" a="1"/>
  <c r="N73" i="7" s="1"/>
  <c r="S174" i="7" a="1"/>
  <c r="S174" i="7" s="1"/>
  <c r="N90" i="7" a="1"/>
  <c r="N90" i="7" s="1"/>
  <c r="M43" i="7" a="1"/>
  <c r="M43" i="7" s="1"/>
  <c r="M182" i="7" a="1"/>
  <c r="M182" i="7" s="1"/>
  <c r="M180" i="7" a="1"/>
  <c r="M180" i="7" s="1"/>
  <c r="P89" i="7" a="1"/>
  <c r="P89" i="7" s="1"/>
  <c r="R192" i="7" a="1"/>
  <c r="R192" i="7" s="1"/>
  <c r="O30" i="7" a="1"/>
  <c r="O30" i="7" s="1"/>
  <c r="P164" i="7" a="1"/>
  <c r="P164" i="7" s="1"/>
  <c r="P170" i="7" a="1"/>
  <c r="P170" i="7" s="1"/>
  <c r="P148" i="7" a="1"/>
  <c r="P148" i="7" s="1"/>
  <c r="R208" i="7" a="1"/>
  <c r="R208" i="7" s="1"/>
  <c r="P197" i="7" a="1"/>
  <c r="P197" i="7" s="1"/>
  <c r="S146" i="7" a="1"/>
  <c r="S146" i="7" s="1"/>
  <c r="Q98" i="7" a="1"/>
  <c r="Q98" i="7" s="1"/>
  <c r="O105" i="7" a="1"/>
  <c r="O105" i="7" s="1"/>
  <c r="M100" i="7" a="1"/>
  <c r="M100" i="7" s="1"/>
  <c r="R47" i="7" a="1"/>
  <c r="R47" i="7" s="1"/>
  <c r="S130" i="7" a="1"/>
  <c r="S130" i="7" s="1"/>
  <c r="P96" i="7" a="1"/>
  <c r="P96" i="7" s="1"/>
  <c r="R142" i="7" a="1"/>
  <c r="R142" i="7" s="1"/>
  <c r="R104" i="7" a="1"/>
  <c r="R104" i="7" s="1"/>
  <c r="Q82" i="7" a="1"/>
  <c r="Q82" i="7" s="1"/>
  <c r="R176" i="7" a="1"/>
  <c r="R176" i="7" s="1"/>
  <c r="O47" i="7" a="1"/>
  <c r="O47" i="7" s="1"/>
  <c r="O203" i="7" a="1"/>
  <c r="O203" i="7" s="1"/>
  <c r="Q201" i="7" a="1"/>
  <c r="Q201" i="7" s="1"/>
  <c r="R66" i="7" a="1"/>
  <c r="R66" i="7" s="1"/>
  <c r="Q117" i="7" a="1"/>
  <c r="Q117" i="7" s="1"/>
  <c r="P202" i="7" a="1"/>
  <c r="P202" i="7" s="1"/>
  <c r="O168" i="7" a="1"/>
  <c r="O168" i="7" s="1"/>
  <c r="Q140" i="7" a="1"/>
  <c r="Q140" i="7" s="1"/>
  <c r="S47" i="7" a="1"/>
  <c r="S47" i="7" s="1"/>
  <c r="M118" i="7" a="1"/>
  <c r="M118" i="7" s="1"/>
  <c r="P29" i="7" a="1"/>
  <c r="P29" i="7" s="1"/>
  <c r="P106" i="7" a="1"/>
  <c r="P106" i="7" s="1"/>
  <c r="O154" i="7" a="1"/>
  <c r="O154" i="7" s="1"/>
  <c r="P152" i="7" a="1"/>
  <c r="P152" i="7" s="1"/>
  <c r="M89" i="7" a="1"/>
  <c r="M89" i="7" s="1"/>
  <c r="Q93" i="7" a="1"/>
  <c r="Q93" i="7" s="1"/>
  <c r="M53" i="7" a="1"/>
  <c r="M53" i="7" s="1"/>
  <c r="R116" i="7" a="1"/>
  <c r="R116" i="7" s="1"/>
  <c r="O110" i="7" a="1"/>
  <c r="O110" i="7" s="1"/>
  <c r="Q94" i="7" a="1"/>
  <c r="Q94" i="7" s="1"/>
  <c r="Q73" i="7" a="1"/>
  <c r="Q73" i="7" s="1"/>
  <c r="Q173" i="7" a="1"/>
  <c r="Q173" i="7" s="1"/>
  <c r="M105" i="7" a="1"/>
  <c r="M105" i="7" s="1"/>
  <c r="P81" i="7" a="1"/>
  <c r="P81" i="7" s="1"/>
  <c r="O87" i="7" a="1"/>
  <c r="O87" i="7" s="1"/>
  <c r="N107" i="7" a="1"/>
  <c r="N107" i="7" s="1"/>
  <c r="P72" i="7" a="1"/>
  <c r="P72" i="7" s="1"/>
  <c r="M196" i="7" a="1"/>
  <c r="M196" i="7" s="1"/>
  <c r="Q64" i="7" a="1"/>
  <c r="Q64" i="7" s="1"/>
  <c r="N81" i="7" a="1"/>
  <c r="N81" i="7" s="1"/>
  <c r="S75" i="7" a="1"/>
  <c r="S75" i="7" s="1"/>
  <c r="Q103" i="7" a="1"/>
  <c r="Q103" i="7" s="1"/>
  <c r="P209" i="7" a="1"/>
  <c r="P209" i="7" s="1"/>
  <c r="M75" i="7" a="1"/>
  <c r="M75" i="7" s="1"/>
  <c r="P185" i="7" a="1"/>
  <c r="P185" i="7" s="1"/>
  <c r="R54" i="7" a="1"/>
  <c r="R54" i="7" s="1"/>
  <c r="R139" i="7" a="1"/>
  <c r="R139" i="7" s="1"/>
  <c r="P158" i="7" a="1"/>
  <c r="P158" i="7" s="1"/>
  <c r="M139" i="7" a="1"/>
  <c r="M139" i="7" s="1"/>
  <c r="R134" i="7" a="1"/>
  <c r="R134" i="7" s="1"/>
  <c r="R69" i="7" a="1"/>
  <c r="R69" i="7" s="1"/>
  <c r="R33" i="7" a="1"/>
  <c r="R33" i="7" s="1"/>
  <c r="S128" i="7" a="1"/>
  <c r="S128" i="7" s="1"/>
  <c r="P31" i="7" a="1"/>
  <c r="P31" i="7" s="1"/>
  <c r="R95" i="7" a="1"/>
  <c r="R95" i="7" s="1"/>
  <c r="R147" i="7" a="1"/>
  <c r="R147" i="7" s="1"/>
  <c r="Q41" i="7" a="1"/>
  <c r="Q41" i="7" s="1"/>
  <c r="N14" i="7" a="1"/>
  <c r="N14" i="7" s="1"/>
  <c r="L15" i="7" s="1"/>
  <c r="Q18" i="7" a="1"/>
  <c r="Q18" i="7" s="1"/>
  <c r="N37" i="7" a="1"/>
  <c r="N37" i="7" s="1"/>
  <c r="P206" i="7" a="1"/>
  <c r="P206" i="7" s="1"/>
  <c r="M160" i="7" a="1"/>
  <c r="M160" i="7" s="1"/>
  <c r="N88" i="7" a="1"/>
  <c r="N88" i="7" s="1"/>
  <c r="O153" i="7" a="1"/>
  <c r="O153" i="7" s="1"/>
  <c r="P68" i="7" a="1"/>
  <c r="P68" i="7" s="1"/>
  <c r="N24" i="7" a="1"/>
  <c r="N24" i="7" s="1"/>
  <c r="Q101" i="7" a="1"/>
  <c r="Q101" i="7" s="1"/>
  <c r="Q166" i="7" a="1"/>
  <c r="Q166" i="7" s="1"/>
  <c r="R102" i="7" a="1"/>
  <c r="R102" i="7" s="1"/>
  <c r="R107" i="7" a="1"/>
  <c r="R107" i="7" s="1"/>
  <c r="Q179" i="7" a="1"/>
  <c r="Q179" i="7" s="1"/>
  <c r="R98" i="7" a="1"/>
  <c r="R98" i="7" s="1"/>
  <c r="M116" i="7" a="1"/>
  <c r="M116" i="7" s="1"/>
  <c r="S204" i="7" a="1"/>
  <c r="S204" i="7" s="1"/>
  <c r="O173" i="7" a="1"/>
  <c r="O173" i="7" s="1"/>
  <c r="P126" i="7" a="1"/>
  <c r="P126" i="7" s="1"/>
  <c r="P211" i="7" a="1"/>
  <c r="P211" i="7" s="1"/>
  <c r="M80" i="7" a="1"/>
  <c r="M80" i="7" s="1"/>
  <c r="O48" i="7" a="1"/>
  <c r="O48" i="7" s="1"/>
  <c r="Q176" i="7" a="1"/>
  <c r="Q176" i="7" s="1"/>
  <c r="S77" i="7" a="1"/>
  <c r="S77" i="7" s="1"/>
  <c r="S203" i="7" a="1"/>
  <c r="S203" i="7" s="1"/>
  <c r="O177" i="7" a="1"/>
  <c r="O177" i="7" s="1"/>
  <c r="S198" i="7" a="1"/>
  <c r="S198" i="7" s="1"/>
  <c r="R49" i="7" a="1"/>
  <c r="R49" i="7" s="1"/>
  <c r="M20" i="7" a="1"/>
  <c r="M20" i="7" s="1"/>
  <c r="O59" i="7" a="1"/>
  <c r="O59" i="7" s="1"/>
  <c r="N71" i="7" a="1"/>
  <c r="N71" i="7" s="1"/>
  <c r="O135" i="7" a="1"/>
  <c r="O135" i="7" s="1"/>
  <c r="P135" i="7" a="1"/>
  <c r="P135" i="7" s="1"/>
  <c r="S61" i="7" a="1"/>
  <c r="S61" i="7" s="1"/>
  <c r="Q90" i="7" a="1"/>
  <c r="Q90" i="7" s="1"/>
  <c r="Q194" i="7" a="1"/>
  <c r="Q194" i="7" s="1"/>
  <c r="Q175" i="7" a="1"/>
  <c r="Q175" i="7" s="1"/>
  <c r="O17" i="7" a="1"/>
  <c r="O17" i="7" s="1"/>
  <c r="M37" i="7" a="1"/>
  <c r="M37" i="7" s="1"/>
  <c r="S31" i="7" a="1"/>
  <c r="S31" i="7" s="1"/>
  <c r="Q137" i="7" a="1"/>
  <c r="Q137" i="7" s="1"/>
  <c r="N122" i="7" a="1"/>
  <c r="N122" i="7" s="1"/>
  <c r="R128" i="7" a="1"/>
  <c r="R128" i="7" s="1"/>
  <c r="M92" i="7" a="1"/>
  <c r="M92" i="7" s="1"/>
  <c r="R29" i="7" a="1"/>
  <c r="R29" i="7" s="1"/>
  <c r="P195" i="7" a="1"/>
  <c r="P195" i="7" s="1"/>
  <c r="N185" i="7" a="1"/>
  <c r="N185" i="7" s="1"/>
  <c r="N196" i="7" a="1"/>
  <c r="N196" i="7" s="1"/>
  <c r="O132" i="7" a="1"/>
  <c r="O132" i="7" s="1"/>
  <c r="P161" i="7" a="1"/>
  <c r="P161" i="7" s="1"/>
  <c r="Q183" i="7" a="1"/>
  <c r="Q183" i="7" s="1"/>
  <c r="S150" i="7" a="1"/>
  <c r="S150" i="7" s="1"/>
  <c r="R86" i="7" a="1"/>
  <c r="R86" i="7" s="1"/>
  <c r="S30" i="7" a="1"/>
  <c r="S30" i="7" s="1"/>
  <c r="R58" i="7" a="1"/>
  <c r="R58" i="7" s="1"/>
  <c r="R124" i="7" a="1"/>
  <c r="R124" i="7" s="1"/>
  <c r="R75" i="7" a="1"/>
  <c r="R75" i="7" s="1"/>
  <c r="S142" i="7" a="1"/>
  <c r="S142" i="7" s="1"/>
  <c r="R108" i="7" a="1"/>
  <c r="R108" i="7" s="1"/>
  <c r="P83" i="7" a="1"/>
  <c r="P83" i="7" s="1"/>
  <c r="Q197" i="7" a="1"/>
  <c r="Q197" i="7" s="1"/>
  <c r="P69" i="7" a="1"/>
  <c r="P69" i="7" s="1"/>
  <c r="R174" i="7" a="1"/>
  <c r="R174" i="7" s="1"/>
  <c r="N83" i="7" a="1"/>
  <c r="N83" i="7" s="1"/>
  <c r="N20" i="7" a="1"/>
  <c r="N20" i="7" s="1"/>
  <c r="S56" i="7" a="1"/>
  <c r="S56" i="7" s="1"/>
  <c r="Q29" i="7" a="1"/>
  <c r="Q29" i="7" s="1"/>
  <c r="P98" i="7" a="1"/>
  <c r="P98" i="7" s="1"/>
  <c r="M143" i="7" a="1"/>
  <c r="M143" i="7" s="1"/>
  <c r="M47" i="7" a="1"/>
  <c r="M47" i="7" s="1"/>
  <c r="R131" i="7" a="1"/>
  <c r="R131" i="7" s="1"/>
  <c r="S194" i="7" a="1"/>
  <c r="S194" i="7" s="1"/>
  <c r="Q57" i="7" a="1"/>
  <c r="Q57" i="7" s="1"/>
  <c r="N59" i="7" a="1"/>
  <c r="N59" i="7" s="1"/>
  <c r="N45" i="7" a="1"/>
  <c r="N45" i="7" s="1"/>
  <c r="O38" i="7" a="1"/>
  <c r="O38" i="7" s="1"/>
  <c r="S40" i="7" a="1"/>
  <c r="S40" i="7" s="1"/>
  <c r="O187" i="7" a="1"/>
  <c r="O187" i="7" s="1"/>
  <c r="N82" i="7" a="1"/>
  <c r="N82" i="7" s="1"/>
  <c r="O75" i="7" a="1"/>
  <c r="O75" i="7" s="1"/>
  <c r="M109" i="7" a="1"/>
  <c r="M109" i="7" s="1"/>
  <c r="O184" i="7" a="1"/>
  <c r="O184" i="7" s="1"/>
  <c r="Q167" i="7" a="1"/>
  <c r="Q167" i="7" s="1"/>
  <c r="Q213" i="7" a="1"/>
  <c r="Q213" i="7" s="1"/>
  <c r="O106" i="7" a="1"/>
  <c r="O106" i="7" s="1"/>
  <c r="M60" i="7" a="1"/>
  <c r="M60" i="7" s="1"/>
  <c r="P84" i="7" a="1"/>
  <c r="P84" i="7" s="1"/>
  <c r="N173" i="7" a="1"/>
  <c r="N173" i="7" s="1"/>
  <c r="O161" i="7" a="1"/>
  <c r="O161" i="7" s="1"/>
  <c r="Q168" i="7" a="1"/>
  <c r="Q168" i="7" s="1"/>
  <c r="Q136" i="7" a="1"/>
  <c r="Q136" i="7" s="1"/>
  <c r="S182" i="7" a="1"/>
  <c r="S182" i="7" s="1"/>
  <c r="O94" i="7" a="1"/>
  <c r="O94" i="7" s="1"/>
  <c r="Q110" i="7" a="1"/>
  <c r="Q110" i="7" s="1"/>
  <c r="R143" i="7" a="1"/>
  <c r="R143" i="7" s="1"/>
  <c r="R190" i="7" a="1"/>
  <c r="R190" i="7" s="1"/>
  <c r="S137" i="7" a="1"/>
  <c r="S137" i="7" s="1"/>
  <c r="S50" i="7" a="1"/>
  <c r="S50" i="7" s="1"/>
  <c r="Q155" i="7" a="1"/>
  <c r="Q155" i="7" s="1"/>
  <c r="M69" i="7" a="1"/>
  <c r="M69" i="7" s="1"/>
  <c r="S60" i="7" a="1"/>
  <c r="S60" i="7" s="1"/>
  <c r="P179" i="7" a="1"/>
  <c r="P179" i="7" s="1"/>
  <c r="P114" i="7" a="1"/>
  <c r="P114" i="7" s="1"/>
  <c r="S52" i="7" a="1"/>
  <c r="S52" i="7" s="1"/>
  <c r="S53" i="7" a="1"/>
  <c r="S53" i="7" s="1"/>
  <c r="O25" i="7" a="1"/>
  <c r="O25" i="7" s="1"/>
  <c r="Q139" i="7" a="1"/>
  <c r="Q139" i="7" s="1"/>
  <c r="O137" i="7" a="1"/>
  <c r="O137" i="7" s="1"/>
  <c r="N193" i="7" a="1"/>
  <c r="N193" i="7" s="1"/>
  <c r="Q192" i="7" a="1"/>
  <c r="Q192" i="7" s="1"/>
  <c r="P88" i="7" a="1"/>
  <c r="P88" i="7" s="1"/>
  <c r="Q42" i="7" a="1"/>
  <c r="Q42" i="7" s="1"/>
  <c r="R45" i="7" a="1"/>
  <c r="R45" i="7" s="1"/>
  <c r="P41" i="7" a="1"/>
  <c r="P41" i="7" s="1"/>
  <c r="Q100" i="7" a="1"/>
  <c r="Q100" i="7" s="1"/>
  <c r="S126" i="7" a="1"/>
  <c r="S126" i="7" s="1"/>
  <c r="R90" i="7" a="1"/>
  <c r="R90" i="7" s="1"/>
  <c r="N143" i="7" a="1"/>
  <c r="N143" i="7" s="1"/>
  <c r="Q61" i="7" a="1"/>
  <c r="Q61" i="7" s="1"/>
  <c r="N36" i="7" a="1"/>
  <c r="N36" i="7" s="1"/>
  <c r="S14" i="7" a="1"/>
  <c r="S14" i="7" s="1"/>
  <c r="N16" i="7" a="1"/>
  <c r="N16" i="7" s="1"/>
  <c r="N106" i="7" a="1"/>
  <c r="N106" i="7" s="1"/>
  <c r="O42" i="7" a="1"/>
  <c r="O42" i="7" s="1"/>
  <c r="O119" i="7" a="1"/>
  <c r="O119" i="7" s="1"/>
  <c r="S86" i="7" a="1"/>
  <c r="S86" i="7" s="1"/>
  <c r="M16" i="7" a="1"/>
  <c r="M16" i="7" s="1"/>
  <c r="Q69" i="7" a="1"/>
  <c r="Q69" i="7" s="1"/>
  <c r="P112" i="7" a="1"/>
  <c r="P112" i="7" s="1"/>
  <c r="P28" i="7" a="1"/>
  <c r="P28" i="7" s="1"/>
  <c r="O113" i="7" a="1"/>
  <c r="O113" i="7" s="1"/>
  <c r="S51" i="7" a="1"/>
  <c r="S51" i="7" s="1"/>
  <c r="M134" i="7" a="1"/>
  <c r="M134" i="7" s="1"/>
  <c r="P194" i="7" a="1"/>
  <c r="P194" i="7" s="1"/>
  <c r="M187" i="7" a="1"/>
  <c r="M187" i="7" s="1"/>
  <c r="M169" i="7" a="1"/>
  <c r="M169" i="7" s="1"/>
  <c r="R103" i="7" a="1"/>
  <c r="R103" i="7" s="1"/>
  <c r="M212" i="7" a="1"/>
  <c r="M212" i="7" s="1"/>
  <c r="P138" i="7" a="1"/>
  <c r="P138" i="7" s="1"/>
  <c r="O78" i="7" a="1"/>
  <c r="O78" i="7" s="1"/>
  <c r="P52" i="7" a="1"/>
  <c r="P52" i="7" s="1"/>
  <c r="O158" i="7" a="1"/>
  <c r="O158" i="7" s="1"/>
  <c r="S80" i="7" a="1"/>
  <c r="S80" i="7" s="1"/>
  <c r="P133" i="7" a="1"/>
  <c r="P133" i="7" s="1"/>
  <c r="R135" i="7" a="1"/>
  <c r="R135" i="7" s="1"/>
  <c r="R185" i="7" a="1"/>
  <c r="R185" i="7" s="1"/>
  <c r="N108" i="7" a="1"/>
  <c r="N108" i="7" s="1"/>
  <c r="S144" i="7" a="1"/>
  <c r="S144" i="7" s="1"/>
  <c r="O175" i="7" a="1"/>
  <c r="O175" i="7" s="1"/>
  <c r="R110" i="7" a="1"/>
  <c r="R110" i="7" s="1"/>
  <c r="R38" i="7" a="1"/>
  <c r="R38" i="7" s="1"/>
  <c r="P77" i="7" a="1"/>
  <c r="P77" i="7" s="1"/>
  <c r="M87" i="7" a="1"/>
  <c r="M87" i="7" s="1"/>
  <c r="N30" i="7" a="1"/>
  <c r="N30" i="7" s="1"/>
  <c r="M181" i="7" a="1"/>
  <c r="M181" i="7" s="1"/>
  <c r="P122" i="7" a="1"/>
  <c r="P122" i="7" s="1"/>
  <c r="Q80" i="7" a="1"/>
  <c r="Q80" i="7" s="1"/>
  <c r="S34" i="7" a="1"/>
  <c r="S34" i="7" s="1"/>
  <c r="N91" i="7" a="1"/>
  <c r="N91" i="7" s="1"/>
  <c r="P32" i="7" a="1"/>
  <c r="P32" i="7" s="1"/>
  <c r="M46" i="7" a="1"/>
  <c r="M46" i="7" s="1"/>
  <c r="O150" i="7" a="1"/>
  <c r="O150" i="7" s="1"/>
  <c r="R187" i="7" a="1"/>
  <c r="R187" i="7" s="1"/>
  <c r="Q51" i="7" a="1"/>
  <c r="Q51" i="7" s="1"/>
  <c r="R203" i="7" a="1"/>
  <c r="R203" i="7" s="1"/>
  <c r="O63" i="7" a="1"/>
  <c r="O63" i="7" s="1"/>
  <c r="R83" i="7" a="1"/>
  <c r="R83" i="7" s="1"/>
  <c r="R19" i="7" a="1"/>
  <c r="R19" i="7" s="1"/>
  <c r="O183" i="7" a="1"/>
  <c r="O183" i="7" s="1"/>
  <c r="R64" i="7" a="1"/>
  <c r="R64" i="7" s="1"/>
  <c r="Q95" i="7" a="1"/>
  <c r="Q95" i="7" s="1"/>
  <c r="S139" i="7" a="1"/>
  <c r="S139" i="7" s="1"/>
  <c r="S199" i="7" a="1"/>
  <c r="S199" i="7" s="1"/>
  <c r="Q24" i="7" a="1"/>
  <c r="Q24" i="7" s="1"/>
  <c r="R130" i="7" a="1"/>
  <c r="R130" i="7" s="1"/>
  <c r="M85" i="7" a="1"/>
  <c r="M85" i="7" s="1"/>
  <c r="P111" i="7" a="1"/>
  <c r="P111" i="7" s="1"/>
  <c r="M51" i="7" a="1"/>
  <c r="M51" i="7" s="1"/>
  <c r="S85" i="7" a="1"/>
  <c r="S85" i="7" s="1"/>
  <c r="P181" i="7" a="1"/>
  <c r="P181" i="7" s="1"/>
  <c r="Q190" i="7" a="1"/>
  <c r="Q190" i="7" s="1"/>
  <c r="N149" i="7" a="1"/>
  <c r="N149" i="7" s="1"/>
  <c r="P34" i="7" a="1"/>
  <c r="P34" i="7" s="1"/>
  <c r="R207" i="7" a="1"/>
  <c r="R207" i="7" s="1"/>
  <c r="R182" i="7" a="1"/>
  <c r="R182" i="7" s="1"/>
  <c r="P165" i="7" a="1"/>
  <c r="P165" i="7" s="1"/>
  <c r="R68" i="7" a="1"/>
  <c r="R68" i="7" s="1"/>
  <c r="O156" i="7" a="1"/>
  <c r="O156" i="7" s="1"/>
  <c r="O24" i="7" a="1"/>
  <c r="O24" i="7" s="1"/>
  <c r="O131" i="7" a="1"/>
  <c r="O131" i="7" s="1"/>
  <c r="S195" i="7" a="1"/>
  <c r="S195" i="7" s="1"/>
  <c r="M95" i="7" a="1"/>
  <c r="M95" i="7" s="1"/>
  <c r="R48" i="7" a="1"/>
  <c r="R48" i="7" s="1"/>
  <c r="O15" i="7" a="1"/>
  <c r="O15" i="7" s="1"/>
  <c r="R154" i="7" a="1"/>
  <c r="R154" i="7" s="1"/>
  <c r="N211" i="7" a="1"/>
  <c r="N211" i="7" s="1"/>
  <c r="M156" i="7" a="1"/>
  <c r="M156" i="7" s="1"/>
  <c r="S41" i="7" a="1"/>
  <c r="S41" i="7" s="1"/>
  <c r="M33" i="7" a="1"/>
  <c r="M33" i="7" s="1"/>
  <c r="S67" i="7" a="1"/>
  <c r="S67" i="7" s="1"/>
  <c r="R184" i="7" a="1"/>
  <c r="R184" i="7" s="1"/>
  <c r="Q121" i="7" a="1"/>
  <c r="Q121" i="7" s="1"/>
  <c r="M55" i="7" a="1"/>
  <c r="M55" i="7" s="1"/>
  <c r="M146" i="7" a="1"/>
  <c r="M146" i="7" s="1"/>
  <c r="S190" i="7" a="1"/>
  <c r="S190" i="7" s="1"/>
  <c r="S107" i="7" a="1"/>
  <c r="S107" i="7" s="1"/>
  <c r="Q172" i="7" a="1"/>
  <c r="Q172" i="7" s="1"/>
  <c r="P30" i="7" a="1"/>
  <c r="P30" i="7" s="1"/>
  <c r="M211" i="7" a="1"/>
  <c r="M211" i="7" s="1"/>
  <c r="R175" i="7" a="1"/>
  <c r="R175" i="7" s="1"/>
  <c r="N33" i="7" a="1"/>
  <c r="N33" i="7" s="1"/>
  <c r="S155" i="7" a="1"/>
  <c r="S155" i="7" s="1"/>
  <c r="N55" i="7" a="1"/>
  <c r="N55" i="7" s="1"/>
  <c r="P86" i="7" a="1"/>
  <c r="P86" i="7" s="1"/>
  <c r="P140" i="7" a="1"/>
  <c r="P140" i="7" s="1"/>
  <c r="M97" i="7" a="1"/>
  <c r="M97" i="7" s="1"/>
  <c r="R93" i="7" a="1"/>
  <c r="R93" i="7" s="1"/>
  <c r="M93" i="7" a="1"/>
  <c r="M93" i="7" s="1"/>
  <c r="M27" i="7" a="1"/>
  <c r="M27" i="7" s="1"/>
  <c r="R177" i="7" a="1"/>
  <c r="R177" i="7" s="1"/>
  <c r="O149" i="7" a="1"/>
  <c r="O149" i="7" s="1"/>
  <c r="M161" i="7" a="1"/>
  <c r="M161" i="7" s="1"/>
  <c r="P178" i="7" a="1"/>
  <c r="P178" i="7" s="1"/>
  <c r="P144" i="7" a="1"/>
  <c r="P144" i="7" s="1"/>
  <c r="P143" i="7" a="1"/>
  <c r="P143" i="7" s="1"/>
  <c r="M88" i="7" a="1"/>
  <c r="M88" i="7" s="1"/>
  <c r="P191" i="7" a="1"/>
  <c r="P191" i="7" s="1"/>
  <c r="R28" i="7" a="1"/>
  <c r="R28" i="7" s="1"/>
  <c r="M178" i="7" a="1"/>
  <c r="M178" i="7" s="1"/>
  <c r="R121" i="7" a="1"/>
  <c r="R121" i="7" s="1"/>
  <c r="R25" i="7" a="1"/>
  <c r="R25" i="7" s="1"/>
  <c r="O82" i="7" a="1"/>
  <c r="O82" i="7" s="1"/>
  <c r="N191" i="7" a="1"/>
  <c r="N191" i="7" s="1"/>
  <c r="M61" i="7" a="1"/>
  <c r="M61" i="7" s="1"/>
  <c r="N109" i="7" a="1"/>
  <c r="N109" i="7" s="1"/>
  <c r="R72" i="7" a="1"/>
  <c r="R72" i="7" s="1"/>
  <c r="N116" i="7" a="1"/>
  <c r="N116" i="7" s="1"/>
  <c r="M49" i="7" a="1"/>
  <c r="M49" i="7" s="1"/>
  <c r="M164" i="7" a="1"/>
  <c r="M164" i="7" s="1"/>
  <c r="Q84" i="7" a="1"/>
  <c r="Q84" i="7" s="1"/>
  <c r="N39" i="7" a="1"/>
  <c r="N39" i="7" s="1"/>
  <c r="P44" i="7" a="1"/>
  <c r="P44" i="7" s="1"/>
  <c r="P39" i="7" a="1"/>
  <c r="P39" i="7" s="1"/>
  <c r="O194" i="7" a="1"/>
  <c r="O194" i="7" s="1"/>
  <c r="M204" i="7" a="1"/>
  <c r="M204" i="7" s="1"/>
  <c r="M86" i="7" a="1"/>
  <c r="M86" i="7" s="1"/>
  <c r="N102" i="7" a="1"/>
  <c r="N102" i="7" s="1"/>
  <c r="R151" i="7" a="1"/>
  <c r="R151" i="7" s="1"/>
  <c r="N176" i="7" a="1"/>
  <c r="N176" i="7" s="1"/>
  <c r="N66" i="7" a="1"/>
  <c r="N66" i="7" s="1"/>
  <c r="O72" i="7" a="1"/>
  <c r="O72" i="7" s="1"/>
  <c r="Q207" i="7" a="1"/>
  <c r="Q207" i="7" s="1"/>
  <c r="Q152" i="7" a="1"/>
  <c r="Q152" i="7" s="1"/>
  <c r="S201" i="7" a="1"/>
  <c r="S201" i="7" s="1"/>
  <c r="Q96" i="7" a="1"/>
  <c r="Q96" i="7" s="1"/>
  <c r="N137" i="7" a="1"/>
  <c r="N137" i="7" s="1"/>
  <c r="Q53" i="7" a="1"/>
  <c r="Q53" i="7" s="1"/>
  <c r="R35" i="7" a="1"/>
  <c r="R35" i="7" s="1"/>
  <c r="P156" i="7" a="1"/>
  <c r="P156" i="7" s="1"/>
  <c r="R63" i="7" a="1"/>
  <c r="R63" i="7" s="1"/>
  <c r="M124" i="7" a="1"/>
  <c r="M124" i="7" s="1"/>
  <c r="P43" i="7" a="1"/>
  <c r="P43" i="7" s="1"/>
  <c r="S18" i="7" a="1"/>
  <c r="S18" i="7" s="1"/>
  <c r="R153" i="7" a="1"/>
  <c r="R153" i="7" s="1"/>
  <c r="R70" i="7" a="1"/>
  <c r="R70" i="7" s="1"/>
  <c r="M207" i="7" a="1"/>
  <c r="M207" i="7" s="1"/>
  <c r="P146" i="7" a="1"/>
  <c r="P146" i="7" s="1"/>
  <c r="S122" i="7" a="1"/>
  <c r="S122" i="7" s="1"/>
  <c r="P134" i="7" a="1"/>
  <c r="P134" i="7" s="1"/>
  <c r="R50" i="7" a="1"/>
  <c r="R50" i="7" s="1"/>
  <c r="O130" i="7" a="1"/>
  <c r="O130" i="7" s="1"/>
  <c r="R65" i="7" a="1"/>
  <c r="R65" i="7" s="1"/>
  <c r="P33" i="7" a="1"/>
  <c r="P33" i="7" s="1"/>
  <c r="P53" i="7" a="1"/>
  <c r="P53" i="7" s="1"/>
  <c r="S118" i="7" a="1"/>
  <c r="S118" i="7" s="1"/>
  <c r="Q149" i="7" a="1"/>
  <c r="Q149" i="7" s="1"/>
  <c r="Q116" i="7" a="1"/>
  <c r="Q116" i="7" s="1"/>
  <c r="S58" i="7" a="1"/>
  <c r="S58" i="7" s="1"/>
  <c r="R60" i="7" a="1"/>
  <c r="R60" i="7" s="1"/>
  <c r="S33" i="7" a="1"/>
  <c r="S33" i="7" s="1"/>
  <c r="Q65" i="7" a="1"/>
  <c r="Q65" i="7" s="1"/>
  <c r="N67" i="7" a="1"/>
  <c r="N67" i="7" s="1"/>
  <c r="P17" i="7" a="1"/>
  <c r="P17" i="7" s="1"/>
  <c r="P20" i="7" a="1"/>
  <c r="P20" i="7" s="1"/>
  <c r="S20" i="7" a="1"/>
  <c r="S20" i="7" s="1"/>
  <c r="S158" i="7" a="1"/>
  <c r="S158" i="7" s="1"/>
  <c r="Q130" i="7" a="1"/>
  <c r="Q130" i="7" s="1"/>
  <c r="O165" i="7" a="1"/>
  <c r="O165" i="7" s="1"/>
  <c r="S21" i="7" a="1"/>
  <c r="S21" i="7" s="1"/>
  <c r="R212" i="7" a="1"/>
  <c r="R212" i="7" s="1"/>
  <c r="R53" i="7" a="1"/>
  <c r="R53" i="7" s="1"/>
  <c r="O65" i="7" a="1"/>
  <c r="O65" i="7" s="1"/>
  <c r="S200" i="7" a="1"/>
  <c r="S200" i="7" s="1"/>
  <c r="R165" i="7" a="1"/>
  <c r="R165" i="7" s="1"/>
  <c r="R32" i="7" a="1"/>
  <c r="R32" i="7" s="1"/>
  <c r="P19" i="7" a="1"/>
  <c r="P19" i="7" s="1"/>
  <c r="O125" i="7" a="1"/>
  <c r="O125" i="7" s="1"/>
  <c r="S180" i="7" a="1"/>
  <c r="S180" i="7" s="1"/>
  <c r="O108" i="7" a="1"/>
  <c r="O108" i="7" s="1"/>
  <c r="S97" i="7" a="1"/>
  <c r="S97" i="7" s="1"/>
  <c r="S81" i="7" a="1"/>
  <c r="S81" i="7" s="1"/>
  <c r="M213" i="7" a="1"/>
  <c r="M213" i="7" s="1"/>
  <c r="Q68" i="7" a="1"/>
  <c r="Q68" i="7" s="1"/>
  <c r="S79" i="7" a="1"/>
  <c r="S79" i="7" s="1"/>
  <c r="M19" i="7" a="1"/>
  <c r="M19" i="7" s="1"/>
  <c r="R201" i="7" a="1"/>
  <c r="R201" i="7" s="1"/>
  <c r="N179" i="7" a="1"/>
  <c r="N179" i="7" s="1"/>
  <c r="N35" i="7" a="1"/>
  <c r="N35" i="7" s="1"/>
  <c r="S63" i="7" a="1"/>
  <c r="S63" i="7" s="1"/>
  <c r="M73" i="7" a="1"/>
  <c r="M73" i="7" s="1"/>
  <c r="O206" i="7" a="1"/>
  <c r="O206" i="7" s="1"/>
  <c r="S57" i="7" a="1"/>
  <c r="S57" i="7" s="1"/>
  <c r="N23" i="7" a="1"/>
  <c r="N23" i="7" s="1"/>
  <c r="R77" i="7" a="1"/>
  <c r="R77" i="7" s="1"/>
  <c r="P123" i="7" a="1"/>
  <c r="P123" i="7" s="1"/>
  <c r="N94" i="7" a="1"/>
  <c r="N94" i="7" s="1"/>
  <c r="N78" i="7" a="1"/>
  <c r="N78" i="7" s="1"/>
  <c r="S147" i="7" a="1"/>
  <c r="S147" i="7" s="1"/>
  <c r="R84" i="7" a="1"/>
  <c r="R84" i="7" s="1"/>
  <c r="O104" i="7" a="1"/>
  <c r="O104" i="7" s="1"/>
  <c r="Q88" i="7" a="1"/>
  <c r="Q88" i="7" s="1"/>
  <c r="N15" i="7" a="1"/>
  <c r="N15" i="7" s="1"/>
  <c r="O123" i="7" a="1"/>
  <c r="O123" i="7" s="1"/>
  <c r="M42" i="7" a="1"/>
  <c r="M42" i="7" s="1"/>
  <c r="N210" i="7" a="1"/>
  <c r="N210" i="7" s="1"/>
  <c r="P159" i="7" a="1"/>
  <c r="P159" i="7" s="1"/>
  <c r="S120" i="7" a="1"/>
  <c r="S120" i="7" s="1"/>
  <c r="P132" i="7" a="1"/>
  <c r="P132" i="7" s="1"/>
  <c r="M142" i="7" a="1"/>
  <c r="M142" i="7" s="1"/>
  <c r="Q169" i="7" a="1"/>
  <c r="Q169" i="7" s="1"/>
  <c r="N140" i="7" a="1"/>
  <c r="N140" i="7" s="1"/>
  <c r="Q147" i="7" a="1"/>
  <c r="Q147" i="7" s="1"/>
  <c r="S161" i="7" a="1"/>
  <c r="S161" i="7" s="1"/>
  <c r="M24" i="7" a="1"/>
  <c r="M24" i="7" s="1"/>
  <c r="O118" i="7" a="1"/>
  <c r="O118" i="7" s="1"/>
  <c r="O37" i="7" a="1"/>
  <c r="O37" i="7" s="1"/>
  <c r="Q150" i="7" a="1"/>
  <c r="Q150" i="7" s="1"/>
  <c r="R55" i="7" a="1"/>
  <c r="R55" i="7" s="1"/>
  <c r="N145" i="7" a="1"/>
  <c r="N145" i="7" s="1"/>
  <c r="Q124" i="7" a="1"/>
  <c r="Q124" i="7" s="1"/>
  <c r="S178" i="7" a="1"/>
  <c r="S178" i="7" s="1"/>
  <c r="M54" i="7" a="1"/>
  <c r="M54" i="7" s="1"/>
  <c r="Q126" i="7" a="1"/>
  <c r="Q126" i="7" s="1"/>
  <c r="S100" i="7" a="1"/>
  <c r="S100" i="7" s="1"/>
  <c r="N48" i="7" a="1"/>
  <c r="N48" i="7" s="1"/>
  <c r="S212" i="7" a="1"/>
  <c r="S212" i="7" s="1"/>
  <c r="N44" i="7" a="1"/>
  <c r="N44" i="7" s="1"/>
  <c r="R82" i="7" a="1"/>
  <c r="R82" i="7" s="1"/>
  <c r="S185" i="7" a="1"/>
  <c r="S185" i="7" s="1"/>
  <c r="Q158" i="7" a="1"/>
  <c r="Q158" i="7" s="1"/>
  <c r="N110" i="7" a="1"/>
  <c r="N110" i="7" s="1"/>
  <c r="Q128" i="7" a="1"/>
  <c r="Q128" i="7" s="1"/>
  <c r="M162" i="7" a="1"/>
  <c r="M162" i="7" s="1"/>
  <c r="M200" i="7" a="1"/>
  <c r="M200" i="7" s="1"/>
  <c r="O26" i="7" a="1"/>
  <c r="O26" i="7" s="1"/>
  <c r="R196" i="7" a="1"/>
  <c r="R196" i="7" s="1"/>
  <c r="O134" i="7" a="1"/>
  <c r="O134" i="7" s="1"/>
  <c r="R113" i="7" a="1"/>
  <c r="R113" i="7" s="1"/>
  <c r="N127" i="7" a="1"/>
  <c r="N127" i="7" s="1"/>
  <c r="P15" i="7" a="1"/>
  <c r="P15" i="7" s="1"/>
  <c r="P37" i="7" a="1"/>
  <c r="P37" i="7" s="1"/>
  <c r="O151" i="7" a="1"/>
  <c r="O151" i="7" s="1"/>
  <c r="M102" i="7" a="1"/>
  <c r="M102" i="7" s="1"/>
  <c r="P101" i="7" a="1"/>
  <c r="P101" i="7" s="1"/>
  <c r="M165" i="7" a="1"/>
  <c r="M165" i="7" s="1"/>
  <c r="P119" i="7" a="1"/>
  <c r="P119" i="7" s="1"/>
  <c r="M198" i="7" a="1"/>
  <c r="M198" i="7" s="1"/>
  <c r="S71" i="7" a="1"/>
  <c r="S71" i="7" s="1"/>
  <c r="S88" i="7" a="1"/>
  <c r="S88" i="7" s="1"/>
  <c r="S133" i="7" a="1"/>
  <c r="S133" i="7" s="1"/>
  <c r="N125" i="7" a="1"/>
  <c r="N125" i="7" s="1"/>
  <c r="P210" i="7" a="1"/>
  <c r="P210" i="7" s="1"/>
  <c r="O162" i="7" a="1"/>
  <c r="O162" i="7" s="1"/>
  <c r="Q113" i="7" a="1"/>
  <c r="Q113" i="7" s="1"/>
  <c r="Q186" i="7" a="1"/>
  <c r="Q186" i="7" s="1"/>
  <c r="R109" i="7" a="1"/>
  <c r="R109" i="7" s="1"/>
  <c r="O91" i="7" a="1"/>
  <c r="O91" i="7" s="1"/>
  <c r="N114" i="7" a="1"/>
  <c r="N114" i="7" s="1"/>
  <c r="Q159" i="7" a="1"/>
  <c r="Q159" i="7" s="1"/>
  <c r="R162" i="7" a="1"/>
  <c r="R162" i="7" s="1"/>
  <c r="M23" i="7" a="1"/>
  <c r="M23" i="7" s="1"/>
  <c r="M163" i="7" a="1"/>
  <c r="M163" i="7" s="1"/>
  <c r="O80" i="7" a="1"/>
  <c r="O80" i="7" s="1"/>
  <c r="P100" i="7" a="1"/>
  <c r="P100" i="7" s="1"/>
  <c r="S59" i="7" a="1"/>
  <c r="S59" i="7" s="1"/>
  <c r="P82" i="7" a="1"/>
  <c r="P82" i="7" s="1"/>
  <c r="R146" i="7" a="1"/>
  <c r="R146" i="7" s="1"/>
  <c r="P79" i="7" a="1"/>
  <c r="P79" i="7" s="1"/>
  <c r="P75" i="7" a="1"/>
  <c r="P75" i="7" s="1"/>
  <c r="N139" i="7" a="1"/>
  <c r="N139" i="7" s="1"/>
  <c r="N174" i="7" a="1"/>
  <c r="N174" i="7" s="1"/>
  <c r="O171" i="7" a="1"/>
  <c r="O171" i="7" s="1"/>
  <c r="O155" i="7" a="1"/>
  <c r="O155" i="7" s="1"/>
  <c r="M184" i="7" a="1"/>
  <c r="M184" i="7" s="1"/>
  <c r="M138" i="7" a="1"/>
  <c r="M138" i="7" s="1"/>
  <c r="S124" i="7" a="1"/>
  <c r="S124" i="7" s="1"/>
  <c r="S17" i="7" a="1"/>
  <c r="S17" i="7" s="1"/>
  <c r="S44" i="7" a="1"/>
  <c r="S44" i="7" s="1"/>
  <c r="P118" i="7" a="1"/>
  <c r="P118" i="7" s="1"/>
  <c r="M133" i="7" a="1"/>
  <c r="M133" i="7" s="1"/>
  <c r="N54" i="7" a="1"/>
  <c r="N54" i="7" s="1"/>
  <c r="N126" i="7" a="1"/>
  <c r="N126" i="7" s="1"/>
  <c r="N118" i="7" a="1"/>
  <c r="N118" i="7" s="1"/>
  <c r="R178" i="7" a="1"/>
  <c r="R178" i="7" s="1"/>
  <c r="R36" i="7" a="1"/>
  <c r="R36" i="7" s="1"/>
  <c r="M183" i="7" a="1"/>
  <c r="M183" i="7" s="1"/>
  <c r="P27" i="7" a="1"/>
  <c r="P27" i="7" s="1"/>
  <c r="Q56" i="7" a="1"/>
  <c r="Q56" i="7" s="1"/>
  <c r="S115" i="7" a="1"/>
  <c r="S115" i="7" s="1"/>
  <c r="O188" i="7" a="1"/>
  <c r="O188" i="7" s="1"/>
  <c r="Q59" i="7" a="1"/>
  <c r="Q59" i="7" s="1"/>
  <c r="R61" i="7" a="1"/>
  <c r="R61" i="7" s="1"/>
  <c r="S98" i="7" a="1"/>
  <c r="S98" i="7" s="1"/>
  <c r="O33" i="7" a="1"/>
  <c r="O33" i="7" s="1"/>
  <c r="S104" i="7" a="1"/>
  <c r="S104" i="7" s="1"/>
  <c r="R195" i="7" a="1"/>
  <c r="R195" i="7" s="1"/>
  <c r="S184" i="7" a="1"/>
  <c r="S184" i="7" s="1"/>
  <c r="M83" i="7" a="1"/>
  <c r="M83" i="7" s="1"/>
  <c r="P172" i="7" a="1"/>
  <c r="P172" i="7" s="1"/>
  <c r="O139" i="7" a="1"/>
  <c r="O139" i="7" s="1"/>
  <c r="S135" i="7" a="1"/>
  <c r="S135" i="7" s="1"/>
  <c r="P125" i="7" a="1"/>
  <c r="P125" i="7" s="1"/>
  <c r="R191" i="7" a="1"/>
  <c r="R191" i="7" s="1"/>
  <c r="N148" i="7" a="1"/>
  <c r="N148" i="7" s="1"/>
  <c r="Q205" i="7" a="1"/>
  <c r="Q205" i="7" s="1"/>
  <c r="S173" i="7" a="1"/>
  <c r="S173" i="7" s="1"/>
  <c r="O197" i="7" a="1"/>
  <c r="O197" i="7" s="1"/>
  <c r="P110" i="7" a="1"/>
  <c r="P110" i="7" s="1"/>
  <c r="O27" i="7" a="1"/>
  <c r="O27" i="7" s="1"/>
  <c r="P142" i="7" a="1"/>
  <c r="P142" i="7" s="1"/>
  <c r="M147" i="7" a="1"/>
  <c r="M147" i="7" s="1"/>
  <c r="P56" i="7" a="1"/>
  <c r="P56" i="7" s="1"/>
  <c r="S70" i="7" a="1"/>
  <c r="S70" i="7" s="1"/>
  <c r="M15" i="7" a="1"/>
  <c r="M15" i="7" s="1"/>
  <c r="O16" i="7" a="1"/>
  <c r="O16" i="7" s="1"/>
  <c r="S24" i="7" a="1"/>
  <c r="S24" i="7" s="1"/>
  <c r="S83" i="7" a="1"/>
  <c r="S83" i="7" s="1"/>
  <c r="P187" i="7" a="1"/>
  <c r="P187" i="7" s="1"/>
  <c r="N25" i="7" a="1"/>
  <c r="N25" i="7" s="1"/>
  <c r="O73" i="7" a="1"/>
  <c r="O73" i="7" s="1"/>
  <c r="M72" i="7" a="1"/>
  <c r="M72" i="7" s="1"/>
  <c r="O76" i="7" a="1"/>
  <c r="O76" i="7" s="1"/>
  <c r="S37" i="7" a="1"/>
  <c r="S37" i="7" s="1"/>
  <c r="P38" i="7" a="1"/>
  <c r="P38" i="7" s="1"/>
  <c r="Q38" i="7" a="1"/>
  <c r="Q38" i="7" s="1"/>
  <c r="P16" i="7" a="1"/>
  <c r="P16" i="7" s="1"/>
  <c r="R129" i="7" a="1"/>
  <c r="R129" i="7" s="1"/>
  <c r="S43" i="7" a="1"/>
  <c r="S43" i="7" s="1"/>
  <c r="M45" i="7" a="1"/>
  <c r="M45" i="7" s="1"/>
  <c r="R22" i="7" a="1"/>
  <c r="R22" i="7" s="1"/>
  <c r="S210" i="7" a="1"/>
  <c r="S210" i="7" s="1"/>
  <c r="P47" i="7" a="1"/>
  <c r="P47" i="7" s="1"/>
  <c r="R149" i="7" a="1"/>
  <c r="R149" i="7" s="1"/>
  <c r="N178" i="7" a="1"/>
  <c r="N178" i="7" s="1"/>
  <c r="M132" i="7" a="1"/>
  <c r="M132" i="7" s="1"/>
  <c r="Q104" i="7" a="1"/>
  <c r="Q104" i="7" s="1"/>
  <c r="O19" i="7" a="1"/>
  <c r="O19" i="7" s="1"/>
  <c r="R157" i="7" a="1"/>
  <c r="R157" i="7" s="1"/>
  <c r="O20" i="7" a="1"/>
  <c r="O20" i="7" s="1"/>
  <c r="M44" i="7" a="1"/>
  <c r="M44" i="7" s="1"/>
  <c r="O207" i="7" a="1"/>
  <c r="O207" i="7" s="1"/>
  <c r="N17" i="7" a="1"/>
  <c r="N17" i="7" s="1"/>
  <c r="O40" i="7" a="1"/>
  <c r="O40" i="7" s="1"/>
  <c r="O166" i="7" a="1"/>
  <c r="O166" i="7" s="1"/>
  <c r="P21" i="7" a="1"/>
  <c r="P21" i="7" s="1"/>
  <c r="P104" i="7" a="1"/>
  <c r="P104" i="7" s="1"/>
  <c r="R158" i="7" a="1"/>
  <c r="R158" i="7" s="1"/>
  <c r="M101" i="7" a="1"/>
  <c r="M101" i="7" s="1"/>
  <c r="M21" i="7" a="1"/>
  <c r="M21" i="7" s="1"/>
  <c r="M135" i="7" a="1"/>
  <c r="M135" i="7" s="1"/>
  <c r="S202" i="7" a="1"/>
  <c r="S202" i="7" s="1"/>
  <c r="M108" i="7" a="1"/>
  <c r="M108" i="7" s="1"/>
  <c r="O169" i="7" a="1"/>
  <c r="O169" i="7" s="1"/>
  <c r="N105" i="7" a="1"/>
  <c r="N105" i="7" s="1"/>
  <c r="Q211" i="7" a="1"/>
  <c r="Q211" i="7" s="1"/>
  <c r="Q97" i="7" a="1"/>
  <c r="Q97" i="7" s="1"/>
  <c r="O32" i="7" a="1"/>
  <c r="O32" i="7" s="1"/>
  <c r="Q58" i="7" a="1"/>
  <c r="Q58" i="7" s="1"/>
  <c r="M192" i="7" a="1"/>
  <c r="M192" i="7" s="1"/>
  <c r="O28" i="7" a="1"/>
  <c r="O28" i="7" s="1"/>
  <c r="M130" i="7" a="1"/>
  <c r="M130" i="7" s="1"/>
  <c r="R41" i="7" a="1"/>
  <c r="R41" i="7" s="1"/>
  <c r="P192" i="7" a="1"/>
  <c r="P192" i="7" s="1"/>
  <c r="R145" i="7" a="1"/>
  <c r="R145" i="7" s="1"/>
  <c r="Q206" i="7" a="1"/>
  <c r="Q206" i="7" s="1"/>
  <c r="Q133" i="7" a="1"/>
  <c r="Q133" i="7" s="1"/>
  <c r="M84" i="7" a="1"/>
  <c r="M84" i="7" s="1"/>
  <c r="Q111" i="7" a="1"/>
  <c r="Q111" i="7" s="1"/>
  <c r="M29" i="7" a="1"/>
  <c r="M29" i="7" s="1"/>
  <c r="Q83" i="7" a="1"/>
  <c r="Q83" i="7" s="1"/>
  <c r="S117" i="7" a="1"/>
  <c r="S117" i="7" s="1"/>
  <c r="O178" i="7" a="1"/>
  <c r="O178" i="7" s="1"/>
  <c r="Q109" i="7" a="1"/>
  <c r="Q109" i="7" s="1"/>
  <c r="R91" i="7" a="1"/>
  <c r="R91" i="7" s="1"/>
  <c r="M113" i="7" a="1"/>
  <c r="M113" i="7" s="1"/>
  <c r="S149" i="7" a="1"/>
  <c r="S149" i="7" s="1"/>
  <c r="R73" i="7" a="1"/>
  <c r="R73" i="7" s="1"/>
  <c r="N129" i="7" a="1"/>
  <c r="N129" i="7" s="1"/>
  <c r="Q170" i="7" a="1"/>
  <c r="Q170" i="7" s="1"/>
  <c r="M206" i="7" a="1"/>
  <c r="M206" i="7" s="1"/>
  <c r="O29" i="7" a="1"/>
  <c r="O29" i="7" s="1"/>
  <c r="N200" i="7" a="1"/>
  <c r="N200" i="7" s="1"/>
  <c r="O181" i="7" a="1"/>
  <c r="O181" i="7" s="1"/>
  <c r="N70" i="7" a="1"/>
  <c r="N70" i="7" s="1"/>
  <c r="R31" i="7" a="1"/>
  <c r="R31" i="7" s="1"/>
  <c r="R74" i="7" a="1"/>
  <c r="R74" i="7" s="1"/>
  <c r="R155" i="7" a="1"/>
  <c r="R155" i="7" s="1"/>
  <c r="M122" i="7" a="1"/>
  <c r="M122" i="7" s="1"/>
  <c r="P94" i="7" a="1"/>
  <c r="P94" i="7" s="1"/>
  <c r="O115" i="7" a="1"/>
  <c r="O115" i="7" s="1"/>
  <c r="O14" i="7" a="1"/>
  <c r="O14" i="7" s="1"/>
  <c r="S186" i="7" a="1"/>
  <c r="S186" i="7" s="1"/>
  <c r="O60" i="7" a="1"/>
  <c r="O60" i="7" s="1"/>
  <c r="S121" i="7" a="1"/>
  <c r="S121" i="7" s="1"/>
  <c r="M31" i="7" a="1"/>
  <c r="M31" i="7" s="1"/>
  <c r="Q16" i="7" a="1"/>
  <c r="Q16" i="7" s="1"/>
  <c r="P208" i="7" a="1"/>
  <c r="P208" i="7" s="1"/>
  <c r="S105" i="7" a="1"/>
  <c r="S105" i="7" s="1"/>
  <c r="P76" i="7" a="1"/>
  <c r="P76" i="7" s="1"/>
  <c r="S102" i="7" a="1"/>
  <c r="S102" i="7" s="1"/>
  <c r="N76" i="7" a="1"/>
  <c r="N76" i="7" s="1"/>
  <c r="O35" i="7" a="1"/>
  <c r="O35" i="7" s="1"/>
  <c r="Q66" i="7" a="1"/>
  <c r="Q66" i="7" s="1"/>
  <c r="P14" i="7" a="1"/>
  <c r="P14" i="7" s="1"/>
  <c r="O103" i="7" a="1"/>
  <c r="O103" i="7" s="1"/>
  <c r="Q99" i="7" a="1"/>
  <c r="Q99" i="7" s="1"/>
  <c r="P60" i="7" a="1"/>
  <c r="P60" i="7" s="1"/>
  <c r="N130" i="7" a="1"/>
  <c r="N130" i="7" s="1"/>
  <c r="N194" i="7" a="1"/>
  <c r="N194" i="7" s="1"/>
  <c r="Q30" i="7" a="1"/>
  <c r="Q30" i="7" s="1"/>
  <c r="O46" i="7" a="1"/>
  <c r="O46" i="7" s="1"/>
  <c r="O138" i="7" a="1"/>
  <c r="O138" i="7" s="1"/>
  <c r="S32" i="7" a="1"/>
  <c r="S32" i="7" s="1"/>
  <c r="O176" i="7" a="1"/>
  <c r="O176" i="7" s="1"/>
  <c r="M128" i="7" a="1"/>
  <c r="M128" i="7" s="1"/>
  <c r="Q49" i="7" a="1"/>
  <c r="Q49" i="7" s="1"/>
  <c r="O127" i="7" a="1"/>
  <c r="O127" i="7" s="1"/>
  <c r="O174" i="7" a="1"/>
  <c r="O174" i="7" s="1"/>
  <c r="O54" i="7" a="1"/>
  <c r="O54" i="7" s="1"/>
  <c r="S38" i="7" a="1"/>
  <c r="S38" i="7" s="1"/>
  <c r="M170" i="7" a="1"/>
  <c r="M170" i="7" s="1"/>
  <c r="N204" i="7" a="1"/>
  <c r="N204" i="7" s="1"/>
  <c r="O186" i="7" a="1"/>
  <c r="O186" i="7" s="1"/>
  <c r="M136" i="7" a="1"/>
  <c r="M136" i="7" s="1"/>
  <c r="S106" i="7" a="1"/>
  <c r="S106" i="7" s="1"/>
  <c r="M202" i="7" a="1"/>
  <c r="M202" i="7" s="1"/>
  <c r="S193" i="7" a="1"/>
  <c r="S193" i="7" s="1"/>
  <c r="N74" i="7" a="1"/>
  <c r="N74" i="7" s="1"/>
  <c r="M59" i="7" a="1"/>
  <c r="M59" i="7" s="1"/>
  <c r="N19" i="7" a="1"/>
  <c r="N19" i="7" s="1"/>
  <c r="N119" i="7" a="1"/>
  <c r="N119" i="7" s="1"/>
  <c r="N56" i="7" a="1"/>
  <c r="N56" i="7" s="1"/>
  <c r="O23" i="7" a="1"/>
  <c r="O23" i="7" s="1"/>
  <c r="Q91" i="7" a="1"/>
  <c r="Q91" i="7" s="1"/>
  <c r="N202" i="7" a="1"/>
  <c r="N202" i="7" s="1"/>
  <c r="M174" i="7" a="1"/>
  <c r="M174" i="7" s="1"/>
  <c r="O41" i="7" a="1"/>
  <c r="O41" i="7" s="1"/>
  <c r="M123" i="7" a="1"/>
  <c r="M123" i="7" s="1"/>
  <c r="M14" i="7" a="1"/>
  <c r="M14" i="7" s="1"/>
  <c r="Q142" i="7" a="1"/>
  <c r="Q142" i="7" s="1"/>
  <c r="Q120" i="7" a="1"/>
  <c r="Q120" i="7" s="1"/>
  <c r="P169" i="7" a="1"/>
  <c r="P169" i="7" s="1"/>
  <c r="Q426" i="1" l="1"/>
  <c r="L16" i="7"/>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4"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L86" i="7" s="1"/>
  <c r="L87" i="7" s="1"/>
  <c r="L88" i="7" s="1"/>
  <c r="L89" i="7" s="1"/>
  <c r="L90" i="7" s="1"/>
  <c r="L91" i="7" s="1"/>
  <c r="L92" i="7" s="1"/>
  <c r="L93" i="7" s="1"/>
  <c r="L94" i="7" s="1"/>
  <c r="L95" i="7" s="1"/>
  <c r="L96" i="7" s="1"/>
  <c r="L97" i="7" s="1"/>
  <c r="L98" i="7" s="1"/>
  <c r="L99" i="7" s="1"/>
  <c r="L100" i="7" s="1"/>
  <c r="L101" i="7" s="1"/>
  <c r="L102" i="7" s="1"/>
  <c r="L103" i="7" s="1"/>
  <c r="L104" i="7" s="1"/>
  <c r="L105" i="7" s="1"/>
  <c r="L106" i="7" s="1"/>
  <c r="L107" i="7" s="1"/>
  <c r="L108" i="7" s="1"/>
  <c r="L109" i="7" s="1"/>
  <c r="L110" i="7" s="1"/>
  <c r="L111" i="7" s="1"/>
  <c r="L112" i="7" s="1"/>
  <c r="L113" i="7" s="1"/>
  <c r="L114" i="7" s="1"/>
  <c r="L115" i="7" s="1"/>
  <c r="L116" i="7" s="1"/>
  <c r="Q447" i="1" l="1"/>
  <c r="L117" i="7"/>
  <c r="Q450" i="1" l="1"/>
  <c r="Q456" i="1" s="1"/>
  <c r="Q459" i="1" s="1"/>
  <c r="Q461" i="1" s="1"/>
  <c r="Q468" i="1" s="1"/>
  <c r="Q469" i="1" s="1"/>
  <c r="Q479" i="1" s="1"/>
  <c r="L118" i="7"/>
  <c r="Q483" i="1" l="1"/>
  <c r="L119" i="7"/>
  <c r="Q488" i="1" l="1"/>
  <c r="L120" i="7"/>
  <c r="Q492" i="1" l="1"/>
  <c r="L121" i="7"/>
  <c r="Q493" i="1" l="1"/>
  <c r="L122" i="7"/>
  <c r="L123" i="7" s="1"/>
  <c r="L124" i="7" s="1"/>
  <c r="L125" i="7" s="1"/>
  <c r="L126" i="7" s="1"/>
  <c r="L127" i="7" s="1"/>
  <c r="L128" i="7" s="1"/>
  <c r="L129" i="7" s="1"/>
  <c r="L130" i="7" s="1"/>
  <c r="L131" i="7" s="1"/>
  <c r="L132" i="7" s="1"/>
  <c r="L133" i="7" s="1"/>
  <c r="L134" i="7" s="1"/>
  <c r="L135" i="7" s="1"/>
  <c r="L136" i="7" s="1"/>
  <c r="L137" i="7" s="1"/>
  <c r="L138" i="7" s="1"/>
  <c r="L139" i="7" s="1"/>
  <c r="L140" i="7" s="1"/>
  <c r="L141" i="7" s="1"/>
  <c r="L142" i="7" s="1"/>
  <c r="L143" i="7" s="1"/>
  <c r="L144" i="7" s="1"/>
  <c r="L145" i="7" s="1"/>
  <c r="L146" i="7" s="1"/>
  <c r="L147" i="7" s="1"/>
  <c r="L148" i="7" s="1"/>
  <c r="L149" i="7" s="1"/>
  <c r="L150" i="7" s="1"/>
  <c r="L151" i="7" s="1"/>
  <c r="L152" i="7" s="1"/>
  <c r="L153" i="7" s="1"/>
  <c r="L154" i="7" s="1"/>
  <c r="L155" i="7" s="1"/>
  <c r="L156" i="7" s="1"/>
  <c r="L157" i="7" s="1"/>
  <c r="L158" i="7" s="1"/>
  <c r="L159" i="7" s="1"/>
  <c r="L160" i="7" s="1"/>
  <c r="L161" i="7" s="1"/>
  <c r="L162" i="7" s="1"/>
  <c r="L163" i="7" s="1"/>
  <c r="Q611" i="1" l="1"/>
  <c r="K116" i="2" s="1"/>
  <c r="I137" i="2"/>
  <c r="K151" i="2"/>
  <c r="K110" i="2"/>
  <c r="I105" i="2"/>
  <c r="L34" i="2"/>
  <c r="K149" i="2"/>
  <c r="K159" i="2"/>
  <c r="J120" i="2"/>
  <c r="K111" i="2"/>
  <c r="I139" i="2"/>
  <c r="L139" i="2"/>
  <c r="K128" i="2"/>
  <c r="J135" i="2"/>
  <c r="K126" i="2"/>
  <c r="J80" i="2"/>
  <c r="J77" i="2"/>
  <c r="I159" i="2"/>
  <c r="I150" i="2"/>
  <c r="L104" i="2"/>
  <c r="L78" i="2"/>
  <c r="K122" i="2"/>
  <c r="K44" i="2"/>
  <c r="I91" i="2"/>
  <c r="J149" i="2"/>
  <c r="I70" i="2"/>
  <c r="I147" i="2"/>
  <c r="I54" i="2"/>
  <c r="I145" i="2"/>
  <c r="L115" i="2"/>
  <c r="K82" i="2"/>
  <c r="J137" i="2"/>
  <c r="K31" i="2"/>
  <c r="I141" i="2"/>
  <c r="L118" i="2"/>
  <c r="L35" i="2"/>
  <c r="I83" i="2"/>
  <c r="L45" i="2"/>
  <c r="I38" i="2"/>
  <c r="K119" i="2"/>
  <c r="L150" i="2"/>
  <c r="J151" i="2"/>
  <c r="J71" i="2"/>
  <c r="I72" i="2"/>
  <c r="L71" i="2"/>
  <c r="J106" i="2"/>
  <c r="L41" i="2"/>
  <c r="J35" i="2"/>
  <c r="L44" i="2"/>
  <c r="J158" i="2"/>
  <c r="I119" i="2"/>
  <c r="J101" i="2"/>
  <c r="L137" i="2"/>
  <c r="K105" i="2"/>
  <c r="L132" i="2"/>
  <c r="J163" i="2"/>
  <c r="L149" i="2"/>
  <c r="I84" i="2"/>
  <c r="I111" i="2"/>
  <c r="J99" i="2"/>
  <c r="L87" i="2"/>
  <c r="I28" i="2"/>
  <c r="L36" i="2"/>
  <c r="L64" i="2"/>
  <c r="J73" i="2"/>
  <c r="L106" i="2"/>
  <c r="L51" i="2"/>
  <c r="K109" i="2"/>
  <c r="K94" i="2"/>
  <c r="L105" i="2"/>
  <c r="K41" i="2"/>
  <c r="K101" i="2"/>
  <c r="J122" i="2"/>
  <c r="I86" i="2"/>
  <c r="J86" i="2"/>
  <c r="L123" i="2"/>
  <c r="L31" i="2"/>
  <c r="K71" i="2"/>
  <c r="L55" i="2"/>
  <c r="I46" i="2"/>
  <c r="L79" i="2"/>
  <c r="I140" i="2"/>
  <c r="I160" i="2"/>
  <c r="I120" i="2"/>
  <c r="J147" i="2"/>
  <c r="J155" i="2"/>
  <c r="J105" i="2"/>
  <c r="I110" i="2"/>
  <c r="K61" i="2"/>
  <c r="J53" i="2"/>
  <c r="K158" i="2"/>
  <c r="J75" i="2"/>
  <c r="L60" i="2"/>
  <c r="I27" i="2"/>
  <c r="I143" i="2"/>
  <c r="K160" i="2"/>
  <c r="A160" i="2" s="1"/>
  <c r="L32" i="2"/>
  <c r="I153" i="2"/>
  <c r="J111" i="2"/>
  <c r="L57" i="2"/>
  <c r="K55" i="2"/>
  <c r="L66" i="2"/>
  <c r="L95" i="2"/>
  <c r="I39" i="2"/>
  <c r="I56" i="2"/>
  <c r="K49" i="2"/>
  <c r="L161" i="2"/>
  <c r="K80" i="2"/>
  <c r="I36" i="2"/>
  <c r="J140" i="2"/>
  <c r="I37" i="2"/>
  <c r="I32" i="2"/>
  <c r="K141" i="2"/>
  <c r="J92" i="2"/>
  <c r="L27" i="2"/>
  <c r="J153" i="2"/>
  <c r="J62" i="2"/>
  <c r="J157" i="2"/>
  <c r="L37" i="2"/>
  <c r="I60" i="2"/>
  <c r="K134" i="2"/>
  <c r="J159" i="2"/>
  <c r="L107" i="2"/>
  <c r="J121" i="2"/>
  <c r="J108" i="2"/>
  <c r="K37" i="2"/>
  <c r="J96" i="2"/>
  <c r="K139" i="2"/>
  <c r="I103" i="2"/>
  <c r="J133" i="2"/>
  <c r="I109" i="2"/>
  <c r="J116" i="2"/>
  <c r="L94" i="2"/>
  <c r="J70" i="2"/>
  <c r="K75" i="2"/>
  <c r="L140" i="2"/>
  <c r="L74" i="2"/>
  <c r="J47" i="2"/>
  <c r="I76" i="2"/>
  <c r="K90" i="2"/>
  <c r="L109" i="2"/>
  <c r="K93" i="2"/>
  <c r="J60" i="2"/>
  <c r="I61" i="2"/>
  <c r="J123" i="2"/>
  <c r="K58" i="2"/>
  <c r="J83" i="2"/>
  <c r="L83" i="2"/>
  <c r="J117" i="2"/>
  <c r="L136" i="2"/>
  <c r="I53" i="2"/>
  <c r="K53" i="2"/>
  <c r="J76" i="2"/>
  <c r="J126" i="2"/>
  <c r="L50" i="2"/>
  <c r="J38" i="2"/>
  <c r="L152" i="2"/>
  <c r="L124" i="2"/>
  <c r="J29" i="2"/>
  <c r="K114" i="2"/>
  <c r="I112" i="2"/>
  <c r="J107" i="2"/>
  <c r="J100" i="2"/>
  <c r="L164" i="2"/>
  <c r="I152" i="2"/>
  <c r="I51" i="2"/>
  <c r="I99" i="2"/>
  <c r="K68" i="2"/>
  <c r="I48" i="2"/>
  <c r="L116" i="2"/>
  <c r="I40" i="2"/>
  <c r="K92" i="2"/>
  <c r="L43" i="2"/>
  <c r="K26" i="2"/>
  <c r="L63" i="2"/>
  <c r="I108" i="2"/>
  <c r="K107" i="2"/>
  <c r="K79" i="2"/>
  <c r="I161" i="2"/>
  <c r="K115" i="2"/>
  <c r="A115" i="2" s="1"/>
  <c r="L39" i="2"/>
  <c r="K157" i="2"/>
  <c r="K35" i="2"/>
  <c r="K155" i="2"/>
  <c r="I106" i="2"/>
  <c r="J125" i="2"/>
  <c r="L47" i="2"/>
  <c r="I100" i="2"/>
  <c r="K117" i="2"/>
  <c r="K83" i="2"/>
  <c r="K162" i="2"/>
  <c r="K125" i="2"/>
  <c r="K88" i="2"/>
  <c r="L92" i="2"/>
  <c r="L128" i="2"/>
  <c r="J119" i="2"/>
  <c r="K28" i="2"/>
  <c r="L117" i="2"/>
  <c r="I49" i="2"/>
  <c r="L159" i="2"/>
  <c r="I80" i="2"/>
  <c r="I146" i="2"/>
  <c r="L62" i="2"/>
  <c r="J51" i="2"/>
  <c r="K57" i="2"/>
  <c r="K60" i="2"/>
  <c r="L93" i="2"/>
  <c r="L122" i="2"/>
  <c r="I116" i="2"/>
  <c r="L162" i="2"/>
  <c r="I104" i="2"/>
  <c r="K76" i="2"/>
  <c r="I148" i="2"/>
  <c r="K108" i="2"/>
  <c r="J152" i="2"/>
  <c r="I30" i="2"/>
  <c r="L42" i="2"/>
  <c r="J72" i="2"/>
  <c r="K129" i="2"/>
  <c r="A129" i="2" s="1"/>
  <c r="J97" i="2"/>
  <c r="I122" i="2"/>
  <c r="J31" i="2"/>
  <c r="J63" i="2"/>
  <c r="K50" i="2"/>
  <c r="A50" i="2" s="1"/>
  <c r="I138" i="2"/>
  <c r="I98" i="2"/>
  <c r="J55" i="2"/>
  <c r="K46" i="2"/>
  <c r="K34" i="2"/>
  <c r="L33" i="2"/>
  <c r="I65" i="2"/>
  <c r="J114" i="2"/>
  <c r="K118" i="2"/>
  <c r="A118" i="2" s="1"/>
  <c r="I101" i="2"/>
  <c r="I74" i="2"/>
  <c r="K148" i="2"/>
  <c r="J79" i="2"/>
  <c r="J136" i="2"/>
  <c r="K130" i="2"/>
  <c r="A130" i="2" s="1"/>
  <c r="K163" i="2"/>
  <c r="J85" i="2"/>
  <c r="L153" i="2"/>
  <c r="J32" i="2"/>
  <c r="J30" i="2"/>
  <c r="J69" i="2"/>
  <c r="L73" i="2"/>
  <c r="K137" i="2"/>
  <c r="I90" i="2"/>
  <c r="L112" i="2"/>
  <c r="J46" i="2"/>
  <c r="K136" i="2"/>
  <c r="K70" i="2"/>
  <c r="I151" i="2"/>
  <c r="I126" i="2"/>
  <c r="L114" i="2"/>
  <c r="J102" i="2"/>
  <c r="J139" i="2"/>
  <c r="K29" i="2"/>
  <c r="I81" i="2"/>
  <c r="J148" i="2"/>
  <c r="L144" i="2"/>
  <c r="L156" i="2"/>
  <c r="I85" i="2"/>
  <c r="L133" i="2"/>
  <c r="K96" i="2"/>
  <c r="J87" i="2"/>
  <c r="J33" i="2"/>
  <c r="I34" i="2"/>
  <c r="K121" i="2"/>
  <c r="K56" i="2"/>
  <c r="I130" i="2"/>
  <c r="L143" i="2"/>
  <c r="L102" i="2"/>
  <c r="J150" i="2"/>
  <c r="I163" i="2"/>
  <c r="I135" i="2"/>
  <c r="I136" i="2"/>
  <c r="J41" i="2"/>
  <c r="K54" i="2"/>
  <c r="J89" i="2"/>
  <c r="L85" i="2"/>
  <c r="L163" i="2"/>
  <c r="L147" i="2"/>
  <c r="K95" i="2"/>
  <c r="L111" i="2"/>
  <c r="K150" i="2"/>
  <c r="A150" i="2" s="1"/>
  <c r="I132" i="2"/>
  <c r="K66" i="2"/>
  <c r="I88" i="2"/>
  <c r="J56" i="2"/>
  <c r="J144" i="2"/>
  <c r="L72" i="2"/>
  <c r="L119" i="2"/>
  <c r="J113" i="2"/>
  <c r="L58" i="2"/>
  <c r="K59" i="2"/>
  <c r="A59" i="2" s="1"/>
  <c r="L49" i="2"/>
  <c r="J59" i="2"/>
  <c r="J98" i="2"/>
  <c r="L76" i="2"/>
  <c r="K38" i="2"/>
  <c r="A38" i="2" s="1"/>
  <c r="I57" i="2"/>
  <c r="L59" i="2"/>
  <c r="J88" i="2"/>
  <c r="I115" i="2"/>
  <c r="L110" i="2"/>
  <c r="K91" i="2"/>
  <c r="K102" i="2"/>
  <c r="A102" i="2" s="1"/>
  <c r="L70" i="2"/>
  <c r="L96" i="2"/>
  <c r="I89" i="2"/>
  <c r="J130" i="2"/>
  <c r="K98" i="2"/>
  <c r="I75" i="2"/>
  <c r="L29" i="2"/>
  <c r="I134" i="2"/>
  <c r="J146" i="2"/>
  <c r="K86" i="2"/>
  <c r="I149" i="2"/>
  <c r="K27" i="2"/>
  <c r="I125" i="2"/>
  <c r="K48" i="2"/>
  <c r="K154" i="2"/>
  <c r="J61" i="2"/>
  <c r="L61" i="2"/>
  <c r="J129" i="2"/>
  <c r="L148" i="2"/>
  <c r="I96" i="2"/>
  <c r="J81" i="2"/>
  <c r="J154" i="2"/>
  <c r="I47" i="2"/>
  <c r="I26" i="2"/>
  <c r="K84" i="2"/>
  <c r="A84" i="2" s="1"/>
  <c r="K51" i="2"/>
  <c r="J39" i="2"/>
  <c r="L155" i="2"/>
  <c r="I129" i="2"/>
  <c r="I45" i="2"/>
  <c r="J49" i="2"/>
  <c r="L129" i="2"/>
  <c r="K106" i="2"/>
  <c r="A106" i="2" s="1"/>
  <c r="I157" i="2"/>
  <c r="I118" i="2"/>
  <c r="L67" i="2"/>
  <c r="K81" i="2"/>
  <c r="K64" i="2"/>
  <c r="J93" i="2"/>
  <c r="L134" i="2"/>
  <c r="K69" i="2"/>
  <c r="J141" i="2"/>
  <c r="K124" i="2"/>
  <c r="L56" i="2"/>
  <c r="J28" i="2"/>
  <c r="I113" i="2"/>
  <c r="K133" i="2"/>
  <c r="J127" i="2"/>
  <c r="L113" i="2"/>
  <c r="K43" i="2"/>
  <c r="J26" i="2"/>
  <c r="K161" i="2"/>
  <c r="A161" i="2" s="1"/>
  <c r="L97" i="2"/>
  <c r="I58" i="2"/>
  <c r="K147" i="2"/>
  <c r="L130" i="2"/>
  <c r="K67" i="2"/>
  <c r="I73" i="2"/>
  <c r="K100" i="2"/>
  <c r="K113" i="2"/>
  <c r="L65" i="2"/>
  <c r="I107" i="2"/>
  <c r="J160" i="2"/>
  <c r="I131" i="2"/>
  <c r="K153" i="2"/>
  <c r="L28" i="2"/>
  <c r="I142" i="2"/>
  <c r="I62" i="2"/>
  <c r="L126" i="2"/>
  <c r="L69" i="2"/>
  <c r="K140" i="2"/>
  <c r="K77" i="2"/>
  <c r="A77" i="2" s="1"/>
  <c r="L146" i="2"/>
  <c r="J34" i="2"/>
  <c r="K104" i="2"/>
  <c r="J95" i="2"/>
  <c r="I127" i="2"/>
  <c r="L90" i="2"/>
  <c r="L98" i="2"/>
  <c r="K145" i="2"/>
  <c r="I55" i="2"/>
  <c r="L157" i="2"/>
  <c r="K135" i="2"/>
  <c r="L91" i="2"/>
  <c r="K123" i="2"/>
  <c r="A123" i="2" s="1"/>
  <c r="L131" i="2"/>
  <c r="I102" i="2"/>
  <c r="I42" i="2"/>
  <c r="K30" i="2"/>
  <c r="A30" i="2" s="1"/>
  <c r="J134" i="2"/>
  <c r="I156" i="2"/>
  <c r="I78" i="2"/>
  <c r="I123" i="2"/>
  <c r="K144" i="2"/>
  <c r="K131" i="2"/>
  <c r="A131" i="2" s="1"/>
  <c r="K74" i="2"/>
  <c r="J44" i="2"/>
  <c r="L48" i="2"/>
  <c r="J68" i="2"/>
  <c r="I35" i="2"/>
  <c r="I144" i="2"/>
  <c r="J66" i="2"/>
  <c r="J143" i="2"/>
  <c r="J110" i="2"/>
  <c r="L52" i="2"/>
  <c r="J48" i="2"/>
  <c r="J145" i="2"/>
  <c r="L89" i="2"/>
  <c r="L135" i="2"/>
  <c r="I79" i="2"/>
  <c r="J43" i="2"/>
  <c r="K152" i="2"/>
  <c r="A152" i="2" s="1"/>
  <c r="L154" i="2"/>
  <c r="L86" i="2"/>
  <c r="L82" i="2"/>
  <c r="I66" i="2"/>
  <c r="J164" i="2"/>
  <c r="J90" i="2"/>
  <c r="L103" i="2"/>
  <c r="J65" i="2"/>
  <c r="K78" i="2"/>
  <c r="K112" i="2"/>
  <c r="A112" i="2" s="1"/>
  <c r="I29" i="2"/>
  <c r="I50" i="2"/>
  <c r="L141" i="2"/>
  <c r="J162" i="2"/>
  <c r="I162" i="2"/>
  <c r="L100" i="2"/>
  <c r="L40" i="2"/>
  <c r="I121" i="2"/>
  <c r="I94" i="2"/>
  <c r="L53" i="2"/>
  <c r="L151" i="2"/>
  <c r="K52" i="2"/>
  <c r="A52" i="2" s="1"/>
  <c r="I43" i="2"/>
  <c r="J27" i="2"/>
  <c r="I128" i="2"/>
  <c r="J67" i="2"/>
  <c r="I92" i="2"/>
  <c r="I41" i="2"/>
  <c r="J36" i="2"/>
  <c r="L38" i="2"/>
  <c r="K62" i="2"/>
  <c r="L84" i="2"/>
  <c r="L101" i="2"/>
  <c r="I77" i="2"/>
  <c r="K142" i="2"/>
  <c r="L121" i="2"/>
  <c r="J112" i="2"/>
  <c r="K47" i="2"/>
  <c r="K156" i="2"/>
  <c r="J50" i="2"/>
  <c r="K164" i="2"/>
  <c r="J156" i="2"/>
  <c r="L138" i="2"/>
  <c r="I33" i="2"/>
  <c r="J128" i="2"/>
  <c r="J142" i="2"/>
  <c r="I71" i="2"/>
  <c r="K32" i="2"/>
  <c r="A32" i="2" s="1"/>
  <c r="L54" i="2"/>
  <c r="J118" i="2"/>
  <c r="I124" i="2"/>
  <c r="J40" i="2"/>
  <c r="K127" i="2"/>
  <c r="A127" i="2" s="1"/>
  <c r="K33" i="2"/>
  <c r="I158" i="2"/>
  <c r="L108" i="2"/>
  <c r="J115" i="2"/>
  <c r="I93" i="2"/>
  <c r="I69" i="2"/>
  <c r="J161" i="2"/>
  <c r="I63" i="2"/>
  <c r="K36" i="2"/>
  <c r="J131" i="2"/>
  <c r="K87" i="2"/>
  <c r="A87" i="2" s="1"/>
  <c r="I68" i="2"/>
  <c r="I44" i="2"/>
  <c r="L127" i="2"/>
  <c r="I82" i="2"/>
  <c r="L158" i="2"/>
  <c r="I31" i="2"/>
  <c r="K89" i="2"/>
  <c r="I114" i="2"/>
  <c r="J52" i="2"/>
  <c r="K85" i="2"/>
  <c r="J104" i="2"/>
  <c r="K132" i="2"/>
  <c r="K40" i="2"/>
  <c r="K39" i="2"/>
  <c r="J103" i="2"/>
  <c r="I59" i="2"/>
  <c r="J94" i="2"/>
  <c r="L164" i="7"/>
  <c r="L165" i="7" s="1"/>
  <c r="L166" i="7" s="1"/>
  <c r="L167" i="7" s="1"/>
  <c r="L168" i="7" s="1"/>
  <c r="L169" i="7" s="1"/>
  <c r="L170" i="7" s="1"/>
  <c r="L171" i="7" s="1"/>
  <c r="L172" i="7" s="1"/>
  <c r="L173" i="7" s="1"/>
  <c r="L174" i="7" s="1"/>
  <c r="L175" i="7" s="1"/>
  <c r="L176" i="7" s="1"/>
  <c r="L177" i="7" s="1"/>
  <c r="L178" i="7" s="1"/>
  <c r="L179" i="7" s="1"/>
  <c r="L180" i="7" s="1"/>
  <c r="L181" i="7" s="1"/>
  <c r="L182" i="7" s="1"/>
  <c r="L183" i="7" s="1"/>
  <c r="L184" i="7" s="1"/>
  <c r="L185" i="7" s="1"/>
  <c r="L186" i="7" s="1"/>
  <c r="L187" i="7" s="1"/>
  <c r="L188" i="7" s="1"/>
  <c r="L189" i="7" s="1"/>
  <c r="L190" i="7" s="1"/>
  <c r="L191" i="7" s="1"/>
  <c r="L192" i="7" s="1"/>
  <c r="L193" i="7" s="1"/>
  <c r="L194" i="7" s="1"/>
  <c r="L195" i="7" s="1"/>
  <c r="L196" i="7" s="1"/>
  <c r="L197" i="7" s="1"/>
  <c r="L198" i="7" s="1"/>
  <c r="L199" i="7" s="1"/>
  <c r="L200" i="7" s="1"/>
  <c r="L201" i="7" s="1"/>
  <c r="L202" i="7" s="1"/>
  <c r="L203" i="7" s="1"/>
  <c r="L204" i="7" s="1"/>
  <c r="L205" i="7" s="1"/>
  <c r="L206" i="7" s="1"/>
  <c r="L207" i="7" s="1"/>
  <c r="L208" i="7" s="1"/>
  <c r="L209" i="7" s="1"/>
  <c r="L210" i="7" s="1"/>
  <c r="L211" i="7" s="1"/>
  <c r="L212" i="7" s="1"/>
  <c r="L213" i="7" s="1"/>
  <c r="V36" i="7" a="1"/>
  <c r="V36" i="7" s="1"/>
  <c r="B34" i="8" s="1"/>
  <c r="Y117" i="7" a="1"/>
  <c r="Y117" i="7" s="1"/>
  <c r="T104" i="7" a="1"/>
  <c r="T104" i="7" s="1"/>
  <c r="G102" i="8" s="1"/>
  <c r="Y120" i="7" a="1"/>
  <c r="Y120" i="7" s="1"/>
  <c r="U86" i="7" a="1"/>
  <c r="U86" i="7" s="1"/>
  <c r="A84" i="8" s="1"/>
  <c r="K84" i="8" s="1"/>
  <c r="U124" i="7" a="1"/>
  <c r="U124" i="7" s="1"/>
  <c r="A122" i="8" s="1"/>
  <c r="K122" i="8" s="1"/>
  <c r="T43" i="7" a="1"/>
  <c r="T43" i="7" s="1"/>
  <c r="G41" i="8" s="1"/>
  <c r="U141" i="7" a="1"/>
  <c r="U141" i="7" s="1"/>
  <c r="A139" i="8" s="1"/>
  <c r="K139" i="8" s="1"/>
  <c r="U213" i="7" a="1"/>
  <c r="U213" i="7" s="1"/>
  <c r="A211" i="8" s="1"/>
  <c r="K211" i="8" s="1"/>
  <c r="V97" i="7" a="1"/>
  <c r="V97" i="7" s="1"/>
  <c r="B95" i="8" s="1"/>
  <c r="W68" i="7" a="1"/>
  <c r="W68" i="7" s="1"/>
  <c r="Y101" i="7" a="1"/>
  <c r="Y101" i="7" s="1"/>
  <c r="U144" i="7" a="1"/>
  <c r="U144" i="7" s="1"/>
  <c r="A142" i="8" s="1"/>
  <c r="K142" i="8" s="1"/>
  <c r="Y72" i="7" a="1"/>
  <c r="Y72" i="7" s="1"/>
  <c r="W200" i="7" a="1"/>
  <c r="W200" i="7" s="1"/>
  <c r="T178" i="7" a="1"/>
  <c r="T178" i="7" s="1"/>
  <c r="G176" i="8" s="1"/>
  <c r="Y118" i="7" a="1"/>
  <c r="Y118" i="7" s="1"/>
  <c r="U158" i="7" a="1"/>
  <c r="U158" i="7" s="1"/>
  <c r="A156" i="8" s="1"/>
  <c r="K156" i="8" s="1"/>
  <c r="V35" i="7" a="1"/>
  <c r="V35" i="7" s="1"/>
  <c r="B33" i="8" s="1"/>
  <c r="V178" i="7" a="1"/>
  <c r="V178" i="7" s="1"/>
  <c r="B176" i="8" s="1"/>
  <c r="V137" i="7" a="1"/>
  <c r="V137" i="7" s="1"/>
  <c r="B135" i="8" s="1"/>
  <c r="U137" i="7" a="1"/>
  <c r="U137" i="7" s="1"/>
  <c r="A135" i="8" s="1"/>
  <c r="K135" i="8" s="1"/>
  <c r="Y34" i="7" a="1"/>
  <c r="Y34" i="7" s="1"/>
  <c r="W205" i="7" a="1"/>
  <c r="W205" i="7" s="1"/>
  <c r="T44" i="7" a="1"/>
  <c r="T44" i="7" s="1"/>
  <c r="G42" i="8" s="1"/>
  <c r="U106" i="7" a="1"/>
  <c r="U106" i="7" s="1"/>
  <c r="A104" i="8" s="1"/>
  <c r="K104" i="8" s="1"/>
  <c r="Y177" i="7" a="1"/>
  <c r="Y177" i="7" s="1"/>
  <c r="T99" i="7" a="1"/>
  <c r="T99" i="7" s="1"/>
  <c r="G97" i="8" s="1"/>
  <c r="V157" i="7" a="1"/>
  <c r="V157" i="7" s="1"/>
  <c r="B155" i="8" s="1"/>
  <c r="U95" i="7" a="1"/>
  <c r="U95" i="7" s="1"/>
  <c r="A93" i="8" s="1"/>
  <c r="K93" i="8" s="1"/>
  <c r="T79" i="7" a="1"/>
  <c r="T79" i="7" s="1"/>
  <c r="G77" i="8" s="1"/>
  <c r="V103" i="7" a="1"/>
  <c r="V103" i="7" s="1"/>
  <c r="B101" i="8" s="1"/>
  <c r="T95" i="7" a="1"/>
  <c r="T95" i="7" s="1"/>
  <c r="G93" i="8" s="1"/>
  <c r="V59" i="7" a="1"/>
  <c r="V59" i="7" s="1"/>
  <c r="B57" i="8" s="1"/>
  <c r="T199" i="7" a="1"/>
  <c r="T199" i="7" s="1"/>
  <c r="G197" i="8" s="1"/>
  <c r="T110" i="7" a="1"/>
  <c r="T110" i="7" s="1"/>
  <c r="G108" i="8" s="1"/>
  <c r="T213" i="7" a="1"/>
  <c r="T213" i="7" s="1"/>
  <c r="G211" i="8" s="1"/>
  <c r="W199" i="7" a="1"/>
  <c r="W199" i="7" s="1"/>
  <c r="Y166" i="7" a="1"/>
  <c r="Y166" i="7" s="1"/>
  <c r="U94" i="7" a="1"/>
  <c r="U94" i="7" s="1"/>
  <c r="A92" i="8" s="1"/>
  <c r="K92" i="8" s="1"/>
  <c r="W19" i="7" a="1"/>
  <c r="W19" i="7" s="1"/>
  <c r="Y185" i="7" a="1"/>
  <c r="Y185" i="7" s="1"/>
  <c r="V30" i="7" a="1"/>
  <c r="V30" i="7" s="1"/>
  <c r="B28" i="8" s="1"/>
  <c r="W39" i="7" a="1"/>
  <c r="W39" i="7" s="1"/>
  <c r="V193" i="7" a="1"/>
  <c r="V193" i="7" s="1"/>
  <c r="B191" i="8" s="1"/>
  <c r="T35" i="7" a="1"/>
  <c r="T35" i="7" s="1"/>
  <c r="G33" i="8" s="1"/>
  <c r="W134" i="7" a="1"/>
  <c r="W134" i="7" s="1"/>
  <c r="Y183" i="7" a="1"/>
  <c r="Y183" i="7" s="1"/>
  <c r="W30" i="7" a="1"/>
  <c r="W30" i="7" s="1"/>
  <c r="Y76" i="7" a="1"/>
  <c r="Y76" i="7" s="1"/>
  <c r="V139" i="7" a="1"/>
  <c r="V139" i="7" s="1"/>
  <c r="B137" i="8" s="1"/>
  <c r="W143" i="7" a="1"/>
  <c r="W143" i="7" s="1"/>
  <c r="T162" i="7" a="1"/>
  <c r="T162" i="7" s="1"/>
  <c r="G160" i="8" s="1"/>
  <c r="W157" i="7" a="1"/>
  <c r="W157" i="7" s="1"/>
  <c r="T160" i="7" a="1"/>
  <c r="T160" i="7" s="1"/>
  <c r="G158" i="8" s="1"/>
  <c r="V71" i="7" a="1"/>
  <c r="V71" i="7" s="1"/>
  <c r="B69" i="8" s="1"/>
  <c r="Y86" i="7" a="1"/>
  <c r="Y86" i="7" s="1"/>
  <c r="W81" i="7" a="1"/>
  <c r="W81" i="7" s="1"/>
  <c r="T156" i="7" a="1"/>
  <c r="T156" i="7" s="1"/>
  <c r="G154" i="8" s="1"/>
  <c r="V176" i="7" a="1"/>
  <c r="V176" i="7" s="1"/>
  <c r="B174" i="8" s="1"/>
  <c r="U39" i="7" a="1"/>
  <c r="U39" i="7" s="1"/>
  <c r="A37" i="8" s="1"/>
  <c r="T83" i="7" a="1"/>
  <c r="T83" i="7" s="1"/>
  <c r="G81" i="8" s="1"/>
  <c r="T138" i="7" a="1"/>
  <c r="T138" i="7" s="1"/>
  <c r="G136" i="8" s="1"/>
  <c r="U58" i="7" a="1"/>
  <c r="U58" i="7" s="1"/>
  <c r="A56" i="8" s="1"/>
  <c r="W176" i="7" a="1"/>
  <c r="W176" i="7" s="1"/>
  <c r="W46" i="7" a="1"/>
  <c r="W46" i="7" s="1"/>
  <c r="T98" i="7" a="1"/>
  <c r="T98" i="7" s="1"/>
  <c r="G96" i="8" s="1"/>
  <c r="T159" i="7" a="1"/>
  <c r="T159" i="7" s="1"/>
  <c r="G157" i="8" s="1"/>
  <c r="V146" i="7" a="1"/>
  <c r="V146" i="7" s="1"/>
  <c r="B144" i="8" s="1"/>
  <c r="U16" i="7" a="1"/>
  <c r="U16" i="7" s="1"/>
  <c r="A14" i="8" s="1"/>
  <c r="V34" i="7" a="1"/>
  <c r="V34" i="7" s="1"/>
  <c r="B32" i="8" s="1"/>
  <c r="T137" i="7" a="1"/>
  <c r="T137" i="7" s="1"/>
  <c r="G135" i="8" s="1"/>
  <c r="V213" i="7" a="1"/>
  <c r="V213" i="7" s="1"/>
  <c r="B211" i="8" s="1"/>
  <c r="T102" i="7" a="1"/>
  <c r="T102" i="7" s="1"/>
  <c r="G100" i="8" s="1"/>
  <c r="W43" i="7" a="1"/>
  <c r="W43" i="7" s="1"/>
  <c r="U142" i="7" a="1"/>
  <c r="U142" i="7" s="1"/>
  <c r="A140" i="8" s="1"/>
  <c r="K140" i="8" s="1"/>
  <c r="L140" i="8" s="1"/>
  <c r="M140" i="8" s="1"/>
  <c r="W127" i="7" a="1"/>
  <c r="W127" i="7" s="1"/>
  <c r="U20" i="7" a="1"/>
  <c r="U20" i="7" s="1"/>
  <c r="A18" i="8" s="1"/>
  <c r="Y58" i="7" a="1"/>
  <c r="Y58" i="7" s="1"/>
  <c r="Y37" i="7" a="1"/>
  <c r="Y37" i="7" s="1"/>
  <c r="W48" i="7" a="1"/>
  <c r="W48" i="7" s="1"/>
  <c r="W44" i="7" a="1"/>
  <c r="W44" i="7" s="1"/>
  <c r="Y147" i="7" a="1"/>
  <c r="Y147" i="7" s="1"/>
  <c r="W91" i="7" a="1"/>
  <c r="W91" i="7" s="1"/>
  <c r="Y60" i="7" a="1"/>
  <c r="Y60" i="7" s="1"/>
  <c r="W84" i="7" a="1"/>
  <c r="W84" i="7" s="1"/>
  <c r="W173" i="7" a="1"/>
  <c r="W173" i="7" s="1"/>
  <c r="T107" i="7" a="1"/>
  <c r="T107" i="7" s="1"/>
  <c r="G105" i="8" s="1"/>
  <c r="V142" i="7" a="1"/>
  <c r="V142" i="7" s="1"/>
  <c r="B140" i="8" s="1"/>
  <c r="V53" i="7" a="1"/>
  <c r="V53" i="7" s="1"/>
  <c r="B51" i="8" s="1"/>
  <c r="W62" i="7" a="1"/>
  <c r="W62" i="7" s="1"/>
  <c r="W92" i="7" a="1"/>
  <c r="W92" i="7" s="1"/>
  <c r="V141" i="7" a="1"/>
  <c r="V141" i="7" s="1"/>
  <c r="B139" i="8" s="1"/>
  <c r="U162" i="7" a="1"/>
  <c r="U162" i="7" s="1"/>
  <c r="A160" i="8" s="1"/>
  <c r="K160" i="8" s="1"/>
  <c r="V104" i="7" a="1"/>
  <c r="V104" i="7" s="1"/>
  <c r="B102" i="8" s="1"/>
  <c r="Y150" i="7" a="1"/>
  <c r="Y150" i="7" s="1"/>
  <c r="W83" i="7" a="1"/>
  <c r="W83" i="7" s="1"/>
  <c r="Y173" i="7" a="1"/>
  <c r="Y173" i="7" s="1"/>
  <c r="Y127" i="7" a="1"/>
  <c r="Y127" i="7" s="1"/>
  <c r="U98" i="7" a="1"/>
  <c r="U98" i="7" s="1"/>
  <c r="A96" i="8" s="1"/>
  <c r="K96" i="8" s="1"/>
  <c r="V190" i="7" a="1"/>
  <c r="V190" i="7" s="1"/>
  <c r="B188" i="8" s="1"/>
  <c r="W42" i="7" a="1"/>
  <c r="W42" i="7" s="1"/>
  <c r="Y165" i="7" a="1"/>
  <c r="Y165" i="7" s="1"/>
  <c r="V209" i="7" a="1"/>
  <c r="V209" i="7" s="1"/>
  <c r="B207" i="8" s="1"/>
  <c r="U82" i="7" a="1"/>
  <c r="U82" i="7" s="1"/>
  <c r="A80" i="8" s="1"/>
  <c r="K80" i="8" s="1"/>
  <c r="Y184" i="7" a="1"/>
  <c r="Y184" i="7" s="1"/>
  <c r="U199" i="7" a="1"/>
  <c r="U199" i="7" s="1"/>
  <c r="A197" i="8" s="1"/>
  <c r="K197" i="8" s="1"/>
  <c r="Y68" i="7" a="1"/>
  <c r="Y68" i="7" s="1"/>
  <c r="Y87" i="7" a="1"/>
  <c r="Y87" i="7" s="1"/>
  <c r="V58" i="7" a="1"/>
  <c r="V58" i="7" s="1"/>
  <c r="B56" i="8" s="1"/>
  <c r="T176" i="7" a="1"/>
  <c r="T176" i="7" s="1"/>
  <c r="G174" i="8" s="1"/>
  <c r="U59" i="7" a="1"/>
  <c r="U59" i="7" s="1"/>
  <c r="A57" i="8" s="1"/>
  <c r="U119" i="7" a="1"/>
  <c r="U119" i="7" s="1"/>
  <c r="A117" i="8" s="1"/>
  <c r="K117" i="8" s="1"/>
  <c r="U92" i="7" a="1"/>
  <c r="U92" i="7" s="1"/>
  <c r="A90" i="8" s="1"/>
  <c r="K90" i="8" s="1"/>
  <c r="Y196" i="7" a="1"/>
  <c r="Y196" i="7" s="1"/>
  <c r="V210" i="7" a="1"/>
  <c r="V210" i="7" s="1"/>
  <c r="B208" i="8" s="1"/>
  <c r="U69" i="7" a="1"/>
  <c r="U69" i="7" s="1"/>
  <c r="A67" i="8" s="1"/>
  <c r="K67" i="8" s="1"/>
  <c r="T41" i="7" a="1"/>
  <c r="T41" i="7" s="1"/>
  <c r="G39" i="8" s="1"/>
  <c r="T173" i="7" a="1"/>
  <c r="T173" i="7" s="1"/>
  <c r="G171" i="8" s="1"/>
  <c r="U183" i="7" a="1"/>
  <c r="U183" i="7" s="1"/>
  <c r="A181" i="8" s="1"/>
  <c r="K181" i="8" s="1"/>
  <c r="Y145" i="7" a="1"/>
  <c r="Y145" i="7" s="1"/>
  <c r="U194" i="7" a="1"/>
  <c r="U194" i="7" s="1"/>
  <c r="A192" i="8" s="1"/>
  <c r="K192" i="8" s="1"/>
  <c r="Y46" i="7" a="1"/>
  <c r="Y46" i="7" s="1"/>
  <c r="Y96" i="7" a="1"/>
  <c r="Y96" i="7" s="1"/>
  <c r="V106" i="7" a="1"/>
  <c r="V106" i="7" s="1"/>
  <c r="B104" i="8" s="1"/>
  <c r="U118" i="7" a="1"/>
  <c r="U118" i="7" s="1"/>
  <c r="A116" i="8" s="1"/>
  <c r="K116" i="8" s="1"/>
  <c r="U211" i="7" a="1"/>
  <c r="U211" i="7" s="1"/>
  <c r="A209" i="8" s="1"/>
  <c r="K209" i="8" s="1"/>
  <c r="V133" i="7" a="1"/>
  <c r="V133" i="7" s="1"/>
  <c r="B131" i="8" s="1"/>
  <c r="Y111" i="7" a="1"/>
  <c r="Y111" i="7" s="1"/>
  <c r="Y163" i="7" a="1"/>
  <c r="Y163" i="7" s="1"/>
  <c r="U49" i="7" a="1"/>
  <c r="U49" i="7" s="1"/>
  <c r="A47" i="8" s="1"/>
  <c r="U122" i="7" a="1"/>
  <c r="U122" i="7" s="1"/>
  <c r="A120" i="8" s="1"/>
  <c r="K120" i="8" s="1"/>
  <c r="Y85" i="7" a="1"/>
  <c r="Y85" i="7" s="1"/>
  <c r="W196" i="7" a="1"/>
  <c r="W196" i="7" s="1"/>
  <c r="T177" i="7" a="1"/>
  <c r="T177" i="7" s="1"/>
  <c r="G175" i="8" s="1"/>
  <c r="Y138" i="7" a="1"/>
  <c r="Y138" i="7" s="1"/>
  <c r="W55" i="7" a="1"/>
  <c r="W55" i="7" s="1"/>
  <c r="U176" i="7" a="1"/>
  <c r="U176" i="7" s="1"/>
  <c r="A174" i="8" s="1"/>
  <c r="K174" i="8" s="1"/>
  <c r="T129" i="7" a="1"/>
  <c r="T129" i="7" s="1"/>
  <c r="G127" i="8" s="1"/>
  <c r="W159" i="7" a="1"/>
  <c r="W159" i="7" s="1"/>
  <c r="U178" i="7" a="1"/>
  <c r="U178" i="7" s="1"/>
  <c r="A176" i="8" s="1"/>
  <c r="K176" i="8" s="1"/>
  <c r="U105" i="7" a="1"/>
  <c r="U105" i="7" s="1"/>
  <c r="A103" i="8" s="1"/>
  <c r="K103" i="8" s="1"/>
  <c r="T24" i="7" a="1"/>
  <c r="T24" i="7" s="1"/>
  <c r="G22" i="8" s="1"/>
  <c r="Y109" i="7" a="1"/>
  <c r="Y109" i="7" s="1"/>
  <c r="W146" i="7" a="1"/>
  <c r="W146" i="7" s="1"/>
  <c r="T27" i="7" a="1"/>
  <c r="T27" i="7" s="1"/>
  <c r="G25" i="8" s="1"/>
  <c r="Y45" i="7" a="1"/>
  <c r="Y45" i="7" s="1"/>
  <c r="U79" i="7" a="1"/>
  <c r="U79" i="7" s="1"/>
  <c r="A77" i="8" s="1"/>
  <c r="K77" i="8" s="1"/>
  <c r="T19" i="7" a="1"/>
  <c r="T19" i="7" s="1"/>
  <c r="G17" i="8" s="1"/>
  <c r="V195" i="7" a="1"/>
  <c r="V195" i="7" s="1"/>
  <c r="B193" i="8" s="1"/>
  <c r="W193" i="7" a="1"/>
  <c r="W193" i="7" s="1"/>
  <c r="U54" i="7" a="1"/>
  <c r="U54" i="7" s="1"/>
  <c r="A52" i="8" s="1"/>
  <c r="Y208" i="7" a="1"/>
  <c r="Y208" i="7" s="1"/>
  <c r="V174" i="7" a="1"/>
  <c r="V174" i="7" s="1"/>
  <c r="B172" i="8" s="1"/>
  <c r="W113" i="7" a="1"/>
  <c r="W113" i="7" s="1"/>
  <c r="V83" i="7" a="1"/>
  <c r="V83" i="7" s="1"/>
  <c r="B81" i="8" s="1"/>
  <c r="Y114" i="7" a="1"/>
  <c r="Y114" i="7" s="1"/>
  <c r="V118" i="7" a="1"/>
  <c r="V118" i="7" s="1"/>
  <c r="B116" i="8" s="1"/>
  <c r="Y141" i="7" a="1"/>
  <c r="Y141" i="7" s="1"/>
  <c r="U198" i="7" a="1"/>
  <c r="U198" i="7" s="1"/>
  <c r="A196" i="8" s="1"/>
  <c r="K196" i="8" s="1"/>
  <c r="W211" i="7" a="1"/>
  <c r="W211" i="7" s="1"/>
  <c r="U170" i="7" a="1"/>
  <c r="U170" i="7" s="1"/>
  <c r="A168" i="8" s="1"/>
  <c r="K168" i="8" s="1"/>
  <c r="V166" i="7" a="1"/>
  <c r="V166" i="7" s="1"/>
  <c r="B164" i="8" s="1"/>
  <c r="V127" i="7" a="1"/>
  <c r="V127" i="7" s="1"/>
  <c r="B125" i="8" s="1"/>
  <c r="U45" i="7" a="1"/>
  <c r="U45" i="7" s="1"/>
  <c r="A43" i="8" s="1"/>
  <c r="Y167" i="7" a="1"/>
  <c r="Y167" i="7" s="1"/>
  <c r="T144" i="7" a="1"/>
  <c r="T144" i="7" s="1"/>
  <c r="G142" i="8" s="1"/>
  <c r="U125" i="7" a="1"/>
  <c r="U125" i="7" s="1"/>
  <c r="A123" i="8" s="1"/>
  <c r="K123" i="8" s="1"/>
  <c r="T196" i="7" a="1"/>
  <c r="T196" i="7" s="1"/>
  <c r="G194" i="8" s="1"/>
  <c r="W186" i="7" a="1"/>
  <c r="W186" i="7" s="1"/>
  <c r="W156" i="7" a="1"/>
  <c r="W156" i="7" s="1"/>
  <c r="T184" i="7" a="1"/>
  <c r="T184" i="7" s="1"/>
  <c r="G182" i="8" s="1"/>
  <c r="V129" i="7" a="1"/>
  <c r="V129" i="7" s="1"/>
  <c r="B127" i="8" s="1"/>
  <c r="U15" i="7" a="1"/>
  <c r="U15" i="7" s="1"/>
  <c r="A13" i="8" s="1"/>
  <c r="V207" i="7" a="1"/>
  <c r="V207" i="7" s="1"/>
  <c r="B205" i="8" s="1"/>
  <c r="W194" i="7" a="1"/>
  <c r="W194" i="7" s="1"/>
  <c r="W15" i="7" a="1"/>
  <c r="W15" i="7" s="1"/>
  <c r="W209" i="7" a="1"/>
  <c r="W209" i="7" s="1"/>
  <c r="Y178" i="7" a="1"/>
  <c r="Y178" i="7" s="1"/>
  <c r="U155" i="7" a="1"/>
  <c r="U155" i="7" s="1"/>
  <c r="A153" i="8" s="1"/>
  <c r="K153" i="8" s="1"/>
  <c r="U120" i="7" a="1"/>
  <c r="U120" i="7" s="1"/>
  <c r="A118" i="8" s="1"/>
  <c r="K118" i="8" s="1"/>
  <c r="L118" i="8" s="1"/>
  <c r="M118" i="8" s="1"/>
  <c r="T180" i="7" a="1"/>
  <c r="T180" i="7" s="1"/>
  <c r="G178" i="8" s="1"/>
  <c r="U74" i="7" a="1"/>
  <c r="U74" i="7" s="1"/>
  <c r="A72" i="8" s="1"/>
  <c r="K72" i="8" s="1"/>
  <c r="V143" i="7" a="1"/>
  <c r="V143" i="7" s="1"/>
  <c r="B141" i="8" s="1"/>
  <c r="V108" i="7" a="1"/>
  <c r="V108" i="7" s="1"/>
  <c r="B106" i="8" s="1"/>
  <c r="W20" i="7" a="1"/>
  <c r="W20" i="7" s="1"/>
  <c r="Y174" i="7" a="1"/>
  <c r="Y174" i="7" s="1"/>
  <c r="U84" i="7" a="1"/>
  <c r="U84" i="7" s="1"/>
  <c r="A82" i="8" s="1"/>
  <c r="K82" i="8" s="1"/>
  <c r="Y192" i="7" a="1"/>
  <c r="Y192" i="7" s="1"/>
  <c r="U81" i="7" a="1"/>
  <c r="U81" i="7" s="1"/>
  <c r="A79" i="8" s="1"/>
  <c r="K79" i="8" s="1"/>
  <c r="V73" i="7" a="1"/>
  <c r="V73" i="7" s="1"/>
  <c r="B71" i="8" s="1"/>
  <c r="V196" i="7" a="1"/>
  <c r="V196" i="7" s="1"/>
  <c r="B194" i="8" s="1"/>
  <c r="W86" i="7" a="1"/>
  <c r="W86" i="7" s="1"/>
  <c r="V86" i="7" a="1"/>
  <c r="V86" i="7" s="1"/>
  <c r="B84" i="8" s="1"/>
  <c r="T38" i="7" a="1"/>
  <c r="T38" i="7" s="1"/>
  <c r="G36" i="8" s="1"/>
  <c r="W54" i="7" a="1"/>
  <c r="W54" i="7" s="1"/>
  <c r="W94" i="7" a="1"/>
  <c r="W94" i="7" s="1"/>
  <c r="T187" i="7" a="1"/>
  <c r="T187" i="7" s="1"/>
  <c r="G185" i="8" s="1"/>
  <c r="U19" i="7" a="1"/>
  <c r="U19" i="7" s="1"/>
  <c r="A17" i="8" s="1"/>
  <c r="Y170" i="7" a="1"/>
  <c r="Y170" i="7" s="1"/>
  <c r="U159" i="7" a="1"/>
  <c r="U159" i="7" s="1"/>
  <c r="A157" i="8" s="1"/>
  <c r="K157" i="8" s="1"/>
  <c r="U161" i="7" a="1"/>
  <c r="U161" i="7" s="1"/>
  <c r="A159" i="8" s="1"/>
  <c r="K159" i="8" s="1"/>
  <c r="T96" i="7" a="1"/>
  <c r="T96" i="7" s="1"/>
  <c r="G94" i="8" s="1"/>
  <c r="V62" i="7" a="1"/>
  <c r="V62" i="7" s="1"/>
  <c r="B60" i="8" s="1"/>
  <c r="T198" i="7" a="1"/>
  <c r="T198" i="7" s="1"/>
  <c r="G196" i="8" s="1"/>
  <c r="Y18" i="7" a="1"/>
  <c r="Y18" i="7" s="1"/>
  <c r="V145" i="7" a="1"/>
  <c r="V145" i="7" s="1"/>
  <c r="B143" i="8" s="1"/>
  <c r="U90" i="7" a="1"/>
  <c r="U90" i="7" s="1"/>
  <c r="A88" i="8" s="1"/>
  <c r="K88" i="8" s="1"/>
  <c r="V122" i="7" a="1"/>
  <c r="V122" i="7" s="1"/>
  <c r="B120" i="8" s="1"/>
  <c r="T131" i="7" a="1"/>
  <c r="T131" i="7" s="1"/>
  <c r="G129" i="8" s="1"/>
  <c r="T101" i="7" a="1"/>
  <c r="T101" i="7" s="1"/>
  <c r="G99" i="8" s="1"/>
  <c r="W32" i="7" a="1"/>
  <c r="W32" i="7" s="1"/>
  <c r="T51" i="7" a="1"/>
  <c r="T51" i="7" s="1"/>
  <c r="G49" i="8" s="1"/>
  <c r="T76" i="7" a="1"/>
  <c r="T76" i="7" s="1"/>
  <c r="G74" i="8" s="1"/>
  <c r="U102" i="7" a="1"/>
  <c r="U102" i="7" s="1"/>
  <c r="A100" i="8" s="1"/>
  <c r="K100" i="8" s="1"/>
  <c r="W97" i="7" a="1"/>
  <c r="W97" i="7" s="1"/>
  <c r="V175" i="7" a="1"/>
  <c r="V175" i="7" s="1"/>
  <c r="B173" i="8" s="1"/>
  <c r="Y133" i="7" a="1"/>
  <c r="Y133" i="7" s="1"/>
  <c r="T150" i="7" a="1"/>
  <c r="T150" i="7" s="1"/>
  <c r="G148" i="8" s="1"/>
  <c r="V110" i="7" a="1"/>
  <c r="V110" i="7" s="1"/>
  <c r="B108" i="8" s="1"/>
  <c r="Y125" i="7" a="1"/>
  <c r="Y125" i="7" s="1"/>
  <c r="W128" i="7" a="1"/>
  <c r="W128" i="7" s="1"/>
  <c r="W208" i="7" a="1"/>
  <c r="W208" i="7" s="1"/>
  <c r="W189" i="7" a="1"/>
  <c r="W189" i="7" s="1"/>
  <c r="T86" i="7" a="1"/>
  <c r="T86" i="7" s="1"/>
  <c r="G84" i="8" s="1"/>
  <c r="U21" i="7" a="1"/>
  <c r="U21" i="7" s="1"/>
  <c r="A19" i="8" s="1"/>
  <c r="Y97" i="7" a="1"/>
  <c r="Y97" i="7" s="1"/>
  <c r="U99" i="7" a="1"/>
  <c r="U99" i="7" s="1"/>
  <c r="A97" i="8" s="1"/>
  <c r="K97" i="8" s="1"/>
  <c r="L97" i="8" s="1"/>
  <c r="M97" i="8" s="1"/>
  <c r="W132" i="7" a="1"/>
  <c r="W132" i="7" s="1"/>
  <c r="T37" i="7" a="1"/>
  <c r="T37" i="7" s="1"/>
  <c r="G35" i="8" s="1"/>
  <c r="U56" i="7" a="1"/>
  <c r="U56" i="7" s="1"/>
  <c r="A54" i="8" s="1"/>
  <c r="Y52" i="7" a="1"/>
  <c r="Y52" i="7" s="1"/>
  <c r="T183" i="7" a="1"/>
  <c r="T183" i="7" s="1"/>
  <c r="G181" i="8" s="1"/>
  <c r="T115" i="7" a="1"/>
  <c r="T115" i="7" s="1"/>
  <c r="G113" i="8" s="1"/>
  <c r="U88" i="7" a="1"/>
  <c r="U88" i="7" s="1"/>
  <c r="A86" i="8" s="1"/>
  <c r="K86" i="8" s="1"/>
  <c r="Y67" i="7" a="1"/>
  <c r="Y67" i="7" s="1"/>
  <c r="U53" i="7" a="1"/>
  <c r="U53" i="7" s="1"/>
  <c r="A51" i="8" s="1"/>
  <c r="U87" i="7" a="1"/>
  <c r="U87" i="7" s="1"/>
  <c r="A85" i="8" s="1"/>
  <c r="K85" i="8" s="1"/>
  <c r="Y149" i="7" a="1"/>
  <c r="Y149" i="7" s="1"/>
  <c r="Y62" i="7" a="1"/>
  <c r="Y62" i="7" s="1"/>
  <c r="W57" i="7" a="1"/>
  <c r="W57" i="7" s="1"/>
  <c r="V147" i="7" a="1"/>
  <c r="V147" i="7" s="1"/>
  <c r="B145" i="8" s="1"/>
  <c r="Y65" i="7" a="1"/>
  <c r="Y65" i="7" s="1"/>
  <c r="W133" i="7" a="1"/>
  <c r="W133" i="7" s="1"/>
  <c r="T145" i="7" a="1"/>
  <c r="T145" i="7" s="1"/>
  <c r="G143" i="8" s="1"/>
  <c r="U47" i="7" a="1"/>
  <c r="U47" i="7" s="1"/>
  <c r="A45" i="8" s="1"/>
  <c r="V185" i="7" a="1"/>
  <c r="V185" i="7" s="1"/>
  <c r="B183" i="8" s="1"/>
  <c r="T108" i="7" a="1"/>
  <c r="T108" i="7" s="1"/>
  <c r="G106" i="8" s="1"/>
  <c r="W162" i="7" a="1"/>
  <c r="W162" i="7" s="1"/>
  <c r="U97" i="7" a="1"/>
  <c r="U97" i="7" s="1"/>
  <c r="A95" i="8" s="1"/>
  <c r="K95" i="8" s="1"/>
  <c r="W38" i="7" a="1"/>
  <c r="W38" i="7" s="1"/>
  <c r="U85" i="7" a="1"/>
  <c r="U85" i="7" s="1"/>
  <c r="A83" i="8" s="1"/>
  <c r="K83" i="8" s="1"/>
  <c r="L83" i="8" s="1"/>
  <c r="M83" i="8" s="1"/>
  <c r="T205" i="7" a="1"/>
  <c r="T205" i="7" s="1"/>
  <c r="G203" i="8" s="1"/>
  <c r="V208" i="7" a="1"/>
  <c r="V208" i="7" s="1"/>
  <c r="B206" i="8" s="1"/>
  <c r="Y140" i="7" a="1"/>
  <c r="Y140" i="7" s="1"/>
  <c r="T40" i="7" a="1"/>
  <c r="T40" i="7" s="1"/>
  <c r="G38" i="8" s="1"/>
  <c r="W210" i="7" a="1"/>
  <c r="W210" i="7" s="1"/>
  <c r="U157" i="7" a="1"/>
  <c r="U157" i="7" s="1"/>
  <c r="A155" i="8" s="1"/>
  <c r="K155" i="8" s="1"/>
  <c r="W141" i="7" a="1"/>
  <c r="W141" i="7" s="1"/>
  <c r="T195" i="7" a="1"/>
  <c r="T195" i="7" s="1"/>
  <c r="G193" i="8" s="1"/>
  <c r="W14" i="7" a="1"/>
  <c r="W14" i="7" s="1"/>
  <c r="V179" i="7" a="1"/>
  <c r="V179" i="7" s="1"/>
  <c r="B177" i="8" s="1"/>
  <c r="Y123" i="7" a="1"/>
  <c r="Y123" i="7" s="1"/>
  <c r="U212" i="7" a="1"/>
  <c r="U212" i="7" s="1"/>
  <c r="A210" i="8" s="1"/>
  <c r="K210" i="8" s="1"/>
  <c r="V205" i="7" a="1"/>
  <c r="V205" i="7" s="1"/>
  <c r="B203" i="8" s="1"/>
  <c r="V92" i="7" a="1"/>
  <c r="V92" i="7" s="1"/>
  <c r="B90" i="8" s="1"/>
  <c r="T69" i="7" a="1"/>
  <c r="T69" i="7" s="1"/>
  <c r="G67" i="8" s="1"/>
  <c r="Y116" i="7" a="1"/>
  <c r="Y116" i="7" s="1"/>
  <c r="Y50" i="7" a="1"/>
  <c r="Y50" i="7" s="1"/>
  <c r="Y22" i="7" a="1"/>
  <c r="Y22" i="7" s="1"/>
  <c r="W166" i="7" a="1"/>
  <c r="W166" i="7" s="1"/>
  <c r="T36" i="7" a="1"/>
  <c r="T36" i="7" s="1"/>
  <c r="G34" i="8" s="1"/>
  <c r="W131" i="7" a="1"/>
  <c r="W131" i="7" s="1"/>
  <c r="T153" i="7" a="1"/>
  <c r="T153" i="7" s="1"/>
  <c r="G151" i="8" s="1"/>
  <c r="W172" i="7" a="1"/>
  <c r="W172" i="7" s="1"/>
  <c r="Y30" i="7" a="1"/>
  <c r="Y30" i="7" s="1"/>
  <c r="W158" i="7" a="1"/>
  <c r="W158" i="7" s="1"/>
  <c r="V170" i="7" a="1"/>
  <c r="V170" i="7" s="1"/>
  <c r="B168" i="8" s="1"/>
  <c r="T149" i="7" a="1"/>
  <c r="T149" i="7" s="1"/>
  <c r="G147" i="8" s="1"/>
  <c r="V153" i="7" a="1"/>
  <c r="V153" i="7" s="1"/>
  <c r="B151" i="8" s="1"/>
  <c r="W96" i="7" a="1"/>
  <c r="W96" i="7" s="1"/>
  <c r="T32" i="7" a="1"/>
  <c r="T32" i="7" s="1"/>
  <c r="G30" i="8" s="1"/>
  <c r="V183" i="7" a="1"/>
  <c r="V183" i="7" s="1"/>
  <c r="B181" i="8" s="1"/>
  <c r="W36" i="7" a="1"/>
  <c r="W36" i="7" s="1"/>
  <c r="U43" i="7" a="1"/>
  <c r="U43" i="7" s="1"/>
  <c r="A41" i="8" s="1"/>
  <c r="V28" i="7" a="1"/>
  <c r="V28" i="7" s="1"/>
  <c r="B26" i="8" s="1"/>
  <c r="T71" i="7" a="1"/>
  <c r="T71" i="7" s="1"/>
  <c r="G69" i="8" s="1"/>
  <c r="V125" i="7" a="1"/>
  <c r="V125" i="7" s="1"/>
  <c r="B123" i="8" s="1"/>
  <c r="W40" i="7" a="1"/>
  <c r="W40" i="7" s="1"/>
  <c r="W80" i="7" a="1"/>
  <c r="W80" i="7" s="1"/>
  <c r="W170" i="7" a="1"/>
  <c r="W170" i="7" s="1"/>
  <c r="U14" i="7" a="1"/>
  <c r="U14" i="7" s="1"/>
  <c r="A12" i="8" s="1"/>
  <c r="V151" i="7" a="1"/>
  <c r="V151" i="7" s="1"/>
  <c r="B149" i="8" s="1"/>
  <c r="U195" i="7" a="1"/>
  <c r="U195" i="7" s="1"/>
  <c r="A193" i="8" s="1"/>
  <c r="K193" i="8" s="1"/>
  <c r="L193" i="8" s="1"/>
  <c r="M193" i="8" s="1"/>
  <c r="V158" i="7" a="1"/>
  <c r="V158" i="7" s="1"/>
  <c r="B156" i="8" s="1"/>
  <c r="W195" i="7" a="1"/>
  <c r="W195" i="7" s="1"/>
  <c r="U27" i="7" a="1"/>
  <c r="U27" i="7" s="1"/>
  <c r="A25" i="8" s="1"/>
  <c r="Y20" i="7" a="1"/>
  <c r="Y20" i="7" s="1"/>
  <c r="V85" i="7" a="1"/>
  <c r="V85" i="7" s="1"/>
  <c r="B83" i="8" s="1"/>
  <c r="T188" i="7" a="1"/>
  <c r="T188" i="7" s="1"/>
  <c r="G186" i="8" s="1"/>
  <c r="W122" i="7" a="1"/>
  <c r="W122" i="7" s="1"/>
  <c r="U152" i="7" a="1"/>
  <c r="U152" i="7" s="1"/>
  <c r="A150" i="8" s="1"/>
  <c r="K150" i="8" s="1"/>
  <c r="U205" i="7" a="1"/>
  <c r="U205" i="7" s="1"/>
  <c r="A203" i="8" s="1"/>
  <c r="K203" i="8" s="1"/>
  <c r="W207" i="7" a="1"/>
  <c r="W207" i="7" s="1"/>
  <c r="V120" i="7" a="1"/>
  <c r="V120" i="7" s="1"/>
  <c r="B118" i="8" s="1"/>
  <c r="Y29" i="7" a="1"/>
  <c r="Y29" i="7" s="1"/>
  <c r="V95" i="7" a="1"/>
  <c r="V95" i="7" s="1"/>
  <c r="B93" i="8" s="1"/>
  <c r="Y63" i="7" a="1"/>
  <c r="Y63" i="7" s="1"/>
  <c r="V114" i="7" a="1"/>
  <c r="V114" i="7" s="1"/>
  <c r="B112" i="8" s="1"/>
  <c r="T42" i="7" a="1"/>
  <c r="T42" i="7" s="1"/>
  <c r="G40" i="8" s="1"/>
  <c r="W188" i="7" a="1"/>
  <c r="W188" i="7" s="1"/>
  <c r="W191" i="7" a="1"/>
  <c r="W191" i="7" s="1"/>
  <c r="V154" i="7" a="1"/>
  <c r="V154" i="7" s="1"/>
  <c r="B152" i="8" s="1"/>
  <c r="V107" i="7" a="1"/>
  <c r="V107" i="7" s="1"/>
  <c r="B105" i="8" s="1"/>
  <c r="W63" i="7" a="1"/>
  <c r="W63" i="7" s="1"/>
  <c r="T97" i="7" a="1"/>
  <c r="T97" i="7" s="1"/>
  <c r="G95" i="8" s="1"/>
  <c r="U40" i="7" a="1"/>
  <c r="U40" i="7" s="1"/>
  <c r="A38" i="8" s="1"/>
  <c r="V87" i="7" a="1"/>
  <c r="V87" i="7" s="1"/>
  <c r="B85" i="8" s="1"/>
  <c r="U189" i="7" a="1"/>
  <c r="U189" i="7" s="1"/>
  <c r="A187" i="8" s="1"/>
  <c r="K187" i="8" s="1"/>
  <c r="V155" i="7" a="1"/>
  <c r="V155" i="7" s="1"/>
  <c r="B153" i="8" s="1"/>
  <c r="T170" i="7" a="1"/>
  <c r="T170" i="7" s="1"/>
  <c r="G168" i="8" s="1"/>
  <c r="V57" i="7" a="1"/>
  <c r="V57" i="7" s="1"/>
  <c r="B55" i="8" s="1"/>
  <c r="Y39" i="7" a="1"/>
  <c r="Y39" i="7" s="1"/>
  <c r="W17" i="7" a="1"/>
  <c r="W17" i="7" s="1"/>
  <c r="W49" i="7" a="1"/>
  <c r="W49" i="7" s="1"/>
  <c r="U93" i="7" a="1"/>
  <c r="U93" i="7" s="1"/>
  <c r="A91" i="8" s="1"/>
  <c r="K91" i="8" s="1"/>
  <c r="L91" i="8" s="1"/>
  <c r="M91" i="8" s="1"/>
  <c r="V54" i="7" a="1"/>
  <c r="V54" i="7" s="1"/>
  <c r="B52" i="8" s="1"/>
  <c r="Y108" i="7" a="1"/>
  <c r="Y108" i="7" s="1"/>
  <c r="Y187" i="7" a="1"/>
  <c r="Y187" i="7" s="1"/>
  <c r="U104" i="7" a="1"/>
  <c r="U104" i="7" s="1"/>
  <c r="A102" i="8" s="1"/>
  <c r="K102" i="8" s="1"/>
  <c r="T197" i="7" a="1"/>
  <c r="T197" i="7" s="1"/>
  <c r="G195" i="8" s="1"/>
  <c r="T53" i="7" a="1"/>
  <c r="T53" i="7" s="1"/>
  <c r="G51" i="8" s="1"/>
  <c r="Y41" i="7" a="1"/>
  <c r="Y41" i="7" s="1"/>
  <c r="Y83" i="7" a="1"/>
  <c r="Y83" i="7" s="1"/>
  <c r="Y207" i="7" a="1"/>
  <c r="Y207" i="7" s="1"/>
  <c r="W137" i="7" a="1"/>
  <c r="W137" i="7" s="1"/>
  <c r="U25" i="7" a="1"/>
  <c r="U25" i="7" s="1"/>
  <c r="A23" i="8" s="1"/>
  <c r="V168" i="7" a="1"/>
  <c r="V168" i="7" s="1"/>
  <c r="B166" i="8" s="1"/>
  <c r="T15" i="7" a="1"/>
  <c r="T15" i="7" s="1"/>
  <c r="G13" i="8" s="1"/>
  <c r="W22" i="7" a="1"/>
  <c r="W22" i="7" s="1"/>
  <c r="U91" i="7" a="1"/>
  <c r="U91" i="7" s="1"/>
  <c r="A89" i="8" s="1"/>
  <c r="K89" i="8" s="1"/>
  <c r="L89" i="8" s="1"/>
  <c r="M89" i="8" s="1"/>
  <c r="U139" i="7" a="1"/>
  <c r="U139" i="7" s="1"/>
  <c r="A137" i="8" s="1"/>
  <c r="K137" i="8" s="1"/>
  <c r="U34" i="7" a="1"/>
  <c r="U34" i="7" s="1"/>
  <c r="A32" i="8" s="1"/>
  <c r="V94" i="7" a="1"/>
  <c r="V94" i="7" s="1"/>
  <c r="B92" i="8" s="1"/>
  <c r="Y152" i="7" a="1"/>
  <c r="Y152" i="7" s="1"/>
  <c r="T62" i="7" a="1"/>
  <c r="T62" i="7" s="1"/>
  <c r="G60" i="8" s="1"/>
  <c r="U96" i="7" a="1"/>
  <c r="U96" i="7" s="1"/>
  <c r="A94" i="8" s="1"/>
  <c r="K94" i="8" s="1"/>
  <c r="V204" i="7" a="1"/>
  <c r="V204" i="7" s="1"/>
  <c r="B202" i="8" s="1"/>
  <c r="V202" i="7" a="1"/>
  <c r="V202" i="7" s="1"/>
  <c r="B200" i="8" s="1"/>
  <c r="U191" i="7" a="1"/>
  <c r="U191" i="7" s="1"/>
  <c r="A189" i="8" s="1"/>
  <c r="K189" i="8" s="1"/>
  <c r="Y200" i="7" a="1"/>
  <c r="Y200" i="7" s="1"/>
  <c r="U180" i="7" a="1"/>
  <c r="U180" i="7" s="1"/>
  <c r="A178" i="8" s="1"/>
  <c r="K178" i="8" s="1"/>
  <c r="Y162" i="7" a="1"/>
  <c r="Y162" i="7" s="1"/>
  <c r="U66" i="7" a="1"/>
  <c r="U66" i="7" s="1"/>
  <c r="A64" i="8" s="1"/>
  <c r="W74" i="7" a="1"/>
  <c r="W74" i="7" s="1"/>
  <c r="Y28" i="7" a="1"/>
  <c r="Y28" i="7" s="1"/>
  <c r="Y98" i="7" a="1"/>
  <c r="Y98" i="7" s="1"/>
  <c r="U48" i="7" a="1"/>
  <c r="U48" i="7" s="1"/>
  <c r="A46" i="8" s="1"/>
  <c r="T204" i="7" a="1"/>
  <c r="T204" i="7" s="1"/>
  <c r="G202" i="8" s="1"/>
  <c r="T161" i="7" a="1"/>
  <c r="T161" i="7" s="1"/>
  <c r="G159" i="8" s="1"/>
  <c r="Y199" i="7" a="1"/>
  <c r="Y199" i="7" s="1"/>
  <c r="Y115" i="7" a="1"/>
  <c r="Y115" i="7" s="1"/>
  <c r="U63" i="7" a="1"/>
  <c r="U63" i="7" s="1"/>
  <c r="A61" i="8" s="1"/>
  <c r="W119" i="7" a="1"/>
  <c r="W119" i="7" s="1"/>
  <c r="W165" i="7" a="1"/>
  <c r="W165" i="7" s="1"/>
  <c r="U72" i="7" a="1"/>
  <c r="U72" i="7" s="1"/>
  <c r="A70" i="8" s="1"/>
  <c r="K70" i="8" s="1"/>
  <c r="U143" i="7" a="1"/>
  <c r="U143" i="7" s="1"/>
  <c r="A141" i="8" s="1"/>
  <c r="K141" i="8" s="1"/>
  <c r="L141" i="8" s="1"/>
  <c r="M141" i="8" s="1"/>
  <c r="W183" i="7" a="1"/>
  <c r="W183" i="7" s="1"/>
  <c r="U55" i="7" a="1"/>
  <c r="U55" i="7" s="1"/>
  <c r="A53" i="8" s="1"/>
  <c r="T208" i="7" a="1"/>
  <c r="T208" i="7" s="1"/>
  <c r="G206" i="8" s="1"/>
  <c r="U33" i="7" a="1"/>
  <c r="U33" i="7" s="1"/>
  <c r="A31" i="8" s="1"/>
  <c r="T78" i="7" a="1"/>
  <c r="T78" i="7" s="1"/>
  <c r="G76" i="8" s="1"/>
  <c r="V99" i="7" a="1"/>
  <c r="V99" i="7" s="1"/>
  <c r="B97" i="8" s="1"/>
  <c r="T30" i="7" a="1"/>
  <c r="T30" i="7" s="1"/>
  <c r="G28" i="8" s="1"/>
  <c r="W114" i="7" a="1"/>
  <c r="W114" i="7" s="1"/>
  <c r="U89" i="7" a="1"/>
  <c r="U89" i="7" s="1"/>
  <c r="A87" i="8" s="1"/>
  <c r="K87" i="8" s="1"/>
  <c r="V77" i="7" a="1"/>
  <c r="V77" i="7" s="1"/>
  <c r="B75" i="8" s="1"/>
  <c r="Y23" i="7" a="1"/>
  <c r="Y23" i="7" s="1"/>
  <c r="T135" i="7" a="1"/>
  <c r="T135" i="7" s="1"/>
  <c r="G133" i="8" s="1"/>
  <c r="V192" i="7" a="1"/>
  <c r="V192" i="7" s="1"/>
  <c r="B190" i="8" s="1"/>
  <c r="Y80" i="7" a="1"/>
  <c r="Y80" i="7" s="1"/>
  <c r="Y71" i="7" a="1"/>
  <c r="Y71" i="7" s="1"/>
  <c r="W149" i="7" a="1"/>
  <c r="W149" i="7" s="1"/>
  <c r="V98" i="7" a="1"/>
  <c r="V98" i="7" s="1"/>
  <c r="B96" i="8" s="1"/>
  <c r="U182" i="7" a="1"/>
  <c r="U182" i="7" s="1"/>
  <c r="A180" i="8" s="1"/>
  <c r="K180" i="8" s="1"/>
  <c r="V124" i="7" a="1"/>
  <c r="V124" i="7" s="1"/>
  <c r="B122" i="8" s="1"/>
  <c r="T91" i="7" a="1"/>
  <c r="T91" i="7" s="1"/>
  <c r="G89" i="8" s="1"/>
  <c r="T46" i="7" a="1"/>
  <c r="T46" i="7" s="1"/>
  <c r="G44" i="8" s="1"/>
  <c r="V165" i="7" a="1"/>
  <c r="V165" i="7" s="1"/>
  <c r="B163" i="8" s="1"/>
  <c r="U23" i="7" a="1"/>
  <c r="U23" i="7" s="1"/>
  <c r="A21" i="8" s="1"/>
  <c r="V115" i="7" a="1"/>
  <c r="V115" i="7" s="1"/>
  <c r="B113" i="8" s="1"/>
  <c r="V200" i="7" a="1"/>
  <c r="V200" i="7" s="1"/>
  <c r="B198" i="8" s="1"/>
  <c r="W45" i="7" a="1"/>
  <c r="W45" i="7" s="1"/>
  <c r="V31" i="7" a="1"/>
  <c r="V31" i="7" s="1"/>
  <c r="B29" i="8" s="1"/>
  <c r="Y59" i="7" a="1"/>
  <c r="Y59" i="7" s="1"/>
  <c r="U146" i="7" a="1"/>
  <c r="U146" i="7" s="1"/>
  <c r="A144" i="8" s="1"/>
  <c r="K144" i="8" s="1"/>
  <c r="V76" i="7" a="1"/>
  <c r="V76" i="7" s="1"/>
  <c r="B74" i="8" s="1"/>
  <c r="V121" i="7" a="1"/>
  <c r="V121" i="7" s="1"/>
  <c r="B119" i="8" s="1"/>
  <c r="Y159" i="7" a="1"/>
  <c r="Y159" i="7" s="1"/>
  <c r="V65" i="7" a="1"/>
  <c r="V65" i="7" s="1"/>
  <c r="B63" i="8" s="1"/>
  <c r="Y14" i="7" a="1"/>
  <c r="Y14" i="7" s="1"/>
  <c r="U41" i="7" a="1"/>
  <c r="U41" i="7" s="1"/>
  <c r="A39" i="8" s="1"/>
  <c r="W31" i="7" a="1"/>
  <c r="W31" i="7" s="1"/>
  <c r="U61" i="7" a="1"/>
  <c r="U61" i="7" s="1"/>
  <c r="A59" i="8" s="1"/>
  <c r="W198" i="7" a="1"/>
  <c r="W198" i="7" s="1"/>
  <c r="W99" i="7" a="1"/>
  <c r="W99" i="7" s="1"/>
  <c r="W151" i="7" a="1"/>
  <c r="W151" i="7" s="1"/>
  <c r="W124" i="7" a="1"/>
  <c r="W124" i="7" s="1"/>
  <c r="V112" i="7" a="1"/>
  <c r="V112" i="7" s="1"/>
  <c r="B110" i="8" s="1"/>
  <c r="W25" i="7" a="1"/>
  <c r="W25" i="7" s="1"/>
  <c r="T74" i="7" a="1"/>
  <c r="T74" i="7" s="1"/>
  <c r="G72" i="8" s="1"/>
  <c r="V23" i="7" a="1"/>
  <c r="V23" i="7" s="1"/>
  <c r="B21" i="8" s="1"/>
  <c r="T26" i="7" a="1"/>
  <c r="T26" i="7" s="1"/>
  <c r="G24" i="8" s="1"/>
  <c r="W79" i="7" a="1"/>
  <c r="W79" i="7" s="1"/>
  <c r="T14" i="7" a="1"/>
  <c r="T14" i="7" s="1"/>
  <c r="G12" i="8" s="1"/>
  <c r="V169" i="7" a="1"/>
  <c r="V169" i="7" s="1"/>
  <c r="B167" i="8" s="1"/>
  <c r="U83" i="7" a="1"/>
  <c r="U83" i="7" s="1"/>
  <c r="A81" i="8" s="1"/>
  <c r="K81" i="8" s="1"/>
  <c r="L81" i="8" s="1"/>
  <c r="M81" i="8" s="1"/>
  <c r="W70" i="7" a="1"/>
  <c r="W70" i="7" s="1"/>
  <c r="W33" i="7" a="1"/>
  <c r="W33" i="7" s="1"/>
  <c r="W184" i="7" a="1"/>
  <c r="W184" i="7" s="1"/>
  <c r="W28" i="7" a="1"/>
  <c r="W28" i="7" s="1"/>
  <c r="U65" i="7" a="1"/>
  <c r="U65" i="7" s="1"/>
  <c r="A63" i="8" s="1"/>
  <c r="T39" i="7" a="1"/>
  <c r="T39" i="7" s="1"/>
  <c r="G37" i="8" s="1"/>
  <c r="T157" i="7" a="1"/>
  <c r="T157" i="7" s="1"/>
  <c r="G155" i="8" s="1"/>
  <c r="W144" i="7" a="1"/>
  <c r="W144" i="7" s="1"/>
  <c r="V82" i="7" a="1"/>
  <c r="V82" i="7" s="1"/>
  <c r="B80" i="8" s="1"/>
  <c r="V88" i="7" a="1"/>
  <c r="V88" i="7" s="1"/>
  <c r="B86" i="8" s="1"/>
  <c r="T72" i="7" a="1"/>
  <c r="T72" i="7" s="1"/>
  <c r="G70" i="8" s="1"/>
  <c r="V164" i="7" a="1"/>
  <c r="V164" i="7" s="1"/>
  <c r="B162" i="8" s="1"/>
  <c r="W130" i="7" a="1"/>
  <c r="W130" i="7" s="1"/>
  <c r="W150" i="7" a="1"/>
  <c r="W150" i="7" s="1"/>
  <c r="V80" i="7" a="1"/>
  <c r="V80" i="7" s="1"/>
  <c r="B78" i="8" s="1"/>
  <c r="U196" i="7" a="1"/>
  <c r="U196" i="7" s="1"/>
  <c r="A194" i="8" s="1"/>
  <c r="K194" i="8" s="1"/>
  <c r="Y49" i="7" a="1"/>
  <c r="Y49" i="7" s="1"/>
  <c r="U112" i="7" a="1"/>
  <c r="U112" i="7" s="1"/>
  <c r="A110" i="8" s="1"/>
  <c r="K110" i="8" s="1"/>
  <c r="V150" i="7" a="1"/>
  <c r="V150" i="7" s="1"/>
  <c r="B148" i="8" s="1"/>
  <c r="Y176" i="7" a="1"/>
  <c r="Y176" i="7" s="1"/>
  <c r="W213" i="7" a="1"/>
  <c r="W213" i="7" s="1"/>
  <c r="V63" i="7" a="1"/>
  <c r="V63" i="7" s="1"/>
  <c r="B61" i="8" s="1"/>
  <c r="T179" i="7" a="1"/>
  <c r="T179" i="7" s="1"/>
  <c r="G177" i="8" s="1"/>
  <c r="V116" i="7" a="1"/>
  <c r="V116" i="7" s="1"/>
  <c r="B114" i="8" s="1"/>
  <c r="T92" i="7" a="1"/>
  <c r="T92" i="7" s="1"/>
  <c r="G90" i="8" s="1"/>
  <c r="U156" i="7" a="1"/>
  <c r="U156" i="7" s="1"/>
  <c r="A154" i="8" s="1"/>
  <c r="K154" i="8" s="1"/>
  <c r="L154" i="8" s="1"/>
  <c r="M154" i="8" s="1"/>
  <c r="T16" i="7" a="1"/>
  <c r="T16" i="7" s="1"/>
  <c r="G14" i="8" s="1"/>
  <c r="V51" i="7" a="1"/>
  <c r="V51" i="7" s="1"/>
  <c r="B49" i="8" s="1"/>
  <c r="Y81" i="7" a="1"/>
  <c r="Y81" i="7" s="1"/>
  <c r="V134" i="7" a="1"/>
  <c r="V134" i="7" s="1"/>
  <c r="B132" i="8" s="1"/>
  <c r="U44" i="7" a="1"/>
  <c r="U44" i="7" s="1"/>
  <c r="A42" i="8" s="1"/>
  <c r="U67" i="7" a="1"/>
  <c r="U67" i="7" s="1"/>
  <c r="A65" i="8" s="1"/>
  <c r="U202" i="7" a="1"/>
  <c r="U202" i="7" s="1"/>
  <c r="A200" i="8" s="1"/>
  <c r="K200" i="8" s="1"/>
  <c r="V109" i="7" a="1"/>
  <c r="V109" i="7" s="1"/>
  <c r="B107" i="8" s="1"/>
  <c r="Y135" i="7" a="1"/>
  <c r="Y135" i="7" s="1"/>
  <c r="Y205" i="7" a="1"/>
  <c r="Y205" i="7" s="1"/>
  <c r="Y151" i="7" a="1"/>
  <c r="Y151" i="7" s="1"/>
  <c r="T82" i="7" a="1"/>
  <c r="T82" i="7" s="1"/>
  <c r="G80" i="8" s="1"/>
  <c r="U153" i="7" a="1"/>
  <c r="U153" i="7" s="1"/>
  <c r="A151" i="8" s="1"/>
  <c r="K151" i="8" s="1"/>
  <c r="T211" i="7" a="1"/>
  <c r="T211" i="7" s="1"/>
  <c r="G209" i="8" s="1"/>
  <c r="U201" i="7" a="1"/>
  <c r="U201" i="7" s="1"/>
  <c r="A199" i="8" s="1"/>
  <c r="K199" i="8" s="1"/>
  <c r="V152" i="7" a="1"/>
  <c r="V152" i="7" s="1"/>
  <c r="B150" i="8" s="1"/>
  <c r="V162" i="7" a="1"/>
  <c r="V162" i="7" s="1"/>
  <c r="B160" i="8" s="1"/>
  <c r="T152" i="7" a="1"/>
  <c r="T152" i="7" s="1"/>
  <c r="G150" i="8" s="1"/>
  <c r="U75" i="7" a="1"/>
  <c r="U75" i="7" s="1"/>
  <c r="A73" i="8" s="1"/>
  <c r="K73" i="8" s="1"/>
  <c r="W87" i="7" a="1"/>
  <c r="W87" i="7" s="1"/>
  <c r="T87" i="7" a="1"/>
  <c r="T87" i="7" s="1"/>
  <c r="G85" i="8" s="1"/>
  <c r="T210" i="7" a="1"/>
  <c r="T210" i="7" s="1"/>
  <c r="G208" i="8" s="1"/>
  <c r="T181" i="7" a="1"/>
  <c r="T181" i="7" s="1"/>
  <c r="G179" i="8" s="1"/>
  <c r="U68" i="7" a="1"/>
  <c r="U68" i="7" s="1"/>
  <c r="A66" i="8" s="1"/>
  <c r="K66" i="8" s="1"/>
  <c r="U208" i="7" a="1"/>
  <c r="U208" i="7" s="1"/>
  <c r="A206" i="8" s="1"/>
  <c r="K206" i="8" s="1"/>
  <c r="W72" i="7" a="1"/>
  <c r="W72" i="7" s="1"/>
  <c r="V206" i="7" a="1"/>
  <c r="V206" i="7" s="1"/>
  <c r="B204" i="8" s="1"/>
  <c r="W148" i="7" a="1"/>
  <c r="W148" i="7" s="1"/>
  <c r="Y77" i="7" a="1"/>
  <c r="Y77" i="7" s="1"/>
  <c r="Y56" i="7" a="1"/>
  <c r="Y56" i="7" s="1"/>
  <c r="W26" i="7" a="1"/>
  <c r="W26" i="7" s="1"/>
  <c r="W160" i="7" a="1"/>
  <c r="W160" i="7" s="1"/>
  <c r="W129" i="7" a="1"/>
  <c r="W129" i="7" s="1"/>
  <c r="U148" i="7" a="1"/>
  <c r="U148" i="7" s="1"/>
  <c r="A146" i="8" s="1"/>
  <c r="K146" i="8" s="1"/>
  <c r="T59" i="7" a="1"/>
  <c r="T59" i="7" s="1"/>
  <c r="G57" i="8" s="1"/>
  <c r="T158" i="7" a="1"/>
  <c r="T158" i="7" s="1"/>
  <c r="G156" i="8" s="1"/>
  <c r="W69" i="7" a="1"/>
  <c r="W69" i="7" s="1"/>
  <c r="U38" i="7" a="1"/>
  <c r="U38" i="7" s="1"/>
  <c r="A36" i="8" s="1"/>
  <c r="T84" i="7" a="1"/>
  <c r="T84" i="7" s="1"/>
  <c r="G82" i="8" s="1"/>
  <c r="U193" i="7" a="1"/>
  <c r="U193" i="7" s="1"/>
  <c r="A191" i="8" s="1"/>
  <c r="K191" i="8" s="1"/>
  <c r="U145" i="7" a="1"/>
  <c r="U145" i="7" s="1"/>
  <c r="A143" i="8" s="1"/>
  <c r="K143" i="8" s="1"/>
  <c r="U127" i="7" a="1"/>
  <c r="U127" i="7" s="1"/>
  <c r="A125" i="8" s="1"/>
  <c r="K125" i="8" s="1"/>
  <c r="Y31" i="7" a="1"/>
  <c r="Y31" i="7" s="1"/>
  <c r="V25" i="7" a="1"/>
  <c r="V25" i="7" s="1"/>
  <c r="B23" i="8" s="1"/>
  <c r="V198" i="7" a="1"/>
  <c r="V198" i="7" s="1"/>
  <c r="B196" i="8" s="1"/>
  <c r="V81" i="7" a="1"/>
  <c r="V81" i="7" s="1"/>
  <c r="B79" i="8" s="1"/>
  <c r="U22" i="7" a="1"/>
  <c r="U22" i="7" s="1"/>
  <c r="A20" i="8" s="1"/>
  <c r="V91" i="7" a="1"/>
  <c r="V91" i="7" s="1"/>
  <c r="B89" i="8" s="1"/>
  <c r="V182" i="7" a="1"/>
  <c r="V182" i="7" s="1"/>
  <c r="B180" i="8" s="1"/>
  <c r="Y53" i="7" a="1"/>
  <c r="Y53" i="7" s="1"/>
  <c r="W27" i="7" a="1"/>
  <c r="W27" i="7" s="1"/>
  <c r="T127" i="7" a="1"/>
  <c r="T127" i="7" s="1"/>
  <c r="G125" i="8" s="1"/>
  <c r="U134" i="7" a="1"/>
  <c r="U134" i="7" s="1"/>
  <c r="A132" i="8" s="1"/>
  <c r="K132" i="8" s="1"/>
  <c r="W95" i="7" a="1"/>
  <c r="W95" i="7" s="1"/>
  <c r="W67" i="7" a="1"/>
  <c r="W67" i="7" s="1"/>
  <c r="W53" i="7" a="1"/>
  <c r="W53" i="7" s="1"/>
  <c r="V61" i="7" a="1"/>
  <c r="V61" i="7" s="1"/>
  <c r="B59" i="8" s="1"/>
  <c r="Y186" i="7" a="1"/>
  <c r="Y186" i="7" s="1"/>
  <c r="V26" i="7" a="1"/>
  <c r="V26" i="7" s="1"/>
  <c r="B24" i="8" s="1"/>
  <c r="T123" i="7" a="1"/>
  <c r="T123" i="7" s="1"/>
  <c r="G121" i="8" s="1"/>
  <c r="T29" i="7" a="1"/>
  <c r="T29" i="7" s="1"/>
  <c r="G27" i="8" s="1"/>
  <c r="T65" i="7" a="1"/>
  <c r="T65" i="7" s="1"/>
  <c r="G63" i="8" s="1"/>
  <c r="U171" i="7" a="1"/>
  <c r="U171" i="7" s="1"/>
  <c r="A169" i="8" s="1"/>
  <c r="K169" i="8" s="1"/>
  <c r="L169" i="8" s="1"/>
  <c r="M169" i="8" s="1"/>
  <c r="U133" i="7" a="1"/>
  <c r="U133" i="7" s="1"/>
  <c r="A131" i="8" s="1"/>
  <c r="K131" i="8" s="1"/>
  <c r="Y211" i="7" a="1"/>
  <c r="Y211" i="7" s="1"/>
  <c r="T100" i="7" a="1"/>
  <c r="T100" i="7" s="1"/>
  <c r="G98" i="8" s="1"/>
  <c r="V60" i="7" a="1"/>
  <c r="V60" i="7" s="1"/>
  <c r="B58" i="8" s="1"/>
  <c r="T142" i="7" a="1"/>
  <c r="T142" i="7" s="1"/>
  <c r="G140" i="8" s="1"/>
  <c r="U154" i="7" a="1"/>
  <c r="U154" i="7" s="1"/>
  <c r="A152" i="8" s="1"/>
  <c r="K152" i="8" s="1"/>
  <c r="L152" i="8" s="1"/>
  <c r="M152" i="8" s="1"/>
  <c r="W65" i="7" a="1"/>
  <c r="W65" i="7" s="1"/>
  <c r="T63" i="7" a="1"/>
  <c r="T63" i="7" s="1"/>
  <c r="G61" i="8" s="1"/>
  <c r="W197" i="7" a="1"/>
  <c r="W197" i="7" s="1"/>
  <c r="W117" i="7" a="1"/>
  <c r="W117" i="7" s="1"/>
  <c r="U117" i="7" a="1"/>
  <c r="U117" i="7" s="1"/>
  <c r="A115" i="8" s="1"/>
  <c r="K115" i="8" s="1"/>
  <c r="W116" i="7" a="1"/>
  <c r="W116" i="7" s="1"/>
  <c r="T186" i="7" a="1"/>
  <c r="T186" i="7" s="1"/>
  <c r="G184" i="8" s="1"/>
  <c r="U121" i="7" a="1"/>
  <c r="U121" i="7" s="1"/>
  <c r="A119" i="8" s="1"/>
  <c r="K119" i="8" s="1"/>
  <c r="V191" i="7" a="1"/>
  <c r="V191" i="7" s="1"/>
  <c r="B189" i="8" s="1"/>
  <c r="V148" i="7" a="1"/>
  <c r="V148" i="7" s="1"/>
  <c r="B146" i="8" s="1"/>
  <c r="Y121" i="7" a="1"/>
  <c r="Y121" i="7" s="1"/>
  <c r="U115" i="7" a="1"/>
  <c r="U115" i="7" s="1"/>
  <c r="A113" i="8" s="1"/>
  <c r="K113" i="8" s="1"/>
  <c r="U128" i="7" a="1"/>
  <c r="U128" i="7" s="1"/>
  <c r="A126" i="8" s="1"/>
  <c r="K126" i="8" s="1"/>
  <c r="L126" i="8" s="1"/>
  <c r="M126" i="8" s="1"/>
  <c r="W121" i="7" a="1"/>
  <c r="W121" i="7" s="1"/>
  <c r="W174" i="7" a="1"/>
  <c r="W174" i="7" s="1"/>
  <c r="V197" i="7" a="1"/>
  <c r="V197" i="7" s="1"/>
  <c r="B195" i="8" s="1"/>
  <c r="T106" i="7" a="1"/>
  <c r="T106" i="7" s="1"/>
  <c r="G104" i="8" s="1"/>
  <c r="V68" i="7" a="1"/>
  <c r="V68" i="7" s="1"/>
  <c r="B66" i="8" s="1"/>
  <c r="W64" i="7" a="1"/>
  <c r="W64" i="7" s="1"/>
  <c r="V78" i="7" a="1"/>
  <c r="V78" i="7" s="1"/>
  <c r="B76" i="8" s="1"/>
  <c r="W108" i="7" a="1"/>
  <c r="W108" i="7" s="1"/>
  <c r="V181" i="7" a="1"/>
  <c r="V181" i="7" s="1"/>
  <c r="B179" i="8" s="1"/>
  <c r="V32" i="7" a="1"/>
  <c r="V32" i="7" s="1"/>
  <c r="B30" i="8" s="1"/>
  <c r="Y113" i="7" a="1"/>
  <c r="Y113" i="7" s="1"/>
  <c r="W35" i="7" a="1"/>
  <c r="W35" i="7" s="1"/>
  <c r="Y188" i="7" a="1"/>
  <c r="Y188" i="7" s="1"/>
  <c r="V21" i="7" a="1"/>
  <c r="V21" i="7" s="1"/>
  <c r="B19" i="8" s="1"/>
  <c r="T73" i="7" a="1"/>
  <c r="T73" i="7" s="1"/>
  <c r="G71" i="8" s="1"/>
  <c r="V101" i="7" a="1"/>
  <c r="V101" i="7" s="1"/>
  <c r="B99" i="8" s="1"/>
  <c r="U197" i="7" a="1"/>
  <c r="U197" i="7" s="1"/>
  <c r="A195" i="8" s="1"/>
  <c r="K195" i="8" s="1"/>
  <c r="T25" i="7" a="1"/>
  <c r="T25" i="7" s="1"/>
  <c r="G23" i="8" s="1"/>
  <c r="W106" i="7" a="1"/>
  <c r="W106" i="7" s="1"/>
  <c r="Y91" i="7" a="1"/>
  <c r="Y91" i="7" s="1"/>
  <c r="T154" i="7" a="1"/>
  <c r="T154" i="7" s="1"/>
  <c r="G152" i="8" s="1"/>
  <c r="W163" i="7" a="1"/>
  <c r="W163" i="7" s="1"/>
  <c r="Y99" i="7" a="1"/>
  <c r="Y99" i="7" s="1"/>
  <c r="W50" i="7" a="1"/>
  <c r="W50" i="7" s="1"/>
  <c r="T119" i="7" a="1"/>
  <c r="T119" i="7" s="1"/>
  <c r="G117" i="8" s="1"/>
  <c r="W61" i="7" a="1"/>
  <c r="W61" i="7" s="1"/>
  <c r="U166" i="7" a="1"/>
  <c r="U166" i="7" s="1"/>
  <c r="A164" i="8" s="1"/>
  <c r="K164" i="8" s="1"/>
  <c r="T182" i="7" a="1"/>
  <c r="T182" i="7" s="1"/>
  <c r="G180" i="8" s="1"/>
  <c r="V17" i="7" a="1"/>
  <c r="V17" i="7" s="1"/>
  <c r="B15" i="8" s="1"/>
  <c r="U164" i="7" a="1"/>
  <c r="U164" i="7" s="1"/>
  <c r="A162" i="8" s="1"/>
  <c r="K162" i="8" s="1"/>
  <c r="U46" i="7" a="1"/>
  <c r="U46" i="7" s="1"/>
  <c r="A44" i="8" s="1"/>
  <c r="V136" i="7" a="1"/>
  <c r="V136" i="7" s="1"/>
  <c r="B134" i="8" s="1"/>
  <c r="U160" i="7" a="1"/>
  <c r="U160" i="7" s="1"/>
  <c r="A158" i="8" s="1"/>
  <c r="K158" i="8" s="1"/>
  <c r="Y157" i="7" a="1"/>
  <c r="Y157" i="7" s="1"/>
  <c r="T192" i="7" a="1"/>
  <c r="T192" i="7" s="1"/>
  <c r="G190" i="8" s="1"/>
  <c r="V132" i="7" a="1"/>
  <c r="V132" i="7" s="1"/>
  <c r="B130" i="8" s="1"/>
  <c r="V149" i="7" a="1"/>
  <c r="V149" i="7" s="1"/>
  <c r="B147" i="8" s="1"/>
  <c r="V128" i="7" a="1"/>
  <c r="V128" i="7" s="1"/>
  <c r="B126" i="8" s="1"/>
  <c r="Y105" i="7" a="1"/>
  <c r="Y105" i="7" s="1"/>
  <c r="V42" i="7" a="1"/>
  <c r="V42" i="7" s="1"/>
  <c r="B40" i="8" s="1"/>
  <c r="Y204" i="7" a="1"/>
  <c r="Y204" i="7" s="1"/>
  <c r="V67" i="7" a="1"/>
  <c r="V67" i="7" s="1"/>
  <c r="B65" i="8" s="1"/>
  <c r="U175" i="7" a="1"/>
  <c r="U175" i="7" s="1"/>
  <c r="A173" i="8" s="1"/>
  <c r="K173" i="8" s="1"/>
  <c r="W56" i="7" a="1"/>
  <c r="W56" i="7" s="1"/>
  <c r="U18" i="7" a="1"/>
  <c r="U18" i="7" s="1"/>
  <c r="A16" i="8" s="1"/>
  <c r="Y179" i="7" a="1"/>
  <c r="Y179" i="7" s="1"/>
  <c r="T77" i="7" a="1"/>
  <c r="T77" i="7" s="1"/>
  <c r="G75" i="8" s="1"/>
  <c r="U73" i="7" a="1"/>
  <c r="U73" i="7" s="1"/>
  <c r="A71" i="8" s="1"/>
  <c r="K71" i="8" s="1"/>
  <c r="W34" i="7" a="1"/>
  <c r="W34" i="7" s="1"/>
  <c r="Y209" i="7" a="1"/>
  <c r="Y209" i="7" s="1"/>
  <c r="T148" i="7" a="1"/>
  <c r="T148" i="7" s="1"/>
  <c r="G146" i="8" s="1"/>
  <c r="V70" i="7" a="1"/>
  <c r="V70" i="7" s="1"/>
  <c r="B68" i="8" s="1"/>
  <c r="Y142" i="7" a="1"/>
  <c r="Y142" i="7" s="1"/>
  <c r="U80" i="7" a="1"/>
  <c r="U80" i="7" s="1"/>
  <c r="A78" i="8" s="1"/>
  <c r="K78" i="8" s="1"/>
  <c r="L78" i="8" s="1"/>
  <c r="M78" i="8" s="1"/>
  <c r="Y35" i="7" a="1"/>
  <c r="Y35" i="7" s="1"/>
  <c r="V33" i="7" a="1"/>
  <c r="V33" i="7" s="1"/>
  <c r="B31" i="8" s="1"/>
  <c r="T18" i="7" a="1"/>
  <c r="T18" i="7" s="1"/>
  <c r="G16" i="8" s="1"/>
  <c r="V102" i="7" a="1"/>
  <c r="V102" i="7" s="1"/>
  <c r="B100" i="8" s="1"/>
  <c r="Y54" i="7" a="1"/>
  <c r="Y54" i="7" s="1"/>
  <c r="U111" i="7" a="1"/>
  <c r="U111" i="7" s="1"/>
  <c r="A109" i="8" s="1"/>
  <c r="K109" i="8" s="1"/>
  <c r="U207" i="7" a="1"/>
  <c r="U207" i="7" s="1"/>
  <c r="A205" i="8" s="1"/>
  <c r="K205" i="8" s="1"/>
  <c r="U131" i="7" a="1"/>
  <c r="U131" i="7" s="1"/>
  <c r="A129" i="8" s="1"/>
  <c r="K129" i="8" s="1"/>
  <c r="W138" i="7" a="1"/>
  <c r="W138" i="7" s="1"/>
  <c r="W73" i="7" a="1"/>
  <c r="W73" i="7" s="1"/>
  <c r="T54" i="7" a="1"/>
  <c r="T54" i="7" s="1"/>
  <c r="G52" i="8" s="1"/>
  <c r="T111" i="7" a="1"/>
  <c r="T111" i="7" s="1"/>
  <c r="G109" i="8" s="1"/>
  <c r="Y51" i="7" a="1"/>
  <c r="Y51" i="7" s="1"/>
  <c r="T139" i="7" a="1"/>
  <c r="T139" i="7" s="1"/>
  <c r="G137" i="8" s="1"/>
  <c r="Y17" i="7" a="1"/>
  <c r="Y17" i="7" s="1"/>
  <c r="V180" i="7" a="1"/>
  <c r="V180" i="7" s="1"/>
  <c r="B178" i="8" s="1"/>
  <c r="T168" i="7" a="1"/>
  <c r="T168" i="7" s="1"/>
  <c r="G166" i="8" s="1"/>
  <c r="T93" i="7" a="1"/>
  <c r="T93" i="7" s="1"/>
  <c r="G91" i="8" s="1"/>
  <c r="W98" i="7" a="1"/>
  <c r="W98" i="7" s="1"/>
  <c r="Y181" i="7" a="1"/>
  <c r="Y181" i="7" s="1"/>
  <c r="U169" i="7" a="1"/>
  <c r="U169" i="7" s="1"/>
  <c r="A167" i="8" s="1"/>
  <c r="K167" i="8" s="1"/>
  <c r="U114" i="7" a="1"/>
  <c r="U114" i="7" s="1"/>
  <c r="A112" i="8" s="1"/>
  <c r="K112" i="8" s="1"/>
  <c r="V163" i="7" a="1"/>
  <c r="V163" i="7" s="1"/>
  <c r="B161" i="8" s="1"/>
  <c r="W182" i="7" a="1"/>
  <c r="W182" i="7" s="1"/>
  <c r="V16" i="7" a="1"/>
  <c r="V16" i="7" s="1"/>
  <c r="B14" i="8" s="1"/>
  <c r="Y92" i="7" a="1"/>
  <c r="Y92" i="7" s="1"/>
  <c r="U62" i="7" a="1"/>
  <c r="U62" i="7" s="1"/>
  <c r="A60" i="8" s="1"/>
  <c r="Y161" i="7" a="1"/>
  <c r="Y161" i="7" s="1"/>
  <c r="V29" i="7" a="1"/>
  <c r="V29" i="7" s="1"/>
  <c r="B27" i="8" s="1"/>
  <c r="V18" i="7" a="1"/>
  <c r="V18" i="7" s="1"/>
  <c r="B16" i="8" s="1"/>
  <c r="U135" i="7" a="1"/>
  <c r="U135" i="7" s="1"/>
  <c r="A133" i="8" s="1"/>
  <c r="K133" i="8" s="1"/>
  <c r="T64" i="7" a="1"/>
  <c r="T64" i="7" s="1"/>
  <c r="G62" i="8" s="1"/>
  <c r="V96" i="7" a="1"/>
  <c r="V96" i="7" s="1"/>
  <c r="B94" i="8" s="1"/>
  <c r="U132" i="7" a="1"/>
  <c r="U132" i="7" s="1"/>
  <c r="A130" i="8" s="1"/>
  <c r="K130" i="8" s="1"/>
  <c r="T151" i="7" a="1"/>
  <c r="T151" i="7" s="1"/>
  <c r="G149" i="8" s="1"/>
  <c r="V159" i="7" a="1"/>
  <c r="V159" i="7" s="1"/>
  <c r="B157" i="8" s="1"/>
  <c r="U57" i="7" a="1"/>
  <c r="U57" i="7" s="1"/>
  <c r="A55" i="8" s="1"/>
  <c r="Y132" i="7" a="1"/>
  <c r="Y132" i="7" s="1"/>
  <c r="T167" i="7" a="1"/>
  <c r="T167" i="7" s="1"/>
  <c r="G165" i="8" s="1"/>
  <c r="Y95" i="7" a="1"/>
  <c r="Y95" i="7" s="1"/>
  <c r="V211" i="7" a="1"/>
  <c r="V211" i="7" s="1"/>
  <c r="B209" i="8" s="1"/>
  <c r="W190" i="7" a="1"/>
  <c r="W190" i="7" s="1"/>
  <c r="W126" i="7" a="1"/>
  <c r="W126" i="7" s="1"/>
  <c r="W89" i="7" a="1"/>
  <c r="W89" i="7" s="1"/>
  <c r="W120" i="7" a="1"/>
  <c r="W120" i="7" s="1"/>
  <c r="T66" i="7" a="1"/>
  <c r="T66" i="7" s="1"/>
  <c r="G64" i="8" s="1"/>
  <c r="W180" i="7" a="1"/>
  <c r="W180" i="7" s="1"/>
  <c r="U123" i="7" a="1"/>
  <c r="U123" i="7" s="1"/>
  <c r="A121" i="8" s="1"/>
  <c r="K121" i="8" s="1"/>
  <c r="L121" i="8" s="1"/>
  <c r="M121" i="8" s="1"/>
  <c r="Y175" i="7" a="1"/>
  <c r="Y175" i="7" s="1"/>
  <c r="Y69" i="7" a="1"/>
  <c r="Y69" i="7" s="1"/>
  <c r="U107" i="7" a="1"/>
  <c r="U107" i="7" s="1"/>
  <c r="A105" i="8" s="1"/>
  <c r="K105" i="8" s="1"/>
  <c r="L105" i="8" s="1"/>
  <c r="M105" i="8" s="1"/>
  <c r="V188" i="7" a="1"/>
  <c r="V188" i="7" s="1"/>
  <c r="B186" i="8" s="1"/>
  <c r="T90" i="7" a="1"/>
  <c r="T90" i="7" s="1"/>
  <c r="G88" i="8" s="1"/>
  <c r="Y21" i="7" a="1"/>
  <c r="Y21" i="7" s="1"/>
  <c r="U28" i="7" a="1"/>
  <c r="U28" i="7" s="1"/>
  <c r="A26" i="8" s="1"/>
  <c r="W60" i="7" a="1"/>
  <c r="W60" i="7" s="1"/>
  <c r="T17" i="7" a="1"/>
  <c r="T17" i="7" s="1"/>
  <c r="G15" i="8" s="1"/>
  <c r="W123" i="7" a="1"/>
  <c r="W123" i="7" s="1"/>
  <c r="W93" i="7" a="1"/>
  <c r="W93" i="7" s="1"/>
  <c r="T55" i="7" a="1"/>
  <c r="T55" i="7" s="1"/>
  <c r="G53" i="8" s="1"/>
  <c r="Y24" i="7" a="1"/>
  <c r="Y24" i="7" s="1"/>
  <c r="W102" i="7" a="1"/>
  <c r="W102" i="7" s="1"/>
  <c r="T124" i="7" a="1"/>
  <c r="T124" i="7" s="1"/>
  <c r="G122" i="8" s="1"/>
  <c r="U200" i="7" a="1"/>
  <c r="U200" i="7" s="1"/>
  <c r="A198" i="8" s="1"/>
  <c r="K198" i="8" s="1"/>
  <c r="L198" i="8" s="1"/>
  <c r="M198" i="8" s="1"/>
  <c r="Y104" i="7" a="1"/>
  <c r="Y104" i="7" s="1"/>
  <c r="U36" i="7" a="1"/>
  <c r="U36" i="7" s="1"/>
  <c r="A34" i="8" s="1"/>
  <c r="W16" i="7" a="1"/>
  <c r="W16" i="7" s="1"/>
  <c r="V171" i="7" a="1"/>
  <c r="V171" i="7" s="1"/>
  <c r="B169" i="8" s="1"/>
  <c r="Y36" i="7" a="1"/>
  <c r="Y36" i="7" s="1"/>
  <c r="U172" i="7" a="1"/>
  <c r="U172" i="7" s="1"/>
  <c r="A170" i="8" s="1"/>
  <c r="K170" i="8" s="1"/>
  <c r="Y130" i="7" a="1"/>
  <c r="Y130" i="7" s="1"/>
  <c r="T113" i="7" a="1"/>
  <c r="T113" i="7" s="1"/>
  <c r="G111" i="8" s="1"/>
  <c r="U35" i="7" a="1"/>
  <c r="U35" i="7" s="1"/>
  <c r="A33" i="8" s="1"/>
  <c r="V117" i="7" a="1"/>
  <c r="V117" i="7" s="1"/>
  <c r="B115" i="8" s="1"/>
  <c r="T94" i="7" a="1"/>
  <c r="T94" i="7" s="1"/>
  <c r="G92" i="8" s="1"/>
  <c r="U130" i="7" a="1"/>
  <c r="U130" i="7" s="1"/>
  <c r="A128" i="8" s="1"/>
  <c r="K128" i="8" s="1"/>
  <c r="Y112" i="7" a="1"/>
  <c r="Y112" i="7" s="1"/>
  <c r="Y197" i="7" a="1"/>
  <c r="Y197" i="7" s="1"/>
  <c r="W78" i="7" a="1"/>
  <c r="W78" i="7" s="1"/>
  <c r="V140" i="7" a="1"/>
  <c r="V140" i="7" s="1"/>
  <c r="B138" i="8" s="1"/>
  <c r="W47" i="7" a="1"/>
  <c r="W47" i="7" s="1"/>
  <c r="T117" i="7" a="1"/>
  <c r="T117" i="7" s="1"/>
  <c r="G115" i="8" s="1"/>
  <c r="W135" i="7" a="1"/>
  <c r="W135" i="7" s="1"/>
  <c r="U167" i="7" a="1"/>
  <c r="U167" i="7" s="1"/>
  <c r="A165" i="8" s="1"/>
  <c r="K165" i="8" s="1"/>
  <c r="Y206" i="7" a="1"/>
  <c r="Y206" i="7" s="1"/>
  <c r="V27" i="7" a="1"/>
  <c r="V27" i="7" s="1"/>
  <c r="B25" i="8" s="1"/>
  <c r="W142" i="7" a="1"/>
  <c r="W142" i="7" s="1"/>
  <c r="T67" i="7" a="1"/>
  <c r="T67" i="7" s="1"/>
  <c r="G65" i="8" s="1"/>
  <c r="Y32" i="7" a="1"/>
  <c r="Y32" i="7" s="1"/>
  <c r="V123" i="7" a="1"/>
  <c r="V123" i="7" s="1"/>
  <c r="B121" i="8" s="1"/>
  <c r="Y122" i="7" a="1"/>
  <c r="Y122" i="7" s="1"/>
  <c r="W75" i="7" a="1"/>
  <c r="W75" i="7" s="1"/>
  <c r="Y61" i="7" a="1"/>
  <c r="Y61" i="7" s="1"/>
  <c r="Y93" i="7" a="1"/>
  <c r="Y93" i="7" s="1"/>
  <c r="V156" i="7" a="1"/>
  <c r="V156" i="7" s="1"/>
  <c r="B154" i="8" s="1"/>
  <c r="V40" i="7" a="1"/>
  <c r="V40" i="7" s="1"/>
  <c r="B38" i="8" s="1"/>
  <c r="T80" i="7" a="1"/>
  <c r="T80" i="7" s="1"/>
  <c r="G78" i="8" s="1"/>
  <c r="Y182" i="7" a="1"/>
  <c r="Y182" i="7" s="1"/>
  <c r="U71" i="7" a="1"/>
  <c r="U71" i="7" s="1"/>
  <c r="A69" i="8" s="1"/>
  <c r="K69" i="8" s="1"/>
  <c r="Y57" i="7" a="1"/>
  <c r="Y57" i="7" s="1"/>
  <c r="T146" i="7" a="1"/>
  <c r="T146" i="7" s="1"/>
  <c r="G144" i="8" s="1"/>
  <c r="Y190" i="7" a="1"/>
  <c r="Y190" i="7" s="1"/>
  <c r="W164" i="7" a="1"/>
  <c r="W164" i="7" s="1"/>
  <c r="W41" i="7" a="1"/>
  <c r="W41" i="7" s="1"/>
  <c r="W18" i="7" a="1"/>
  <c r="W18" i="7" s="1"/>
  <c r="Y148" i="7" a="1"/>
  <c r="Y148" i="7" s="1"/>
  <c r="Y134" i="7" a="1"/>
  <c r="Y134" i="7" s="1"/>
  <c r="T105" i="7" a="1"/>
  <c r="T105" i="7" s="1"/>
  <c r="G103" i="8" s="1"/>
  <c r="W118" i="7" a="1"/>
  <c r="W118" i="7" s="1"/>
  <c r="W185" i="7" a="1"/>
  <c r="W185" i="7" s="1"/>
  <c r="T202" i="7" a="1"/>
  <c r="T202" i="7" s="1"/>
  <c r="G200" i="8" s="1"/>
  <c r="Y210" i="7" a="1"/>
  <c r="Y210" i="7" s="1"/>
  <c r="V89" i="7" a="1"/>
  <c r="V89" i="7" s="1"/>
  <c r="B87" i="8" s="1"/>
  <c r="U24" i="7" a="1"/>
  <c r="U24" i="7" s="1"/>
  <c r="A22" i="8" s="1"/>
  <c r="Y110" i="7" a="1"/>
  <c r="Y110" i="7" s="1"/>
  <c r="W204" i="7" a="1"/>
  <c r="W204" i="7" s="1"/>
  <c r="U77" i="7" a="1"/>
  <c r="U77" i="7" s="1"/>
  <c r="A75" i="8" s="1"/>
  <c r="K75" i="8" s="1"/>
  <c r="V50" i="7" a="1"/>
  <c r="V50" i="7" s="1"/>
  <c r="B48" i="8" s="1"/>
  <c r="Y84" i="7" a="1"/>
  <c r="Y84" i="7" s="1"/>
  <c r="W88" i="7" a="1"/>
  <c r="W88" i="7" s="1"/>
  <c r="Y153" i="7" a="1"/>
  <c r="Y153" i="7" s="1"/>
  <c r="Y169" i="7" a="1"/>
  <c r="Y169" i="7" s="1"/>
  <c r="U129" i="7" a="1"/>
  <c r="U129" i="7" s="1"/>
  <c r="A127" i="8" s="1"/>
  <c r="K127" i="8" s="1"/>
  <c r="W177" i="7" a="1"/>
  <c r="W177" i="7" s="1"/>
  <c r="T49" i="7" a="1"/>
  <c r="T49" i="7" s="1"/>
  <c r="G47" i="8" s="1"/>
  <c r="T50" i="7" a="1"/>
  <c r="T50" i="7" s="1"/>
  <c r="G48" i="8" s="1"/>
  <c r="W51" i="7" a="1"/>
  <c r="W51" i="7" s="1"/>
  <c r="U168" i="7" a="1"/>
  <c r="U168" i="7" s="1"/>
  <c r="A166" i="8" s="1"/>
  <c r="K166" i="8" s="1"/>
  <c r="L166" i="8" s="1"/>
  <c r="M166" i="8" s="1"/>
  <c r="Y212" i="7" a="1"/>
  <c r="Y212" i="7" s="1"/>
  <c r="T103" i="7" a="1"/>
  <c r="T103" i="7" s="1"/>
  <c r="G101" i="8" s="1"/>
  <c r="W59" i="7" a="1"/>
  <c r="W59" i="7" s="1"/>
  <c r="V44" i="7" a="1"/>
  <c r="V44" i="7" s="1"/>
  <c r="B42" i="8" s="1"/>
  <c r="U181" i="7" a="1"/>
  <c r="U181" i="7" s="1"/>
  <c r="A179" i="8" s="1"/>
  <c r="K179" i="8" s="1"/>
  <c r="L179" i="8" s="1"/>
  <c r="M179" i="8" s="1"/>
  <c r="W52" i="7" a="1"/>
  <c r="W52" i="7" s="1"/>
  <c r="T114" i="7" a="1"/>
  <c r="T114" i="7" s="1"/>
  <c r="G112" i="8" s="1"/>
  <c r="W152" i="7" a="1"/>
  <c r="W152" i="7" s="1"/>
  <c r="V14" i="7" a="1"/>
  <c r="V14" i="7" s="1"/>
  <c r="B12" i="8" s="1"/>
  <c r="V38" i="7" a="1"/>
  <c r="V38" i="7" s="1"/>
  <c r="B36" i="8" s="1"/>
  <c r="Y25" i="7" a="1"/>
  <c r="Y25" i="7" s="1"/>
  <c r="T34" i="7" a="1"/>
  <c r="T34" i="7" s="1"/>
  <c r="G32" i="8" s="1"/>
  <c r="U187" i="7" a="1"/>
  <c r="U187" i="7" s="1"/>
  <c r="A185" i="8" s="1"/>
  <c r="K185" i="8" s="1"/>
  <c r="U42" i="7" a="1"/>
  <c r="U42" i="7" s="1"/>
  <c r="A40" i="8" s="1"/>
  <c r="Y201" i="7" a="1"/>
  <c r="Y201" i="7" s="1"/>
  <c r="W29" i="7" a="1"/>
  <c r="W29" i="7" s="1"/>
  <c r="W90" i="7" a="1"/>
  <c r="W90" i="7" s="1"/>
  <c r="T191" i="7" a="1"/>
  <c r="T191" i="7" s="1"/>
  <c r="G189" i="8" s="1"/>
  <c r="Y48" i="7" a="1"/>
  <c r="Y48" i="7" s="1"/>
  <c r="U26" i="7" a="1"/>
  <c r="U26" i="7" s="1"/>
  <c r="A24" i="8" s="1"/>
  <c r="V130" i="7" a="1"/>
  <c r="V130" i="7" s="1"/>
  <c r="B128" i="8" s="1"/>
  <c r="V55" i="7" a="1"/>
  <c r="V55" i="7" s="1"/>
  <c r="B53" i="8" s="1"/>
  <c r="V69" i="7" a="1"/>
  <c r="V69" i="7" s="1"/>
  <c r="B67" i="8" s="1"/>
  <c r="U76" i="7" a="1"/>
  <c r="U76" i="7" s="1"/>
  <c r="A74" i="8" s="1"/>
  <c r="K74" i="8" s="1"/>
  <c r="Y88" i="7" a="1"/>
  <c r="Y88" i="7" s="1"/>
  <c r="T118" i="7" a="1"/>
  <c r="T118" i="7" s="1"/>
  <c r="G116" i="8" s="1"/>
  <c r="W203" i="7" a="1"/>
  <c r="W203" i="7" s="1"/>
  <c r="U174" i="7" a="1"/>
  <c r="U174" i="7" s="1"/>
  <c r="A172" i="8" s="1"/>
  <c r="K172" i="8" s="1"/>
  <c r="Y198" i="7" a="1"/>
  <c r="Y198" i="7" s="1"/>
  <c r="T163" i="7" a="1"/>
  <c r="T163" i="7" s="1"/>
  <c r="G161" i="8" s="1"/>
  <c r="T85" i="7" a="1"/>
  <c r="T85" i="7" s="1"/>
  <c r="G83" i="8" s="1"/>
  <c r="V22" i="7" a="1"/>
  <c r="V22" i="7" s="1"/>
  <c r="B20" i="8" s="1"/>
  <c r="T45" i="7" a="1"/>
  <c r="T45" i="7" s="1"/>
  <c r="G43" i="8" s="1"/>
  <c r="T48" i="7" a="1"/>
  <c r="T48" i="7" s="1"/>
  <c r="G46" i="8" s="1"/>
  <c r="Y89" i="7" a="1"/>
  <c r="Y89" i="7" s="1"/>
  <c r="U109" i="7" a="1"/>
  <c r="U109" i="7" s="1"/>
  <c r="A107" i="8" s="1"/>
  <c r="K107" i="8" s="1"/>
  <c r="V72" i="7" a="1"/>
  <c r="V72" i="7" s="1"/>
  <c r="B70" i="8" s="1"/>
  <c r="U186" i="7" a="1"/>
  <c r="U186" i="7" s="1"/>
  <c r="A184" i="8" s="1"/>
  <c r="K184" i="8" s="1"/>
  <c r="W169" i="7" a="1"/>
  <c r="W169" i="7" s="1"/>
  <c r="W202" i="7" a="1"/>
  <c r="W202" i="7" s="1"/>
  <c r="W175" i="7" a="1"/>
  <c r="W175" i="7" s="1"/>
  <c r="V119" i="7" a="1"/>
  <c r="V119" i="7" s="1"/>
  <c r="B117" i="8" s="1"/>
  <c r="T165" i="7" a="1"/>
  <c r="T165" i="7" s="1"/>
  <c r="G163" i="8" s="1"/>
  <c r="V52" i="7" a="1"/>
  <c r="V52" i="7" s="1"/>
  <c r="B50" i="8" s="1"/>
  <c r="Y213" i="7" a="1"/>
  <c r="Y213" i="7" s="1"/>
  <c r="U110" i="7" a="1"/>
  <c r="U110" i="7" s="1"/>
  <c r="A108" i="8" s="1"/>
  <c r="K108" i="8" s="1"/>
  <c r="Y168" i="7" a="1"/>
  <c r="Y168" i="7" s="1"/>
  <c r="V194" i="7" a="1"/>
  <c r="V194" i="7" s="1"/>
  <c r="B192" i="8" s="1"/>
  <c r="T109" i="7" a="1"/>
  <c r="T109" i="7" s="1"/>
  <c r="G107" i="8" s="1"/>
  <c r="U78" i="7" a="1"/>
  <c r="U78" i="7" s="1"/>
  <c r="A76" i="8" s="1"/>
  <c r="K76" i="8" s="1"/>
  <c r="V64" i="7" a="1"/>
  <c r="V64" i="7" s="1"/>
  <c r="B62" i="8" s="1"/>
  <c r="Y139" i="7" a="1"/>
  <c r="Y139" i="7" s="1"/>
  <c r="Y102" i="7" a="1"/>
  <c r="Y102" i="7" s="1"/>
  <c r="T21" i="7" a="1"/>
  <c r="T21" i="7" s="1"/>
  <c r="G19" i="8" s="1"/>
  <c r="W212" i="7" a="1"/>
  <c r="W212" i="7" s="1"/>
  <c r="V138" i="7" a="1"/>
  <c r="V138" i="7" s="1"/>
  <c r="B136" i="8" s="1"/>
  <c r="T122" i="7" a="1"/>
  <c r="T122" i="7" s="1"/>
  <c r="G120" i="8" s="1"/>
  <c r="Y40" i="7" a="1"/>
  <c r="Y40" i="7" s="1"/>
  <c r="U140" i="7" a="1"/>
  <c r="U140" i="7" s="1"/>
  <c r="A138" i="8" s="1"/>
  <c r="K138" i="8" s="1"/>
  <c r="L138" i="8" s="1"/>
  <c r="M138" i="8" s="1"/>
  <c r="Y129" i="7" a="1"/>
  <c r="Y129" i="7" s="1"/>
  <c r="U126" i="7" a="1"/>
  <c r="U126" i="7" s="1"/>
  <c r="A124" i="8" s="1"/>
  <c r="K124" i="8" s="1"/>
  <c r="L124" i="8" s="1"/>
  <c r="M124" i="8" s="1"/>
  <c r="V84" i="7" a="1"/>
  <c r="V84" i="7" s="1"/>
  <c r="B82" i="8" s="1"/>
  <c r="T193" i="7" a="1"/>
  <c r="T193" i="7" s="1"/>
  <c r="G191" i="8" s="1"/>
  <c r="T61" i="7" a="1"/>
  <c r="T61" i="7" s="1"/>
  <c r="G59" i="8" s="1"/>
  <c r="Y131" i="7" a="1"/>
  <c r="Y131" i="7" s="1"/>
  <c r="V131" i="7" a="1"/>
  <c r="V131" i="7" s="1"/>
  <c r="B129" i="8" s="1"/>
  <c r="T33" i="7" a="1"/>
  <c r="T33" i="7" s="1"/>
  <c r="G31" i="8" s="1"/>
  <c r="U103" i="7" a="1"/>
  <c r="U103" i="7" s="1"/>
  <c r="A101" i="8" s="1"/>
  <c r="K101" i="8" s="1"/>
  <c r="L101" i="8" s="1"/>
  <c r="M101" i="8" s="1"/>
  <c r="W77" i="7" a="1"/>
  <c r="W77" i="7" s="1"/>
  <c r="V113" i="7" a="1"/>
  <c r="V113" i="7" s="1"/>
  <c r="B111" i="8" s="1"/>
  <c r="T22" i="7" a="1"/>
  <c r="T22" i="7" s="1"/>
  <c r="G20" i="8" s="1"/>
  <c r="U173" i="7" a="1"/>
  <c r="U173" i="7" s="1"/>
  <c r="A171" i="8" s="1"/>
  <c r="K171" i="8" s="1"/>
  <c r="W145" i="7" a="1"/>
  <c r="W145" i="7" s="1"/>
  <c r="Y42" i="7" a="1"/>
  <c r="Y42" i="7" s="1"/>
  <c r="V48" i="7" a="1"/>
  <c r="V48" i="7" s="1"/>
  <c r="B46" i="8" s="1"/>
  <c r="Y100" i="7" a="1"/>
  <c r="Y100" i="7" s="1"/>
  <c r="U179" i="7" a="1"/>
  <c r="U179" i="7" s="1"/>
  <c r="A177" i="8" s="1"/>
  <c r="K177" i="8" s="1"/>
  <c r="W107" i="7" a="1"/>
  <c r="W107" i="7" s="1"/>
  <c r="V184" i="7" a="1"/>
  <c r="V184" i="7" s="1"/>
  <c r="B182" i="8" s="1"/>
  <c r="V161" i="7" a="1"/>
  <c r="V161" i="7" s="1"/>
  <c r="B159" i="8" s="1"/>
  <c r="Y38" i="7" a="1"/>
  <c r="Y38" i="7" s="1"/>
  <c r="W37" i="7" a="1"/>
  <c r="W37" i="7" s="1"/>
  <c r="T81" i="7" a="1"/>
  <c r="T81" i="7" s="1"/>
  <c r="G79" i="8" s="1"/>
  <c r="Y73" i="7" a="1"/>
  <c r="Y73" i="7" s="1"/>
  <c r="Y82" i="7" a="1"/>
  <c r="Y82" i="7" s="1"/>
  <c r="U210" i="7" a="1"/>
  <c r="U210" i="7" s="1"/>
  <c r="A208" i="8" s="1"/>
  <c r="K208" i="8" s="1"/>
  <c r="W85" i="7" a="1"/>
  <c r="W85" i="7" s="1"/>
  <c r="Y143" i="7" a="1"/>
  <c r="Y143" i="7" s="1"/>
  <c r="Y119" i="7" a="1"/>
  <c r="Y119" i="7" s="1"/>
  <c r="U37" i="7" a="1"/>
  <c r="U37" i="7" s="1"/>
  <c r="A35" i="8" s="1"/>
  <c r="Y64" i="7" a="1"/>
  <c r="Y64" i="7" s="1"/>
  <c r="Y90" i="7" a="1"/>
  <c r="Y90" i="7" s="1"/>
  <c r="Y19" i="7" a="1"/>
  <c r="Y19" i="7" s="1"/>
  <c r="Y66" i="7" a="1"/>
  <c r="Y66" i="7" s="1"/>
  <c r="T121" i="7" a="1"/>
  <c r="T121" i="7" s="1"/>
  <c r="G119" i="8" s="1"/>
  <c r="U29" i="7" a="1"/>
  <c r="U29" i="7" s="1"/>
  <c r="A27" i="8" s="1"/>
  <c r="W154" i="7" a="1"/>
  <c r="W154" i="7" s="1"/>
  <c r="Y78" i="7" a="1"/>
  <c r="Y78" i="7" s="1"/>
  <c r="U190" i="7" a="1"/>
  <c r="U190" i="7" s="1"/>
  <c r="A188" i="8" s="1"/>
  <c r="K188" i="8" s="1"/>
  <c r="L188" i="8" s="1"/>
  <c r="M188" i="8" s="1"/>
  <c r="V177" i="7" a="1"/>
  <c r="V177" i="7" s="1"/>
  <c r="B175" i="8" s="1"/>
  <c r="W147" i="7" a="1"/>
  <c r="W147" i="7" s="1"/>
  <c r="W23" i="7" a="1"/>
  <c r="W23" i="7" s="1"/>
  <c r="Y74" i="7" a="1"/>
  <c r="Y74" i="7" s="1"/>
  <c r="V105" i="7" a="1"/>
  <c r="V105" i="7" s="1"/>
  <c r="B103" i="8" s="1"/>
  <c r="T174" i="7" a="1"/>
  <c r="T174" i="7" s="1"/>
  <c r="G172" i="8" s="1"/>
  <c r="T209" i="7" a="1"/>
  <c r="T209" i="7" s="1"/>
  <c r="G207" i="8" s="1"/>
  <c r="T57" i="7" a="1"/>
  <c r="T57" i="7" s="1"/>
  <c r="G55" i="8" s="1"/>
  <c r="U150" i="7" a="1"/>
  <c r="U150" i="7" s="1"/>
  <c r="A148" i="8" s="1"/>
  <c r="K148" i="8" s="1"/>
  <c r="W168" i="7" a="1"/>
  <c r="W168" i="7" s="1"/>
  <c r="W161" i="7" a="1"/>
  <c r="W161" i="7" s="1"/>
  <c r="T58" i="7" a="1"/>
  <c r="T58" i="7" s="1"/>
  <c r="G56" i="8" s="1"/>
  <c r="Y70" i="7" a="1"/>
  <c r="Y70" i="7" s="1"/>
  <c r="V45" i="7" a="1"/>
  <c r="V45" i="7" s="1"/>
  <c r="B43" i="8" s="1"/>
  <c r="T134" i="7" a="1"/>
  <c r="T134" i="7" s="1"/>
  <c r="G132" i="8" s="1"/>
  <c r="V74" i="7" a="1"/>
  <c r="V74" i="7" s="1"/>
  <c r="B72" i="8" s="1"/>
  <c r="T75" i="7" a="1"/>
  <c r="T75" i="7" s="1"/>
  <c r="G73" i="8" s="1"/>
  <c r="T56" i="7" a="1"/>
  <c r="T56" i="7" s="1"/>
  <c r="G54" i="8" s="1"/>
  <c r="Y47" i="7" a="1"/>
  <c r="Y47" i="7" s="1"/>
  <c r="W201" i="7" a="1"/>
  <c r="W201" i="7" s="1"/>
  <c r="V39" i="7" a="1"/>
  <c r="V39" i="7" s="1"/>
  <c r="B37" i="8" s="1"/>
  <c r="T120" i="7" a="1"/>
  <c r="T120" i="7" s="1"/>
  <c r="G118" i="8" s="1"/>
  <c r="T166" i="7" a="1"/>
  <c r="T166" i="7" s="1"/>
  <c r="G164" i="8" s="1"/>
  <c r="U147" i="7" a="1"/>
  <c r="U147" i="7" s="1"/>
  <c r="A145" i="8" s="1"/>
  <c r="K145" i="8" s="1"/>
  <c r="L145" i="8" s="1"/>
  <c r="M145" i="8" s="1"/>
  <c r="T88" i="7" a="1"/>
  <c r="T88" i="7" s="1"/>
  <c r="G86" i="8" s="1"/>
  <c r="W181" i="7" a="1"/>
  <c r="W181" i="7" s="1"/>
  <c r="U165" i="7" a="1"/>
  <c r="U165" i="7" s="1"/>
  <c r="A163" i="8" s="1"/>
  <c r="K163" i="8" s="1"/>
  <c r="W167" i="7" a="1"/>
  <c r="W167" i="7" s="1"/>
  <c r="T28" i="7" a="1"/>
  <c r="T28" i="7" s="1"/>
  <c r="G26" i="8" s="1"/>
  <c r="Y33" i="7" a="1"/>
  <c r="Y33" i="7" s="1"/>
  <c r="U203" i="7" a="1"/>
  <c r="U203" i="7" s="1"/>
  <c r="A201" i="8" s="1"/>
  <c r="K201" i="8" s="1"/>
  <c r="Y180" i="7" a="1"/>
  <c r="Y180" i="7" s="1"/>
  <c r="U185" i="7" a="1"/>
  <c r="U185" i="7" s="1"/>
  <c r="A183" i="8" s="1"/>
  <c r="K183" i="8" s="1"/>
  <c r="Y27" i="7" a="1"/>
  <c r="Y27" i="7" s="1"/>
  <c r="V173" i="7" a="1"/>
  <c r="V173" i="7" s="1"/>
  <c r="B171" i="8" s="1"/>
  <c r="W112" i="7" a="1"/>
  <c r="W112" i="7" s="1"/>
  <c r="W105" i="7" a="1"/>
  <c r="W105" i="7" s="1"/>
  <c r="V199" i="7" a="1"/>
  <c r="V199" i="7" s="1"/>
  <c r="B197" i="8" s="1"/>
  <c r="U177" i="7" a="1"/>
  <c r="U177" i="7" s="1"/>
  <c r="A175" i="8" s="1"/>
  <c r="K175" i="8" s="1"/>
  <c r="V144" i="7" a="1"/>
  <c r="V144" i="7" s="1"/>
  <c r="B142" i="8" s="1"/>
  <c r="V20" i="7" a="1"/>
  <c r="V20" i="7" s="1"/>
  <c r="B18" i="8" s="1"/>
  <c r="V19" i="7" a="1"/>
  <c r="V19" i="7" s="1"/>
  <c r="B17" i="8" s="1"/>
  <c r="W71" i="7" a="1"/>
  <c r="W71" i="7" s="1"/>
  <c r="T125" i="7" a="1"/>
  <c r="T125" i="7" s="1"/>
  <c r="G123" i="8" s="1"/>
  <c r="T89" i="7" a="1"/>
  <c r="T89" i="7" s="1"/>
  <c r="G87" i="8" s="1"/>
  <c r="U188" i="7" a="1"/>
  <c r="U188" i="7" s="1"/>
  <c r="A186" i="8" s="1"/>
  <c r="K186" i="8" s="1"/>
  <c r="L186" i="8" s="1"/>
  <c r="M186" i="8" s="1"/>
  <c r="W66" i="7" a="1"/>
  <c r="W66" i="7" s="1"/>
  <c r="U151" i="7" a="1"/>
  <c r="U151" i="7" s="1"/>
  <c r="A149" i="8" s="1"/>
  <c r="K149" i="8" s="1"/>
  <c r="U31" i="7" a="1"/>
  <c r="U31" i="7" s="1"/>
  <c r="A29" i="8" s="1"/>
  <c r="V201" i="7" a="1"/>
  <c r="V201" i="7" s="1"/>
  <c r="B199" i="8" s="1"/>
  <c r="U64" i="7" a="1"/>
  <c r="U64" i="7" s="1"/>
  <c r="A62" i="8" s="1"/>
  <c r="Y75" i="7" a="1"/>
  <c r="Y75" i="7" s="1"/>
  <c r="W179" i="7" a="1"/>
  <c r="W179" i="7" s="1"/>
  <c r="U113" i="7" a="1"/>
  <c r="U113" i="7" s="1"/>
  <c r="A111" i="8" s="1"/>
  <c r="K111" i="8" s="1"/>
  <c r="Y44" i="7" a="1"/>
  <c r="Y44" i="7" s="1"/>
  <c r="Y144" i="7" a="1"/>
  <c r="Y144" i="7" s="1"/>
  <c r="V186" i="7" a="1"/>
  <c r="V186" i="7" s="1"/>
  <c r="B184" i="8" s="1"/>
  <c r="Y193" i="7" a="1"/>
  <c r="Y193" i="7" s="1"/>
  <c r="Y155" i="7" a="1"/>
  <c r="Y155" i="7" s="1"/>
  <c r="W140" i="7" a="1"/>
  <c r="W140" i="7" s="1"/>
  <c r="W178" i="7" a="1"/>
  <c r="W178" i="7" s="1"/>
  <c r="T136" i="7" a="1"/>
  <c r="T136" i="7" s="1"/>
  <c r="G134" i="8" s="1"/>
  <c r="T132" i="7" a="1"/>
  <c r="T132" i="7" s="1"/>
  <c r="G130" i="8" s="1"/>
  <c r="T20" i="7" a="1"/>
  <c r="T20" i="7" s="1"/>
  <c r="G18" i="8" s="1"/>
  <c r="U204" i="7" a="1"/>
  <c r="U204" i="7" s="1"/>
  <c r="A202" i="8" s="1"/>
  <c r="K202" i="8" s="1"/>
  <c r="Y156" i="7" a="1"/>
  <c r="Y156" i="7" s="1"/>
  <c r="W153" i="7" a="1"/>
  <c r="W153" i="7" s="1"/>
  <c r="Y158" i="7" a="1"/>
  <c r="Y158" i="7" s="1"/>
  <c r="W58" i="7" a="1"/>
  <c r="W58" i="7" s="1"/>
  <c r="U50" i="7" a="1"/>
  <c r="U50" i="7" s="1"/>
  <c r="A48" i="8" s="1"/>
  <c r="V160" i="7" a="1"/>
  <c r="V160" i="7" s="1"/>
  <c r="B158" i="8" s="1"/>
  <c r="T201" i="7" a="1"/>
  <c r="T201" i="7" s="1"/>
  <c r="G199" i="8" s="1"/>
  <c r="Y126" i="7" a="1"/>
  <c r="Y126" i="7" s="1"/>
  <c r="T143" i="7" a="1"/>
  <c r="T143" i="7" s="1"/>
  <c r="G141" i="8" s="1"/>
  <c r="W155" i="7" a="1"/>
  <c r="W155" i="7" s="1"/>
  <c r="V37" i="7" a="1"/>
  <c r="V37" i="7" s="1"/>
  <c r="B35" i="8" s="1"/>
  <c r="T164" i="7" a="1"/>
  <c r="T164" i="7" s="1"/>
  <c r="G162" i="8" s="1"/>
  <c r="W21" i="7" a="1"/>
  <c r="W21" i="7" s="1"/>
  <c r="T133" i="7" a="1"/>
  <c r="T133" i="7" s="1"/>
  <c r="G131" i="8" s="1"/>
  <c r="Y146" i="7" a="1"/>
  <c r="Y146" i="7" s="1"/>
  <c r="W136" i="7" a="1"/>
  <c r="W136" i="7" s="1"/>
  <c r="Y172" i="7" a="1"/>
  <c r="Y172" i="7" s="1"/>
  <c r="T128" i="7" a="1"/>
  <c r="T128" i="7" s="1"/>
  <c r="G126" i="8" s="1"/>
  <c r="U116" i="7" a="1"/>
  <c r="U116" i="7" s="1"/>
  <c r="A114" i="8" s="1"/>
  <c r="K114" i="8" s="1"/>
  <c r="L114" i="8" s="1"/>
  <c r="M114" i="8" s="1"/>
  <c r="W24" i="7" a="1"/>
  <c r="W24" i="7" s="1"/>
  <c r="T52" i="7" a="1"/>
  <c r="T52" i="7" s="1"/>
  <c r="G50" i="8" s="1"/>
  <c r="T200" i="7" a="1"/>
  <c r="T200" i="7" s="1"/>
  <c r="G198" i="8" s="1"/>
  <c r="V66" i="7" a="1"/>
  <c r="V66" i="7" s="1"/>
  <c r="B64" i="8" s="1"/>
  <c r="U149" i="7" a="1"/>
  <c r="U149" i="7" s="1"/>
  <c r="A147" i="8" s="1"/>
  <c r="K147" i="8" s="1"/>
  <c r="Y128" i="7" a="1"/>
  <c r="Y128" i="7" s="1"/>
  <c r="V56" i="7" a="1"/>
  <c r="V56" i="7" s="1"/>
  <c r="B54" i="8" s="1"/>
  <c r="T203" i="7" a="1"/>
  <c r="T203" i="7" s="1"/>
  <c r="G201" i="8" s="1"/>
  <c r="T126" i="7" a="1"/>
  <c r="T126" i="7" s="1"/>
  <c r="G124" i="8" s="1"/>
  <c r="V90" i="7" a="1"/>
  <c r="V90" i="7" s="1"/>
  <c r="B88" i="8" s="1"/>
  <c r="Y160" i="7" a="1"/>
  <c r="Y160" i="7" s="1"/>
  <c r="V24" i="7" a="1"/>
  <c r="V24" i="7" s="1"/>
  <c r="B22" i="8" s="1"/>
  <c r="W187" i="7" a="1"/>
  <c r="W187" i="7" s="1"/>
  <c r="U52" i="7" a="1"/>
  <c r="U52" i="7" s="1"/>
  <c r="A50" i="8" s="1"/>
  <c r="V100" i="7" a="1"/>
  <c r="V100" i="7" s="1"/>
  <c r="B98" i="8" s="1"/>
  <c r="Y164" i="7" a="1"/>
  <c r="Y164" i="7" s="1"/>
  <c r="T207" i="7" a="1"/>
  <c r="T207" i="7" s="1"/>
  <c r="G205" i="8" s="1"/>
  <c r="V41" i="7" a="1"/>
  <c r="V41" i="7" s="1"/>
  <c r="B39" i="8" s="1"/>
  <c r="T155" i="7" a="1"/>
  <c r="T155" i="7" s="1"/>
  <c r="G153" i="8" s="1"/>
  <c r="Y203" i="7" a="1"/>
  <c r="Y203" i="7" s="1"/>
  <c r="V189" i="7" a="1"/>
  <c r="V189" i="7" s="1"/>
  <c r="B187" i="8" s="1"/>
  <c r="V47" i="7" a="1"/>
  <c r="V47" i="7" s="1"/>
  <c r="B45" i="8" s="1"/>
  <c r="U30" i="7" a="1"/>
  <c r="U30" i="7" s="1"/>
  <c r="A28" i="8" s="1"/>
  <c r="T31" i="7" a="1"/>
  <c r="T31" i="7" s="1"/>
  <c r="G29" i="8" s="1"/>
  <c r="W109" i="7" a="1"/>
  <c r="W109" i="7" s="1"/>
  <c r="U101" i="7" a="1"/>
  <c r="U101" i="7" s="1"/>
  <c r="A99" i="8" s="1"/>
  <c r="K99" i="8" s="1"/>
  <c r="Y136" i="7" a="1"/>
  <c r="Y136" i="7" s="1"/>
  <c r="Y79" i="7" a="1"/>
  <c r="Y79" i="7" s="1"/>
  <c r="V93" i="7" a="1"/>
  <c r="V93" i="7" s="1"/>
  <c r="B91" i="8" s="1"/>
  <c r="U206" i="7" a="1"/>
  <c r="U206" i="7" s="1"/>
  <c r="A204" i="8" s="1"/>
  <c r="K204" i="8" s="1"/>
  <c r="L204" i="8" s="1"/>
  <c r="M204" i="8" s="1"/>
  <c r="T175" i="7" a="1"/>
  <c r="T175" i="7" s="1"/>
  <c r="G173" i="8" s="1"/>
  <c r="Y106" i="7" a="1"/>
  <c r="Y106" i="7" s="1"/>
  <c r="T140" i="7" a="1"/>
  <c r="T140" i="7" s="1"/>
  <c r="G138" i="8" s="1"/>
  <c r="U209" i="7" a="1"/>
  <c r="U209" i="7" s="1"/>
  <c r="A207" i="8" s="1"/>
  <c r="K207" i="8" s="1"/>
  <c r="L207" i="8" s="1"/>
  <c r="M207" i="8" s="1"/>
  <c r="Y137" i="7" a="1"/>
  <c r="Y137" i="7" s="1"/>
  <c r="V43" i="7" a="1"/>
  <c r="V43" i="7" s="1"/>
  <c r="B41" i="8" s="1"/>
  <c r="W115" i="7" a="1"/>
  <c r="W115" i="7" s="1"/>
  <c r="W76" i="7" a="1"/>
  <c r="W76" i="7" s="1"/>
  <c r="Y191" i="7" a="1"/>
  <c r="Y191" i="7" s="1"/>
  <c r="T194" i="7" a="1"/>
  <c r="T194" i="7" s="1"/>
  <c r="G192" i="8" s="1"/>
  <c r="W100" i="7" a="1"/>
  <c r="W100" i="7" s="1"/>
  <c r="T147" i="7" a="1"/>
  <c r="T147" i="7" s="1"/>
  <c r="G145" i="8" s="1"/>
  <c r="U136" i="7" a="1"/>
  <c r="U136" i="7" s="1"/>
  <c r="A134" i="8" s="1"/>
  <c r="K134" i="8" s="1"/>
  <c r="W206" i="7" a="1"/>
  <c r="W206" i="7" s="1"/>
  <c r="Y94" i="7" a="1"/>
  <c r="Y94" i="7" s="1"/>
  <c r="V167" i="7" a="1"/>
  <c r="V167" i="7" s="1"/>
  <c r="B165" i="8" s="1"/>
  <c r="Y171" i="7" a="1"/>
  <c r="Y171" i="7" s="1"/>
  <c r="T206" i="7" a="1"/>
  <c r="T206" i="7" s="1"/>
  <c r="G204" i="8" s="1"/>
  <c r="T23" i="7" a="1"/>
  <c r="T23" i="7" s="1"/>
  <c r="G21" i="8" s="1"/>
  <c r="V79" i="7" a="1"/>
  <c r="V79" i="7" s="1"/>
  <c r="B77" i="8" s="1"/>
  <c r="T171" i="7" a="1"/>
  <c r="T171" i="7" s="1"/>
  <c r="G169" i="8" s="1"/>
  <c r="Y16" i="7" a="1"/>
  <c r="Y16" i="7" s="1"/>
  <c r="V46" i="7" a="1"/>
  <c r="V46" i="7" s="1"/>
  <c r="B44" i="8" s="1"/>
  <c r="T141" i="7" a="1"/>
  <c r="T141" i="7" s="1"/>
  <c r="G139" i="8" s="1"/>
  <c r="T130" i="7" a="1"/>
  <c r="T130" i="7" s="1"/>
  <c r="G128" i="8" s="1"/>
  <c r="W82" i="7" a="1"/>
  <c r="W82" i="7" s="1"/>
  <c r="V212" i="7" a="1"/>
  <c r="V212" i="7" s="1"/>
  <c r="B210" i="8" s="1"/>
  <c r="Y15" i="7" a="1"/>
  <c r="Y15" i="7" s="1"/>
  <c r="W125" i="7" a="1"/>
  <c r="W125" i="7" s="1"/>
  <c r="W110" i="7" a="1"/>
  <c r="W110" i="7" s="1"/>
  <c r="U100" i="7" a="1"/>
  <c r="U100" i="7" s="1"/>
  <c r="A98" i="8" s="1"/>
  <c r="K98" i="8" s="1"/>
  <c r="L98" i="8" s="1"/>
  <c r="M98" i="8" s="1"/>
  <c r="U70" i="7" a="1"/>
  <c r="U70" i="7" s="1"/>
  <c r="A68" i="8" s="1"/>
  <c r="K68" i="8" s="1"/>
  <c r="Y43" i="7" a="1"/>
  <c r="Y43" i="7" s="1"/>
  <c r="T169" i="7" a="1"/>
  <c r="T169" i="7" s="1"/>
  <c r="G167" i="8" s="1"/>
  <c r="T212" i="7" a="1"/>
  <c r="T212" i="7" s="1"/>
  <c r="G210" i="8" s="1"/>
  <c r="Y124" i="7" a="1"/>
  <c r="Y124" i="7" s="1"/>
  <c r="T190" i="7" a="1"/>
  <c r="T190" i="7" s="1"/>
  <c r="G188" i="8" s="1"/>
  <c r="V187" i="7" a="1"/>
  <c r="V187" i="7" s="1"/>
  <c r="B185" i="8" s="1"/>
  <c r="T60" i="7" a="1"/>
  <c r="T60" i="7" s="1"/>
  <c r="G58" i="8" s="1"/>
  <c r="U163" i="7" a="1"/>
  <c r="U163" i="7" s="1"/>
  <c r="A161" i="8" s="1"/>
  <c r="K161" i="8" s="1"/>
  <c r="U184" i="7" a="1"/>
  <c r="U184" i="7" s="1"/>
  <c r="A182" i="8" s="1"/>
  <c r="K182" i="8" s="1"/>
  <c r="L182" i="8" s="1"/>
  <c r="M182" i="8" s="1"/>
  <c r="U60" i="7" a="1"/>
  <c r="U60" i="7" s="1"/>
  <c r="A58" i="8" s="1"/>
  <c r="U192" i="7" a="1"/>
  <c r="U192" i="7" s="1"/>
  <c r="A190" i="8" s="1"/>
  <c r="K190" i="8" s="1"/>
  <c r="V75" i="7" a="1"/>
  <c r="V75" i="7" s="1"/>
  <c r="B73" i="8" s="1"/>
  <c r="W101" i="7" a="1"/>
  <c r="W101" i="7" s="1"/>
  <c r="W139" i="7" a="1"/>
  <c r="W139" i="7" s="1"/>
  <c r="V172" i="7" a="1"/>
  <c r="V172" i="7" s="1"/>
  <c r="B170" i="8" s="1"/>
  <c r="T112" i="7" a="1"/>
  <c r="T112" i="7" s="1"/>
  <c r="G110" i="8" s="1"/>
  <c r="W192" i="7" a="1"/>
  <c r="W192" i="7" s="1"/>
  <c r="T70" i="7" a="1"/>
  <c r="T70" i="7" s="1"/>
  <c r="G68" i="8" s="1"/>
  <c r="V135" i="7" a="1"/>
  <c r="V135" i="7" s="1"/>
  <c r="B133" i="8" s="1"/>
  <c r="Y189" i="7" a="1"/>
  <c r="Y189" i="7" s="1"/>
  <c r="U138" i="7" a="1"/>
  <c r="U138" i="7" s="1"/>
  <c r="A136" i="8" s="1"/>
  <c r="K136" i="8" s="1"/>
  <c r="W171" i="7" a="1"/>
  <c r="W171" i="7" s="1"/>
  <c r="T185" i="7" a="1"/>
  <c r="T185" i="7" s="1"/>
  <c r="G183" i="8" s="1"/>
  <c r="W103" i="7" a="1"/>
  <c r="W103" i="7" s="1"/>
  <c r="Y26" i="7" a="1"/>
  <c r="Y26" i="7" s="1"/>
  <c r="V126" i="7" a="1"/>
  <c r="V126" i="7" s="1"/>
  <c r="B124" i="8" s="1"/>
  <c r="V111" i="7" a="1"/>
  <c r="V111" i="7" s="1"/>
  <c r="B109" i="8" s="1"/>
  <c r="Y55" i="7" a="1"/>
  <c r="Y55" i="7" s="1"/>
  <c r="U17" i="7" a="1"/>
  <c r="U17" i="7" s="1"/>
  <c r="A15" i="8" s="1"/>
  <c r="U32" i="7" a="1"/>
  <c r="U32" i="7" s="1"/>
  <c r="A30" i="8" s="1"/>
  <c r="Y195" i="7" a="1"/>
  <c r="Y195" i="7" s="1"/>
  <c r="Y107" i="7" a="1"/>
  <c r="Y107" i="7" s="1"/>
  <c r="V15" i="7" a="1"/>
  <c r="V15" i="7" s="1"/>
  <c r="B13" i="8" s="1"/>
  <c r="T189" i="7" a="1"/>
  <c r="T189" i="7" s="1"/>
  <c r="G187" i="8" s="1"/>
  <c r="U51" i="7" a="1"/>
  <c r="U51" i="7" s="1"/>
  <c r="A49" i="8" s="1"/>
  <c r="V203" i="7" a="1"/>
  <c r="V203" i="7" s="1"/>
  <c r="B201" i="8" s="1"/>
  <c r="T116" i="7" a="1"/>
  <c r="T116" i="7" s="1"/>
  <c r="G114" i="8" s="1"/>
  <c r="T68" i="7" a="1"/>
  <c r="T68" i="7" s="1"/>
  <c r="G66" i="8" s="1"/>
  <c r="T47" i="7" a="1"/>
  <c r="T47" i="7" s="1"/>
  <c r="G45" i="8" s="1"/>
  <c r="W111" i="7" a="1"/>
  <c r="W111" i="7" s="1"/>
  <c r="Y154" i="7" a="1"/>
  <c r="Y154" i="7" s="1"/>
  <c r="T172" i="7" a="1"/>
  <c r="T172" i="7" s="1"/>
  <c r="G170" i="8" s="1"/>
  <c r="W104" i="7" a="1"/>
  <c r="W104" i="7" s="1"/>
  <c r="Y103" i="7" a="1"/>
  <c r="Y103" i="7" s="1"/>
  <c r="U108" i="7" a="1"/>
  <c r="U108" i="7" s="1"/>
  <c r="A106" i="8" s="1"/>
  <c r="K106" i="8" s="1"/>
  <c r="V49" i="7" a="1"/>
  <c r="V49" i="7" s="1"/>
  <c r="B47" i="8" s="1"/>
  <c r="Y194" i="7" a="1"/>
  <c r="Y194" i="7" s="1"/>
  <c r="Y202" i="7" a="1"/>
  <c r="Y202" i="7" s="1"/>
  <c r="A113" i="2" l="1"/>
  <c r="A95" i="2"/>
  <c r="A80" i="2"/>
  <c r="A89" i="2"/>
  <c r="A142" i="2"/>
  <c r="A62" i="2"/>
  <c r="A135" i="2"/>
  <c r="A39" i="2"/>
  <c r="A85" i="2"/>
  <c r="A56" i="2"/>
  <c r="A111" i="2"/>
  <c r="L68" i="8"/>
  <c r="M68" i="8" s="1"/>
  <c r="L177" i="8"/>
  <c r="M177" i="8" s="1"/>
  <c r="L119" i="8"/>
  <c r="M119" i="8" s="1"/>
  <c r="L143" i="8"/>
  <c r="M143" i="8" s="1"/>
  <c r="S143" i="8" s="1"/>
  <c r="A36" i="2"/>
  <c r="A29" i="2"/>
  <c r="A108" i="2"/>
  <c r="A83" i="2"/>
  <c r="A117" i="2"/>
  <c r="L158" i="8"/>
  <c r="M158" i="8" s="1"/>
  <c r="L85" i="8"/>
  <c r="M85" i="8" s="1"/>
  <c r="A132" i="2"/>
  <c r="A70" i="2"/>
  <c r="A163" i="2"/>
  <c r="A148" i="2"/>
  <c r="A76" i="2"/>
  <c r="A125" i="2"/>
  <c r="A155" i="2"/>
  <c r="A92" i="2"/>
  <c r="A68" i="2"/>
  <c r="A53" i="2"/>
  <c r="A90" i="2"/>
  <c r="A101" i="2"/>
  <c r="A109" i="2"/>
  <c r="D59" i="2"/>
  <c r="C59" i="2"/>
  <c r="B59" i="2"/>
  <c r="B33" i="2"/>
  <c r="C33" i="2"/>
  <c r="D33" i="2"/>
  <c r="D66" i="2"/>
  <c r="B66" i="2"/>
  <c r="C66" i="2"/>
  <c r="B35" i="2"/>
  <c r="C35" i="2"/>
  <c r="D35" i="2"/>
  <c r="B42" i="2"/>
  <c r="D42" i="2"/>
  <c r="C34" i="2"/>
  <c r="D34" i="2"/>
  <c r="B34" i="2"/>
  <c r="C90" i="2"/>
  <c r="B90" i="2"/>
  <c r="D90" i="2"/>
  <c r="D60" i="2"/>
  <c r="B60" i="2"/>
  <c r="C60" i="2"/>
  <c r="B32" i="2"/>
  <c r="D32" i="2"/>
  <c r="C32" i="2"/>
  <c r="C39" i="2"/>
  <c r="B39" i="2"/>
  <c r="D39" i="2"/>
  <c r="C110" i="2"/>
  <c r="B110" i="2"/>
  <c r="D110" i="2"/>
  <c r="B120" i="2"/>
  <c r="C120" i="2"/>
  <c r="D120" i="2"/>
  <c r="C46" i="2"/>
  <c r="B46" i="2"/>
  <c r="L106" i="8"/>
  <c r="M106" i="8" s="1"/>
  <c r="S106" i="8" s="1"/>
  <c r="L136" i="8"/>
  <c r="M136" i="8" s="1"/>
  <c r="L134" i="8"/>
  <c r="M134" i="8" s="1"/>
  <c r="L175" i="8"/>
  <c r="M175" i="8" s="1"/>
  <c r="Q175" i="8" s="1"/>
  <c r="L201" i="8"/>
  <c r="M201" i="8" s="1"/>
  <c r="O201" i="8" s="1"/>
  <c r="L170" i="8"/>
  <c r="M170" i="8" s="1"/>
  <c r="L71" i="8"/>
  <c r="M71" i="8" s="1"/>
  <c r="L194" i="8"/>
  <c r="M194" i="8" s="1"/>
  <c r="L157" i="8"/>
  <c r="M157" i="8" s="1"/>
  <c r="S157" i="8" s="1"/>
  <c r="B69" i="2"/>
  <c r="D69" i="2"/>
  <c r="C69" i="2"/>
  <c r="D158" i="2"/>
  <c r="B158" i="2"/>
  <c r="C158" i="2"/>
  <c r="B124" i="2"/>
  <c r="D124" i="2"/>
  <c r="C124" i="2"/>
  <c r="B71" i="2"/>
  <c r="C71" i="2"/>
  <c r="D71" i="2"/>
  <c r="A156" i="2"/>
  <c r="D92" i="2"/>
  <c r="B92" i="2"/>
  <c r="C92" i="2"/>
  <c r="B43" i="2"/>
  <c r="D43" i="2"/>
  <c r="C43" i="2"/>
  <c r="D94" i="2"/>
  <c r="C94" i="2"/>
  <c r="B94" i="2"/>
  <c r="C162" i="2"/>
  <c r="D162" i="2"/>
  <c r="B162" i="2"/>
  <c r="B29" i="2"/>
  <c r="D29" i="2"/>
  <c r="C29" i="2"/>
  <c r="D102" i="2"/>
  <c r="B102" i="2"/>
  <c r="C102" i="2"/>
  <c r="A140" i="2"/>
  <c r="B142" i="2"/>
  <c r="D142" i="2"/>
  <c r="C142" i="2"/>
  <c r="A133" i="2"/>
  <c r="A124" i="2"/>
  <c r="D47" i="2"/>
  <c r="C47" i="2"/>
  <c r="B47" i="2"/>
  <c r="A154" i="2"/>
  <c r="D149" i="2"/>
  <c r="B149" i="2"/>
  <c r="C149" i="2"/>
  <c r="C89" i="2"/>
  <c r="D89" i="2"/>
  <c r="B89" i="2"/>
  <c r="A91" i="2"/>
  <c r="C132" i="2"/>
  <c r="D132" i="2"/>
  <c r="B132" i="2"/>
  <c r="A54" i="2"/>
  <c r="D163" i="2"/>
  <c r="C163" i="2"/>
  <c r="B163" i="2"/>
  <c r="B130" i="2"/>
  <c r="D130" i="2"/>
  <c r="C130" i="2"/>
  <c r="D85" i="2"/>
  <c r="B85" i="2"/>
  <c r="C85" i="2"/>
  <c r="D81" i="2"/>
  <c r="B81" i="2"/>
  <c r="C81" i="2"/>
  <c r="A136" i="2"/>
  <c r="A137" i="2"/>
  <c r="C74" i="2"/>
  <c r="B74" i="2"/>
  <c r="D74" i="2"/>
  <c r="D104" i="2"/>
  <c r="B104" i="2"/>
  <c r="C104" i="2"/>
  <c r="D49" i="2"/>
  <c r="B49" i="2"/>
  <c r="C49" i="2"/>
  <c r="A162" i="2"/>
  <c r="A35" i="2"/>
  <c r="C161" i="2"/>
  <c r="B161" i="2"/>
  <c r="D161" i="2"/>
  <c r="B40" i="2"/>
  <c r="D40" i="2"/>
  <c r="C40" i="2"/>
  <c r="D99" i="2"/>
  <c r="B99" i="2"/>
  <c r="C99" i="2"/>
  <c r="C76" i="2"/>
  <c r="D76" i="2"/>
  <c r="B76" i="2"/>
  <c r="A75" i="2"/>
  <c r="C109" i="2"/>
  <c r="D109" i="2"/>
  <c r="B109" i="2"/>
  <c r="D37" i="2"/>
  <c r="B37" i="2"/>
  <c r="D143" i="2"/>
  <c r="B143" i="2"/>
  <c r="C143" i="2"/>
  <c r="A158" i="2"/>
  <c r="B160" i="2"/>
  <c r="D160" i="2"/>
  <c r="C160" i="2"/>
  <c r="A41" i="2"/>
  <c r="C111" i="2"/>
  <c r="B111" i="2"/>
  <c r="D111" i="2"/>
  <c r="B119" i="2"/>
  <c r="C119" i="2"/>
  <c r="D119" i="2"/>
  <c r="C38" i="2"/>
  <c r="B38" i="2"/>
  <c r="D38" i="2"/>
  <c r="A82" i="2"/>
  <c r="B147" i="2"/>
  <c r="D147" i="2"/>
  <c r="C147" i="2"/>
  <c r="A44" i="2"/>
  <c r="B150" i="2"/>
  <c r="C150" i="2"/>
  <c r="D150" i="2"/>
  <c r="A126" i="2"/>
  <c r="D139" i="2"/>
  <c r="C139" i="2"/>
  <c r="B139" i="2"/>
  <c r="A149" i="2"/>
  <c r="A151" i="2"/>
  <c r="C82" i="2"/>
  <c r="D82" i="2"/>
  <c r="B82" i="2"/>
  <c r="B50" i="2"/>
  <c r="C50" i="2"/>
  <c r="D50" i="2"/>
  <c r="B78" i="2"/>
  <c r="C78" i="2"/>
  <c r="D78" i="2"/>
  <c r="A145" i="2"/>
  <c r="B62" i="2"/>
  <c r="D62" i="2"/>
  <c r="C62" i="2"/>
  <c r="C108" i="2"/>
  <c r="B108" i="2"/>
  <c r="D108" i="2"/>
  <c r="A114" i="2"/>
  <c r="L161" i="8"/>
  <c r="M161" i="8" s="1"/>
  <c r="O161" i="8" s="1"/>
  <c r="L151" i="8"/>
  <c r="M151" i="8" s="1"/>
  <c r="N151" i="8" s="1"/>
  <c r="L123" i="8"/>
  <c r="M123" i="8" s="1"/>
  <c r="C31" i="2"/>
  <c r="B31" i="2"/>
  <c r="D31" i="2"/>
  <c r="D44" i="2"/>
  <c r="B44" i="2"/>
  <c r="C44" i="2"/>
  <c r="B93" i="2"/>
  <c r="D93" i="2"/>
  <c r="C93" i="2"/>
  <c r="A33" i="2"/>
  <c r="A47" i="2"/>
  <c r="D77" i="2"/>
  <c r="B77" i="2"/>
  <c r="C77" i="2"/>
  <c r="C121" i="2"/>
  <c r="B121" i="2"/>
  <c r="D121" i="2"/>
  <c r="C79" i="2"/>
  <c r="B79" i="2"/>
  <c r="D79" i="2"/>
  <c r="D107" i="2"/>
  <c r="B107" i="2"/>
  <c r="C107" i="2"/>
  <c r="D73" i="2"/>
  <c r="B73" i="2"/>
  <c r="C73" i="2"/>
  <c r="D58" i="2"/>
  <c r="B58" i="2"/>
  <c r="C58" i="2"/>
  <c r="C113" i="2"/>
  <c r="D113" i="2"/>
  <c r="B113" i="2"/>
  <c r="D157" i="2"/>
  <c r="B157" i="2"/>
  <c r="C157" i="2"/>
  <c r="D45" i="2"/>
  <c r="B45" i="2"/>
  <c r="A51" i="2"/>
  <c r="A48" i="2"/>
  <c r="A86" i="2"/>
  <c r="C75" i="2"/>
  <c r="B75" i="2"/>
  <c r="D75" i="2"/>
  <c r="D57" i="2"/>
  <c r="C57" i="2"/>
  <c r="B57" i="2"/>
  <c r="B126" i="2"/>
  <c r="C126" i="2"/>
  <c r="D126" i="2"/>
  <c r="C101" i="2"/>
  <c r="B101" i="2"/>
  <c r="D101" i="2"/>
  <c r="A60" i="2"/>
  <c r="D146" i="2"/>
  <c r="C146" i="2"/>
  <c r="B146" i="2"/>
  <c r="A157" i="2"/>
  <c r="A79" i="2"/>
  <c r="B51" i="2"/>
  <c r="C51" i="2"/>
  <c r="D51" i="2"/>
  <c r="A58" i="2"/>
  <c r="A93" i="2"/>
  <c r="A37" i="2"/>
  <c r="A49" i="2"/>
  <c r="C153" i="2"/>
  <c r="B153" i="2"/>
  <c r="D153" i="2"/>
  <c r="C27" i="2"/>
  <c r="D27" i="2"/>
  <c r="B27" i="2"/>
  <c r="D140" i="2"/>
  <c r="B140" i="2"/>
  <c r="C140" i="2"/>
  <c r="A71" i="2"/>
  <c r="C86" i="2"/>
  <c r="B86" i="2"/>
  <c r="D86" i="2"/>
  <c r="C28" i="2"/>
  <c r="D28" i="2"/>
  <c r="B28" i="2"/>
  <c r="C84" i="2"/>
  <c r="B84" i="2"/>
  <c r="D84" i="2"/>
  <c r="A105" i="2"/>
  <c r="B141" i="2"/>
  <c r="C141" i="2"/>
  <c r="D141" i="2"/>
  <c r="D70" i="2"/>
  <c r="C70" i="2"/>
  <c r="B70" i="2"/>
  <c r="A122" i="2"/>
  <c r="C159" i="2"/>
  <c r="D159" i="2"/>
  <c r="B159" i="2"/>
  <c r="A116" i="2"/>
  <c r="B114" i="2"/>
  <c r="D114" i="2"/>
  <c r="C114" i="2"/>
  <c r="D41" i="2"/>
  <c r="C41" i="2"/>
  <c r="B41" i="2"/>
  <c r="D131" i="2"/>
  <c r="B131" i="2"/>
  <c r="C131" i="2"/>
  <c r="B135" i="2"/>
  <c r="C135" i="2"/>
  <c r="D135" i="2"/>
  <c r="C30" i="2"/>
  <c r="B30" i="2"/>
  <c r="D100" i="2"/>
  <c r="B100" i="2"/>
  <c r="C100" i="2"/>
  <c r="B61" i="2"/>
  <c r="C61" i="2"/>
  <c r="D61" i="2"/>
  <c r="L190" i="8"/>
  <c r="M190" i="8" s="1"/>
  <c r="S190" i="8" s="1"/>
  <c r="L74" i="8"/>
  <c r="M74" i="8" s="1"/>
  <c r="T74" i="8" s="1"/>
  <c r="U74" i="8" s="1"/>
  <c r="L94" i="8"/>
  <c r="M94" i="8" s="1"/>
  <c r="S94" i="8" s="1"/>
  <c r="A40" i="2"/>
  <c r="B63" i="2"/>
  <c r="C63" i="2"/>
  <c r="D63" i="2"/>
  <c r="A164" i="2"/>
  <c r="D128" i="2"/>
  <c r="B128" i="2"/>
  <c r="C128" i="2"/>
  <c r="A78" i="2"/>
  <c r="B144" i="2"/>
  <c r="D144" i="2"/>
  <c r="C144" i="2"/>
  <c r="B123" i="2"/>
  <c r="D123" i="2"/>
  <c r="C123" i="2"/>
  <c r="B55" i="2"/>
  <c r="C55" i="2"/>
  <c r="D55" i="2"/>
  <c r="B127" i="2"/>
  <c r="C127" i="2"/>
  <c r="D127" i="2"/>
  <c r="A153" i="2"/>
  <c r="A67" i="2"/>
  <c r="A69" i="2"/>
  <c r="A81" i="2"/>
  <c r="B129" i="2"/>
  <c r="D129" i="2"/>
  <c r="C129" i="2"/>
  <c r="B125" i="2"/>
  <c r="C125" i="2"/>
  <c r="D125" i="2"/>
  <c r="B115" i="2"/>
  <c r="D115" i="2"/>
  <c r="C115" i="2"/>
  <c r="D136" i="2"/>
  <c r="B136" i="2"/>
  <c r="C136" i="2"/>
  <c r="A96" i="2"/>
  <c r="C151" i="2"/>
  <c r="B151" i="2"/>
  <c r="D151" i="2"/>
  <c r="A34" i="2"/>
  <c r="B138" i="2"/>
  <c r="C138" i="2"/>
  <c r="D138" i="2"/>
  <c r="B122" i="2"/>
  <c r="C122" i="2"/>
  <c r="D122" i="2"/>
  <c r="B148" i="2"/>
  <c r="D148" i="2"/>
  <c r="C148" i="2"/>
  <c r="D116" i="2"/>
  <c r="B116" i="2"/>
  <c r="C116" i="2"/>
  <c r="A57" i="2"/>
  <c r="C80" i="2"/>
  <c r="D80" i="2"/>
  <c r="B80" i="2"/>
  <c r="A28" i="2"/>
  <c r="A88" i="2"/>
  <c r="C106" i="2"/>
  <c r="B106" i="2"/>
  <c r="D106" i="2"/>
  <c r="A107" i="2"/>
  <c r="D48" i="2"/>
  <c r="B48" i="2"/>
  <c r="C48" i="2"/>
  <c r="D152" i="2"/>
  <c r="C152" i="2"/>
  <c r="B152" i="2"/>
  <c r="C112" i="2"/>
  <c r="B112" i="2"/>
  <c r="D112" i="2"/>
  <c r="C103" i="2"/>
  <c r="D103" i="2"/>
  <c r="B103" i="2"/>
  <c r="A134" i="2"/>
  <c r="A141" i="2"/>
  <c r="C36" i="2"/>
  <c r="B36" i="2"/>
  <c r="D36" i="2"/>
  <c r="C56" i="2"/>
  <c r="B56" i="2"/>
  <c r="D56" i="2"/>
  <c r="A55" i="2"/>
  <c r="A61" i="2"/>
  <c r="A94" i="2"/>
  <c r="C83" i="2"/>
  <c r="D83" i="2"/>
  <c r="B83" i="2"/>
  <c r="A31" i="2"/>
  <c r="D145" i="2"/>
  <c r="C145" i="2"/>
  <c r="B145" i="2"/>
  <c r="A128" i="2"/>
  <c r="D105" i="2"/>
  <c r="B105" i="2"/>
  <c r="C105" i="2"/>
  <c r="D137" i="2"/>
  <c r="C137" i="2"/>
  <c r="B137" i="2"/>
  <c r="C72" i="2"/>
  <c r="D72" i="2"/>
  <c r="B72" i="2"/>
  <c r="A119" i="2"/>
  <c r="B54" i="2"/>
  <c r="D54" i="2"/>
  <c r="C54" i="2"/>
  <c r="C91" i="2"/>
  <c r="B91" i="2"/>
  <c r="D91" i="2"/>
  <c r="A159" i="2"/>
  <c r="A110" i="2"/>
  <c r="K16" i="2"/>
  <c r="K8" i="2"/>
  <c r="J12" i="2"/>
  <c r="I24" i="2"/>
  <c r="I9" i="2"/>
  <c r="J22" i="2"/>
  <c r="I10" i="2"/>
  <c r="K21" i="2"/>
  <c r="L19" i="2"/>
  <c r="K17" i="2"/>
  <c r="K9" i="2"/>
  <c r="I16" i="2"/>
  <c r="J23" i="2"/>
  <c r="J18" i="2"/>
  <c r="I17" i="2"/>
  <c r="L6" i="2"/>
  <c r="K7" i="2"/>
  <c r="L16" i="2"/>
  <c r="J14" i="2"/>
  <c r="L9" i="2"/>
  <c r="J16" i="2"/>
  <c r="J10" i="2"/>
  <c r="L20" i="2"/>
  <c r="K13" i="2"/>
  <c r="I19" i="2"/>
  <c r="J19" i="2"/>
  <c r="J13" i="2"/>
  <c r="K20" i="2"/>
  <c r="J7" i="2"/>
  <c r="K22" i="2"/>
  <c r="L12" i="2"/>
  <c r="J21" i="2"/>
  <c r="L13" i="2"/>
  <c r="K10" i="2"/>
  <c r="A10" i="2" s="1"/>
  <c r="J15" i="2"/>
  <c r="L23" i="2"/>
  <c r="L18" i="2"/>
  <c r="L7" i="2"/>
  <c r="I5" i="2"/>
  <c r="B5" i="2" s="1"/>
  <c r="L21" i="2"/>
  <c r="K18" i="2"/>
  <c r="J5" i="2"/>
  <c r="C5" i="2" s="1"/>
  <c r="K15" i="2"/>
  <c r="J6" i="2"/>
  <c r="K12" i="2"/>
  <c r="K6" i="2"/>
  <c r="K14" i="2"/>
  <c r="L5" i="2"/>
  <c r="D5" i="2" s="1"/>
  <c r="J9" i="2"/>
  <c r="I8" i="2"/>
  <c r="I15" i="2"/>
  <c r="I18" i="2"/>
  <c r="I11" i="2"/>
  <c r="L14" i="2"/>
  <c r="K5" i="2"/>
  <c r="A5" i="2" s="1"/>
  <c r="J8" i="2"/>
  <c r="L15" i="2"/>
  <c r="L17" i="2"/>
  <c r="I20" i="2"/>
  <c r="I6" i="2"/>
  <c r="D6" i="2" s="1"/>
  <c r="I23" i="2"/>
  <c r="I12" i="2"/>
  <c r="K11" i="2"/>
  <c r="K19" i="2"/>
  <c r="J24" i="2"/>
  <c r="I14" i="2"/>
  <c r="L10" i="2"/>
  <c r="I21" i="2"/>
  <c r="L22" i="2"/>
  <c r="J11" i="2"/>
  <c r="I13" i="2"/>
  <c r="L8" i="2"/>
  <c r="L24" i="2"/>
  <c r="J20" i="2"/>
  <c r="I22" i="2"/>
  <c r="L11" i="2"/>
  <c r="J17" i="2"/>
  <c r="K24" i="2"/>
  <c r="K23" i="2"/>
  <c r="I7" i="2"/>
  <c r="L25" i="2"/>
  <c r="I25" i="2"/>
  <c r="C26" i="2" s="1"/>
  <c r="K25" i="2"/>
  <c r="A26" i="2" s="1"/>
  <c r="J124" i="2"/>
  <c r="J132" i="2"/>
  <c r="L142" i="2"/>
  <c r="L99" i="2"/>
  <c r="J57" i="2"/>
  <c r="K63" i="2"/>
  <c r="A63" i="2" s="1"/>
  <c r="L77" i="2"/>
  <c r="J84" i="2"/>
  <c r="L68" i="2"/>
  <c r="J25" i="2"/>
  <c r="K65" i="2"/>
  <c r="A65" i="2" s="1"/>
  <c r="L145" i="2"/>
  <c r="I64" i="2"/>
  <c r="B65" i="2" s="1"/>
  <c r="J64" i="2"/>
  <c r="K45" i="2"/>
  <c r="A45" i="2" s="1"/>
  <c r="I87" i="2"/>
  <c r="C88" i="2" s="1"/>
  <c r="K120" i="2"/>
  <c r="A120" i="2" s="1"/>
  <c r="I133" i="2"/>
  <c r="J54" i="2"/>
  <c r="J109" i="2"/>
  <c r="J82" i="2"/>
  <c r="J58" i="2"/>
  <c r="K72" i="2"/>
  <c r="A72" i="2" s="1"/>
  <c r="K143" i="2"/>
  <c r="A143" i="2" s="1"/>
  <c r="I97" i="2"/>
  <c r="C98" i="2" s="1"/>
  <c r="I95" i="2"/>
  <c r="K99" i="2"/>
  <c r="A99" i="2" s="1"/>
  <c r="L125" i="2"/>
  <c r="K103" i="2"/>
  <c r="A103" i="2" s="1"/>
  <c r="L80" i="2"/>
  <c r="I117" i="2"/>
  <c r="D118" i="2" s="1"/>
  <c r="J91" i="2"/>
  <c r="K42" i="2"/>
  <c r="A42" i="2" s="1"/>
  <c r="L30" i="2"/>
  <c r="D30" i="2" s="1"/>
  <c r="I164" i="2"/>
  <c r="I67" i="2"/>
  <c r="D68" i="2" s="1"/>
  <c r="J138" i="2"/>
  <c r="L75" i="2"/>
  <c r="K73" i="2"/>
  <c r="A73" i="2" s="1"/>
  <c r="I52" i="2"/>
  <c r="B53" i="2" s="1"/>
  <c r="L46" i="2"/>
  <c r="D46" i="2" s="1"/>
  <c r="L26" i="2"/>
  <c r="I155" i="2"/>
  <c r="C156" i="2" s="1"/>
  <c r="K97" i="2"/>
  <c r="A97" i="2" s="1"/>
  <c r="J45" i="2"/>
  <c r="C45" i="2" s="1"/>
  <c r="L88" i="2"/>
  <c r="J78" i="2"/>
  <c r="J37" i="2"/>
  <c r="C37" i="2" s="1"/>
  <c r="K146" i="2"/>
  <c r="A147" i="2" s="1"/>
  <c r="I154" i="2"/>
  <c r="L81" i="2"/>
  <c r="J42" i="2"/>
  <c r="C42" i="2" s="1"/>
  <c r="L160" i="2"/>
  <c r="J74" i="2"/>
  <c r="L120" i="2"/>
  <c r="K138" i="2"/>
  <c r="A138" i="2" s="1"/>
  <c r="L73" i="8"/>
  <c r="M73" i="8" s="1"/>
  <c r="Q73" i="8" s="1"/>
  <c r="L163" i="8"/>
  <c r="M163" i="8" s="1"/>
  <c r="T163" i="8" s="1"/>
  <c r="U163" i="8" s="1"/>
  <c r="L111" i="8"/>
  <c r="M111" i="8" s="1"/>
  <c r="L87" i="8"/>
  <c r="M87" i="8" s="1"/>
  <c r="L210" i="8"/>
  <c r="M210" i="8" s="1"/>
  <c r="S210" i="8" s="1"/>
  <c r="L130" i="8"/>
  <c r="M130" i="8" s="1"/>
  <c r="S130" i="8" s="1"/>
  <c r="L132" i="8"/>
  <c r="M132" i="8" s="1"/>
  <c r="L108" i="8"/>
  <c r="M108" i="8" s="1"/>
  <c r="L75" i="8"/>
  <c r="M75" i="8" s="1"/>
  <c r="S75" i="8" s="1"/>
  <c r="L165" i="8"/>
  <c r="M165" i="8" s="1"/>
  <c r="S165" i="8" s="1"/>
  <c r="L133" i="8"/>
  <c r="M133" i="8" s="1"/>
  <c r="L76" i="8"/>
  <c r="M76" i="8" s="1"/>
  <c r="L147" i="8"/>
  <c r="M147" i="8" s="1"/>
  <c r="Q147" i="8" s="1"/>
  <c r="L202" i="8"/>
  <c r="M202" i="8" s="1"/>
  <c r="T202" i="8" s="1"/>
  <c r="U202" i="8" s="1"/>
  <c r="L171" i="8"/>
  <c r="M171" i="8" s="1"/>
  <c r="O171" i="8" s="1"/>
  <c r="L149" i="8"/>
  <c r="M149" i="8" s="1"/>
  <c r="O149" i="8" s="1"/>
  <c r="L127" i="8"/>
  <c r="M127" i="8" s="1"/>
  <c r="R127" i="8" s="1"/>
  <c r="L195" i="8"/>
  <c r="M195" i="8" s="1"/>
  <c r="P195" i="8" s="1"/>
  <c r="Z106" i="7"/>
  <c r="D104" i="8"/>
  <c r="D201" i="8"/>
  <c r="Z203" i="7"/>
  <c r="O114" i="8"/>
  <c r="T114" i="8"/>
  <c r="U114" i="8" s="1"/>
  <c r="S114" i="8"/>
  <c r="N114" i="8"/>
  <c r="Q114" i="8"/>
  <c r="P114" i="8"/>
  <c r="R114" i="8"/>
  <c r="Q106" i="8"/>
  <c r="D101" i="8"/>
  <c r="Z103" i="7"/>
  <c r="D105" i="8"/>
  <c r="Z107" i="7"/>
  <c r="Z194" i="7"/>
  <c r="D192" i="8"/>
  <c r="D193" i="8"/>
  <c r="Z195" i="7"/>
  <c r="R190" i="8"/>
  <c r="Q98" i="8"/>
  <c r="S98" i="8"/>
  <c r="T98" i="8"/>
  <c r="U98" i="8" s="1"/>
  <c r="O98" i="8"/>
  <c r="R98" i="8"/>
  <c r="N98" i="8"/>
  <c r="P98" i="8"/>
  <c r="D92" i="8"/>
  <c r="Z94" i="7"/>
  <c r="N147" i="8"/>
  <c r="D124" i="8"/>
  <c r="Z126" i="7"/>
  <c r="L183" i="8"/>
  <c r="M183" i="8" s="1"/>
  <c r="Z70" i="7"/>
  <c r="D68" i="8"/>
  <c r="L148" i="8"/>
  <c r="M148" i="8" s="1"/>
  <c r="D88" i="8"/>
  <c r="Z90" i="7"/>
  <c r="D141" i="8"/>
  <c r="Z143" i="7"/>
  <c r="D71" i="8"/>
  <c r="Z73" i="7"/>
  <c r="D98" i="8"/>
  <c r="Z100" i="7"/>
  <c r="S171" i="8"/>
  <c r="O101" i="8"/>
  <c r="S101" i="8"/>
  <c r="Q101" i="8"/>
  <c r="N101" i="8"/>
  <c r="P101" i="8"/>
  <c r="T101" i="8"/>
  <c r="U101" i="8" s="1"/>
  <c r="R101" i="8"/>
  <c r="Z129" i="7"/>
  <c r="D127" i="8"/>
  <c r="Z139" i="7"/>
  <c r="D137" i="8"/>
  <c r="L107" i="8"/>
  <c r="M107" i="8" s="1"/>
  <c r="L172" i="8"/>
  <c r="M172" i="8" s="1"/>
  <c r="Q74" i="8"/>
  <c r="N74" i="8"/>
  <c r="S74" i="8"/>
  <c r="P74" i="8"/>
  <c r="R166" i="8"/>
  <c r="O166" i="8"/>
  <c r="S166" i="8"/>
  <c r="Q166" i="8"/>
  <c r="T166" i="8"/>
  <c r="U166" i="8" s="1"/>
  <c r="V166" i="8" s="1"/>
  <c r="P166" i="8"/>
  <c r="N166" i="8"/>
  <c r="Z210" i="7"/>
  <c r="D208" i="8"/>
  <c r="D55" i="8"/>
  <c r="Z57" i="7"/>
  <c r="L128" i="8"/>
  <c r="M128" i="8" s="1"/>
  <c r="Q198" i="8"/>
  <c r="N198" i="8"/>
  <c r="P198" i="8"/>
  <c r="R198" i="8"/>
  <c r="T198" i="8"/>
  <c r="U198" i="8" s="1"/>
  <c r="O198" i="8"/>
  <c r="S198" i="8"/>
  <c r="O121" i="8"/>
  <c r="Q121" i="8"/>
  <c r="N121" i="8"/>
  <c r="R121" i="8"/>
  <c r="T121" i="8"/>
  <c r="U121" i="8" s="1"/>
  <c r="P121" i="8"/>
  <c r="S121" i="8"/>
  <c r="D93" i="8"/>
  <c r="Z95" i="7"/>
  <c r="D159" i="8"/>
  <c r="Z161" i="7"/>
  <c r="Z181" i="7"/>
  <c r="D179" i="8"/>
  <c r="L129" i="8"/>
  <c r="M129" i="8" s="1"/>
  <c r="O78" i="8"/>
  <c r="R78" i="8"/>
  <c r="S78" i="8"/>
  <c r="Q78" i="8"/>
  <c r="T78" i="8"/>
  <c r="U78" i="8" s="1"/>
  <c r="N78" i="8"/>
  <c r="P78" i="8"/>
  <c r="Z209" i="7"/>
  <c r="D207" i="8"/>
  <c r="Z179" i="7"/>
  <c r="D177" i="8"/>
  <c r="D155" i="8"/>
  <c r="Z157" i="7"/>
  <c r="L162" i="8"/>
  <c r="M162" i="8" s="1"/>
  <c r="D119" i="8"/>
  <c r="Z121" i="7"/>
  <c r="L131" i="8"/>
  <c r="M131" i="8" s="1"/>
  <c r="L191" i="8"/>
  <c r="M191" i="8" s="1"/>
  <c r="S154" i="8"/>
  <c r="T154" i="8"/>
  <c r="U154" i="8" s="1"/>
  <c r="N154" i="8"/>
  <c r="R154" i="8"/>
  <c r="Q154" i="8"/>
  <c r="P154" i="8"/>
  <c r="O154" i="8"/>
  <c r="L110" i="8"/>
  <c r="M110" i="8" s="1"/>
  <c r="Z159" i="7"/>
  <c r="D157" i="8"/>
  <c r="D57" i="8"/>
  <c r="Z59" i="7"/>
  <c r="R141" i="8"/>
  <c r="S141" i="8"/>
  <c r="P141" i="8"/>
  <c r="Q141" i="8"/>
  <c r="O141" i="8"/>
  <c r="N141" i="8"/>
  <c r="T141" i="8"/>
  <c r="U141" i="8" s="1"/>
  <c r="D198" i="8"/>
  <c r="Z200" i="7"/>
  <c r="R94" i="8"/>
  <c r="Z207" i="7"/>
  <c r="D205" i="8"/>
  <c r="Z39" i="7"/>
  <c r="D37" i="8"/>
  <c r="L187" i="8"/>
  <c r="M187" i="8" s="1"/>
  <c r="L203" i="8"/>
  <c r="M203" i="8" s="1"/>
  <c r="D121" i="8"/>
  <c r="Z123" i="7"/>
  <c r="D138" i="8"/>
  <c r="Z140" i="7"/>
  <c r="Z65" i="7"/>
  <c r="D63" i="8"/>
  <c r="D147" i="8"/>
  <c r="Z149" i="7"/>
  <c r="L86" i="8"/>
  <c r="M86" i="8" s="1"/>
  <c r="D95" i="8"/>
  <c r="Z97" i="7"/>
  <c r="L100" i="8"/>
  <c r="M100" i="8" s="1"/>
  <c r="Z174" i="7"/>
  <c r="D172" i="8"/>
  <c r="L72" i="8"/>
  <c r="M72" i="8" s="1"/>
  <c r="Z178" i="7"/>
  <c r="D176" i="8"/>
  <c r="Z141" i="7"/>
  <c r="D139" i="8"/>
  <c r="Z45" i="7"/>
  <c r="D43" i="8"/>
  <c r="L209" i="8"/>
  <c r="M209" i="8" s="1"/>
  <c r="D44" i="8"/>
  <c r="Z46" i="7"/>
  <c r="Z196" i="7"/>
  <c r="D194" i="8"/>
  <c r="L197" i="8"/>
  <c r="M197" i="8" s="1"/>
  <c r="D163" i="8"/>
  <c r="Z165" i="7"/>
  <c r="D125" i="8"/>
  <c r="Z127" i="7"/>
  <c r="D145" i="8"/>
  <c r="Z147" i="7"/>
  <c r="D56" i="8"/>
  <c r="Z58" i="7"/>
  <c r="D164" i="8"/>
  <c r="Z166" i="7"/>
  <c r="D175" i="8"/>
  <c r="Z177" i="7"/>
  <c r="D32" i="8"/>
  <c r="Z34" i="7"/>
  <c r="T149" i="8"/>
  <c r="U149" i="8" s="1"/>
  <c r="Z180" i="7"/>
  <c r="D178" i="8"/>
  <c r="R145" i="8"/>
  <c r="T145" i="8"/>
  <c r="U145" i="8" s="1"/>
  <c r="P145" i="8"/>
  <c r="N145" i="8"/>
  <c r="O145" i="8"/>
  <c r="S145" i="8"/>
  <c r="Q145" i="8"/>
  <c r="D72" i="8"/>
  <c r="Z74" i="7"/>
  <c r="Q188" i="8"/>
  <c r="S188" i="8"/>
  <c r="O188" i="8"/>
  <c r="P188" i="8"/>
  <c r="N188" i="8"/>
  <c r="T188" i="8"/>
  <c r="U188" i="8" s="1"/>
  <c r="R188" i="8"/>
  <c r="D62" i="8"/>
  <c r="Z64" i="7"/>
  <c r="Q138" i="8"/>
  <c r="S138" i="8"/>
  <c r="T138" i="8"/>
  <c r="U138" i="8" s="1"/>
  <c r="P138" i="8"/>
  <c r="O138" i="8"/>
  <c r="R138" i="8"/>
  <c r="N138" i="8"/>
  <c r="Z168" i="7"/>
  <c r="D166" i="8"/>
  <c r="D87" i="8"/>
  <c r="Z89" i="7"/>
  <c r="D46" i="8"/>
  <c r="D199" i="8"/>
  <c r="Z201" i="7"/>
  <c r="D23" i="8"/>
  <c r="Z25" i="7"/>
  <c r="Q127" i="8"/>
  <c r="T127" i="8"/>
  <c r="U127" i="8" s="1"/>
  <c r="S127" i="8"/>
  <c r="O127" i="8"/>
  <c r="Z84" i="7"/>
  <c r="D82" i="8"/>
  <c r="Z110" i="7"/>
  <c r="D108" i="8"/>
  <c r="D132" i="8"/>
  <c r="Z134" i="7"/>
  <c r="L69" i="8"/>
  <c r="M69" i="8" s="1"/>
  <c r="D120" i="8"/>
  <c r="Z122" i="7"/>
  <c r="Z130" i="7"/>
  <c r="D128" i="8"/>
  <c r="O105" i="8"/>
  <c r="R105" i="8"/>
  <c r="P105" i="8"/>
  <c r="S105" i="8"/>
  <c r="Q105" i="8"/>
  <c r="N105" i="8"/>
  <c r="T105" i="8"/>
  <c r="U105" i="8" s="1"/>
  <c r="P133" i="8"/>
  <c r="S133" i="8"/>
  <c r="T133" i="8"/>
  <c r="U133" i="8" s="1"/>
  <c r="R133" i="8"/>
  <c r="O133" i="8"/>
  <c r="Q133" i="8"/>
  <c r="N133" i="8"/>
  <c r="D15" i="8"/>
  <c r="Z17" i="7"/>
  <c r="L205" i="8"/>
  <c r="M205" i="8" s="1"/>
  <c r="Z142" i="7"/>
  <c r="D140" i="8"/>
  <c r="Z204" i="7"/>
  <c r="D202" i="8"/>
  <c r="N158" i="8"/>
  <c r="Q158" i="8"/>
  <c r="P158" i="8"/>
  <c r="O158" i="8"/>
  <c r="R158" i="8"/>
  <c r="T158" i="8"/>
  <c r="U158" i="8" s="1"/>
  <c r="S158" i="8"/>
  <c r="Z188" i="7"/>
  <c r="D186" i="8"/>
  <c r="R169" i="8"/>
  <c r="P169" i="8"/>
  <c r="N169" i="8"/>
  <c r="O169" i="8"/>
  <c r="Q169" i="8"/>
  <c r="S169" i="8"/>
  <c r="T169" i="8"/>
  <c r="U169" i="8" s="1"/>
  <c r="D29" i="8"/>
  <c r="Z31" i="7"/>
  <c r="N73" i="8"/>
  <c r="S73" i="8"/>
  <c r="R73" i="8"/>
  <c r="L199" i="8"/>
  <c r="M199" i="8" s="1"/>
  <c r="Z151" i="7"/>
  <c r="D149" i="8"/>
  <c r="L200" i="8"/>
  <c r="M200" i="8" s="1"/>
  <c r="D79" i="8"/>
  <c r="Z81" i="7"/>
  <c r="D47" i="8"/>
  <c r="Z71" i="7"/>
  <c r="D69" i="8"/>
  <c r="D21" i="8"/>
  <c r="Z23" i="7"/>
  <c r="L70" i="8"/>
  <c r="M70" i="8" s="1"/>
  <c r="D113" i="8"/>
  <c r="Z115" i="7"/>
  <c r="L189" i="8"/>
  <c r="M189" i="8" s="1"/>
  <c r="L137" i="8"/>
  <c r="M137" i="8" s="1"/>
  <c r="D81" i="8"/>
  <c r="Z83" i="7"/>
  <c r="L102" i="8"/>
  <c r="M102" i="8" s="1"/>
  <c r="S91" i="8"/>
  <c r="P91" i="8"/>
  <c r="T91" i="8"/>
  <c r="U91" i="8" s="1"/>
  <c r="R91" i="8"/>
  <c r="N91" i="8"/>
  <c r="Q91" i="8"/>
  <c r="O91" i="8"/>
  <c r="Z29" i="7"/>
  <c r="D27" i="8"/>
  <c r="L150" i="8"/>
  <c r="M150" i="8" s="1"/>
  <c r="D18" i="8"/>
  <c r="Z20" i="7"/>
  <c r="Q193" i="8"/>
  <c r="S193" i="8"/>
  <c r="O193" i="8"/>
  <c r="T193" i="8"/>
  <c r="U193" i="8" s="1"/>
  <c r="P193" i="8"/>
  <c r="N193" i="8"/>
  <c r="R193" i="8"/>
  <c r="D20" i="8"/>
  <c r="Z22" i="7"/>
  <c r="L155" i="8"/>
  <c r="M155" i="8" s="1"/>
  <c r="L95" i="8"/>
  <c r="M95" i="8" s="1"/>
  <c r="Q85" i="8"/>
  <c r="P85" i="8"/>
  <c r="R85" i="8"/>
  <c r="S85" i="8"/>
  <c r="T85" i="8"/>
  <c r="U85" i="8" s="1"/>
  <c r="O85" i="8"/>
  <c r="N85" i="8"/>
  <c r="Z133" i="7"/>
  <c r="D131" i="8"/>
  <c r="D16" i="8"/>
  <c r="Z18" i="7"/>
  <c r="L159" i="8"/>
  <c r="M159" i="8" s="1"/>
  <c r="L79" i="8"/>
  <c r="M79" i="8" s="1"/>
  <c r="D165" i="8"/>
  <c r="Z167" i="7"/>
  <c r="L168" i="8"/>
  <c r="M168" i="8" s="1"/>
  <c r="L103" i="8"/>
  <c r="M103" i="8" s="1"/>
  <c r="L174" i="8"/>
  <c r="M174" i="8" s="1"/>
  <c r="Z163" i="7"/>
  <c r="D161" i="8"/>
  <c r="L116" i="8"/>
  <c r="M116" i="8" s="1"/>
  <c r="L192" i="8"/>
  <c r="M192" i="8" s="1"/>
  <c r="L90" i="8"/>
  <c r="M90" i="8" s="1"/>
  <c r="Z184" i="7"/>
  <c r="D182" i="8"/>
  <c r="Z173" i="7"/>
  <c r="D171" i="8"/>
  <c r="L160" i="8"/>
  <c r="M160" i="8" s="1"/>
  <c r="D74" i="8"/>
  <c r="Z76" i="7"/>
  <c r="D183" i="8"/>
  <c r="Z185" i="7"/>
  <c r="L93" i="8"/>
  <c r="M93" i="8" s="1"/>
  <c r="L104" i="8"/>
  <c r="M104" i="8" s="1"/>
  <c r="L135" i="8"/>
  <c r="M135" i="8" s="1"/>
  <c r="L156" i="8"/>
  <c r="M156" i="8" s="1"/>
  <c r="Z72" i="7"/>
  <c r="D70" i="8"/>
  <c r="L122" i="8"/>
  <c r="M122" i="8" s="1"/>
  <c r="Z117" i="7"/>
  <c r="D115" i="8"/>
  <c r="D162" i="8"/>
  <c r="Z164" i="7"/>
  <c r="D156" i="8"/>
  <c r="Z158" i="7"/>
  <c r="Z144" i="7"/>
  <c r="D142" i="8"/>
  <c r="Z154" i="7"/>
  <c r="D152" i="8"/>
  <c r="D24" i="8"/>
  <c r="Z26" i="7"/>
  <c r="N136" i="8"/>
  <c r="O136" i="8"/>
  <c r="T136" i="8"/>
  <c r="U136" i="8" s="1"/>
  <c r="P136" i="8"/>
  <c r="Q136" i="8"/>
  <c r="S136" i="8"/>
  <c r="R136" i="8"/>
  <c r="O182" i="8"/>
  <c r="P182" i="8"/>
  <c r="N182" i="8"/>
  <c r="S182" i="8"/>
  <c r="R182" i="8"/>
  <c r="T182" i="8"/>
  <c r="U182" i="8" s="1"/>
  <c r="Q182" i="8"/>
  <c r="Z43" i="7"/>
  <c r="D41" i="8"/>
  <c r="D169" i="8"/>
  <c r="Z171" i="7"/>
  <c r="N134" i="8"/>
  <c r="S134" i="8"/>
  <c r="R134" i="8"/>
  <c r="O134" i="8"/>
  <c r="Q134" i="8"/>
  <c r="T134" i="8"/>
  <c r="U134" i="8" s="1"/>
  <c r="P134" i="8"/>
  <c r="Z191" i="7"/>
  <c r="D189" i="8"/>
  <c r="Z137" i="7"/>
  <c r="D135" i="8"/>
  <c r="Z136" i="7"/>
  <c r="D134" i="8"/>
  <c r="Z160" i="7"/>
  <c r="D158" i="8"/>
  <c r="D153" i="8"/>
  <c r="Z155" i="7"/>
  <c r="Z44" i="7"/>
  <c r="D42" i="8"/>
  <c r="S175" i="8"/>
  <c r="R175" i="8"/>
  <c r="P175" i="8"/>
  <c r="O175" i="8"/>
  <c r="D45" i="8"/>
  <c r="D76" i="8"/>
  <c r="Z78" i="7"/>
  <c r="D64" i="8"/>
  <c r="Z66" i="7"/>
  <c r="L208" i="8"/>
  <c r="M208" i="8" s="1"/>
  <c r="D40" i="8"/>
  <c r="Z42" i="7"/>
  <c r="D38" i="8"/>
  <c r="Z40" i="7"/>
  <c r="P76" i="8"/>
  <c r="N76" i="8"/>
  <c r="O76" i="8"/>
  <c r="R76" i="8"/>
  <c r="T76" i="8"/>
  <c r="U76" i="8" s="1"/>
  <c r="S76" i="8"/>
  <c r="Q76" i="8"/>
  <c r="Q108" i="8"/>
  <c r="N108" i="8"/>
  <c r="R108" i="8"/>
  <c r="P108" i="8"/>
  <c r="O108" i="8"/>
  <c r="T108" i="8"/>
  <c r="U108" i="8" s="1"/>
  <c r="S108" i="8"/>
  <c r="L184" i="8"/>
  <c r="M184" i="8" s="1"/>
  <c r="D167" i="8"/>
  <c r="Z169" i="7"/>
  <c r="Z148" i="7"/>
  <c r="D146" i="8"/>
  <c r="D188" i="8"/>
  <c r="Z190" i="7"/>
  <c r="D180" i="8"/>
  <c r="Z182" i="7"/>
  <c r="Z93" i="7"/>
  <c r="D91" i="8"/>
  <c r="D195" i="8"/>
  <c r="Z197" i="7"/>
  <c r="P170" i="8"/>
  <c r="R170" i="8"/>
  <c r="O170" i="8"/>
  <c r="S170" i="8"/>
  <c r="N170" i="8"/>
  <c r="Q170" i="8"/>
  <c r="T170" i="8"/>
  <c r="U170" i="8" s="1"/>
  <c r="D19" i="8"/>
  <c r="Z21" i="7"/>
  <c r="Z69" i="7"/>
  <c r="D67" i="8"/>
  <c r="Z132" i="7"/>
  <c r="D130" i="8"/>
  <c r="D90" i="8"/>
  <c r="Z92" i="7"/>
  <c r="L112" i="8"/>
  <c r="M112" i="8" s="1"/>
  <c r="L109" i="8"/>
  <c r="M109" i="8" s="1"/>
  <c r="T71" i="8"/>
  <c r="U71" i="8" s="1"/>
  <c r="R71" i="8"/>
  <c r="N71" i="8"/>
  <c r="O71" i="8"/>
  <c r="P71" i="8"/>
  <c r="Q71" i="8"/>
  <c r="S71" i="8"/>
  <c r="D89" i="8"/>
  <c r="Z91" i="7"/>
  <c r="S126" i="8"/>
  <c r="R126" i="8"/>
  <c r="Q126" i="8"/>
  <c r="O126" i="8"/>
  <c r="T126" i="8"/>
  <c r="U126" i="8" s="1"/>
  <c r="N126" i="8"/>
  <c r="P126" i="8"/>
  <c r="L115" i="8"/>
  <c r="M115" i="8" s="1"/>
  <c r="D184" i="8"/>
  <c r="Z186" i="7"/>
  <c r="D51" i="8"/>
  <c r="Z53" i="7"/>
  <c r="L125" i="8"/>
  <c r="M125" i="8" s="1"/>
  <c r="L146" i="8"/>
  <c r="M146" i="8" s="1"/>
  <c r="Z56" i="7"/>
  <c r="D54" i="8"/>
  <c r="D203" i="8"/>
  <c r="Z205" i="7"/>
  <c r="Z176" i="7"/>
  <c r="D174" i="8"/>
  <c r="S194" i="8"/>
  <c r="Q194" i="8"/>
  <c r="O194" i="8"/>
  <c r="N194" i="8"/>
  <c r="R194" i="8"/>
  <c r="T194" i="8"/>
  <c r="U194" i="8" s="1"/>
  <c r="P194" i="8"/>
  <c r="N81" i="8"/>
  <c r="S81" i="8"/>
  <c r="Q81" i="8"/>
  <c r="O81" i="8"/>
  <c r="R81" i="8"/>
  <c r="T81" i="8"/>
  <c r="U81" i="8" s="1"/>
  <c r="P81" i="8"/>
  <c r="D12" i="8"/>
  <c r="Z14" i="7"/>
  <c r="L180" i="8"/>
  <c r="M180" i="8" s="1"/>
  <c r="D78" i="8"/>
  <c r="Z80" i="7"/>
  <c r="Z199" i="7"/>
  <c r="D197" i="8"/>
  <c r="Z98" i="7"/>
  <c r="D96" i="8"/>
  <c r="D160" i="8"/>
  <c r="Z162" i="7"/>
  <c r="Z152" i="7"/>
  <c r="D150" i="8"/>
  <c r="Q89" i="8"/>
  <c r="N89" i="8"/>
  <c r="O89" i="8"/>
  <c r="R89" i="8"/>
  <c r="T89" i="8"/>
  <c r="U89" i="8" s="1"/>
  <c r="S89" i="8"/>
  <c r="P89" i="8"/>
  <c r="D39" i="8"/>
  <c r="Z41" i="7"/>
  <c r="Z187" i="7"/>
  <c r="D185" i="8"/>
  <c r="D48" i="8"/>
  <c r="AB8" i="7"/>
  <c r="AC8" i="7" s="1"/>
  <c r="AB6" i="7"/>
  <c r="AC6" i="7" s="1"/>
  <c r="AB7" i="7"/>
  <c r="AC7" i="7" s="1"/>
  <c r="AB9" i="7"/>
  <c r="AC9" i="7" s="1"/>
  <c r="Z125" i="7"/>
  <c r="D123" i="8"/>
  <c r="P157" i="8"/>
  <c r="D190" i="8"/>
  <c r="Z192" i="7"/>
  <c r="T118" i="8"/>
  <c r="U118" i="8" s="1"/>
  <c r="R118" i="8"/>
  <c r="N118" i="8"/>
  <c r="P118" i="8"/>
  <c r="S118" i="8"/>
  <c r="Q118" i="8"/>
  <c r="O118" i="8"/>
  <c r="D112" i="8"/>
  <c r="Z114" i="7"/>
  <c r="D206" i="8"/>
  <c r="Z208" i="7"/>
  <c r="L176" i="8"/>
  <c r="M176" i="8" s="1"/>
  <c r="D83" i="8"/>
  <c r="Z85" i="7"/>
  <c r="D109" i="8"/>
  <c r="Z111" i="7"/>
  <c r="Z145" i="7"/>
  <c r="D143" i="8"/>
  <c r="L67" i="8"/>
  <c r="M67" i="8" s="1"/>
  <c r="L117" i="8"/>
  <c r="M117" i="8" s="1"/>
  <c r="Z87" i="7"/>
  <c r="D85" i="8"/>
  <c r="L80" i="8"/>
  <c r="M80" i="8" s="1"/>
  <c r="D58" i="8"/>
  <c r="Z60" i="7"/>
  <c r="D84" i="8"/>
  <c r="Z86" i="7"/>
  <c r="D116" i="8"/>
  <c r="Z118" i="7"/>
  <c r="L142" i="8"/>
  <c r="M142" i="8" s="1"/>
  <c r="L211" i="8"/>
  <c r="M211" i="8" s="1"/>
  <c r="L84" i="8"/>
  <c r="M84" i="8" s="1"/>
  <c r="D14" i="8"/>
  <c r="Z16" i="7"/>
  <c r="D77" i="8"/>
  <c r="Z79" i="7"/>
  <c r="Z146" i="7"/>
  <c r="D144" i="8"/>
  <c r="Z75" i="7"/>
  <c r="D73" i="8"/>
  <c r="Z202" i="7"/>
  <c r="D200" i="8"/>
  <c r="D53" i="8"/>
  <c r="Z55" i="7"/>
  <c r="Z189" i="7"/>
  <c r="D187" i="8"/>
  <c r="T161" i="8"/>
  <c r="U161" i="8" s="1"/>
  <c r="N161" i="8"/>
  <c r="P161" i="8"/>
  <c r="Z124" i="7"/>
  <c r="D122" i="8"/>
  <c r="P68" i="8"/>
  <c r="R68" i="8"/>
  <c r="T68" i="8"/>
  <c r="U68" i="8" s="1"/>
  <c r="N68" i="8"/>
  <c r="Q68" i="8"/>
  <c r="S68" i="8"/>
  <c r="O68" i="8"/>
  <c r="D13" i="8"/>
  <c r="Z15" i="7"/>
  <c r="T207" i="8"/>
  <c r="U207" i="8" s="1"/>
  <c r="S207" i="8"/>
  <c r="P207" i="8"/>
  <c r="R207" i="8"/>
  <c r="N207" i="8"/>
  <c r="Q207" i="8"/>
  <c r="O207" i="8"/>
  <c r="R204" i="8"/>
  <c r="T204" i="8"/>
  <c r="U204" i="8" s="1"/>
  <c r="S204" i="8"/>
  <c r="P204" i="8"/>
  <c r="O204" i="8"/>
  <c r="N204" i="8"/>
  <c r="Q204" i="8"/>
  <c r="L99" i="8"/>
  <c r="M99" i="8" s="1"/>
  <c r="Z128" i="7"/>
  <c r="D126" i="8"/>
  <c r="D170" i="8"/>
  <c r="Z172" i="7"/>
  <c r="Z156" i="7"/>
  <c r="D154" i="8"/>
  <c r="Z193" i="7"/>
  <c r="D191" i="8"/>
  <c r="Q111" i="8"/>
  <c r="T111" i="8"/>
  <c r="U111" i="8" s="1"/>
  <c r="N111" i="8"/>
  <c r="P111" i="8"/>
  <c r="O111" i="8"/>
  <c r="S111" i="8"/>
  <c r="R111" i="8"/>
  <c r="T186" i="8"/>
  <c r="U186" i="8" s="1"/>
  <c r="P186" i="8"/>
  <c r="Q186" i="8"/>
  <c r="O186" i="8"/>
  <c r="R186" i="8"/>
  <c r="S186" i="8"/>
  <c r="N186" i="8"/>
  <c r="D25" i="8"/>
  <c r="Z27" i="7"/>
  <c r="D31" i="8"/>
  <c r="Z33" i="7"/>
  <c r="Z19" i="7"/>
  <c r="D17" i="8"/>
  <c r="D117" i="8"/>
  <c r="Z119" i="7"/>
  <c r="Z82" i="7"/>
  <c r="D80" i="8"/>
  <c r="Z38" i="7"/>
  <c r="D36" i="8"/>
  <c r="O177" i="8"/>
  <c r="T177" i="8"/>
  <c r="U177" i="8" s="1"/>
  <c r="P177" i="8"/>
  <c r="Q177" i="8"/>
  <c r="N177" i="8"/>
  <c r="R177" i="8"/>
  <c r="S177" i="8"/>
  <c r="D129" i="8"/>
  <c r="Z131" i="7"/>
  <c r="N124" i="8"/>
  <c r="T124" i="8"/>
  <c r="U124" i="8" s="1"/>
  <c r="S124" i="8"/>
  <c r="Q124" i="8"/>
  <c r="O124" i="8"/>
  <c r="P124" i="8"/>
  <c r="R124" i="8"/>
  <c r="D100" i="8"/>
  <c r="Z102" i="7"/>
  <c r="Z213" i="7"/>
  <c r="D211" i="8"/>
  <c r="D196" i="8"/>
  <c r="Z198" i="7"/>
  <c r="Z88" i="7"/>
  <c r="D86" i="8"/>
  <c r="L185" i="8"/>
  <c r="M185" i="8" s="1"/>
  <c r="P179" i="8"/>
  <c r="S179" i="8"/>
  <c r="N179" i="8"/>
  <c r="Q179" i="8"/>
  <c r="O179" i="8"/>
  <c r="R179" i="8"/>
  <c r="T179" i="8"/>
  <c r="U179" i="8" s="1"/>
  <c r="D210" i="8"/>
  <c r="Z212" i="7"/>
  <c r="Z153" i="7"/>
  <c r="D151" i="8"/>
  <c r="O75" i="8"/>
  <c r="P75" i="8"/>
  <c r="T75" i="8"/>
  <c r="U75" i="8" s="1"/>
  <c r="N75" i="8"/>
  <c r="Z61" i="7"/>
  <c r="D59" i="8"/>
  <c r="D30" i="8"/>
  <c r="D204" i="8"/>
  <c r="Z206" i="7"/>
  <c r="Z112" i="7"/>
  <c r="D110" i="8"/>
  <c r="D34" i="8"/>
  <c r="Z36" i="7"/>
  <c r="Z104" i="7"/>
  <c r="D102" i="8"/>
  <c r="D22" i="8"/>
  <c r="Z24" i="7"/>
  <c r="Z175" i="7"/>
  <c r="D173" i="8"/>
  <c r="L167" i="8"/>
  <c r="M167" i="8" s="1"/>
  <c r="D49" i="8"/>
  <c r="Z54" i="7"/>
  <c r="D52" i="8"/>
  <c r="D33" i="8"/>
  <c r="Z35" i="7"/>
  <c r="L173" i="8"/>
  <c r="M173" i="8" s="1"/>
  <c r="Z105" i="7"/>
  <c r="D103" i="8"/>
  <c r="L164" i="8"/>
  <c r="M164" i="8" s="1"/>
  <c r="D97" i="8"/>
  <c r="Z99" i="7"/>
  <c r="Z113" i="7"/>
  <c r="D111" i="8"/>
  <c r="L113" i="8"/>
  <c r="M113" i="8" s="1"/>
  <c r="O119" i="8"/>
  <c r="P119" i="8"/>
  <c r="Q119" i="8"/>
  <c r="T119" i="8"/>
  <c r="U119" i="8" s="1"/>
  <c r="S119" i="8"/>
  <c r="N119" i="8"/>
  <c r="R119" i="8"/>
  <c r="S152" i="8"/>
  <c r="N152" i="8"/>
  <c r="O152" i="8"/>
  <c r="T152" i="8"/>
  <c r="U152" i="8" s="1"/>
  <c r="R152" i="8"/>
  <c r="Q152" i="8"/>
  <c r="P152" i="8"/>
  <c r="Z211" i="7"/>
  <c r="D209" i="8"/>
  <c r="S132" i="8"/>
  <c r="Q132" i="8"/>
  <c r="O132" i="8"/>
  <c r="R132" i="8"/>
  <c r="P132" i="8"/>
  <c r="N132" i="8"/>
  <c r="T132" i="8"/>
  <c r="U132" i="8" s="1"/>
  <c r="T143" i="8"/>
  <c r="U143" i="8" s="1"/>
  <c r="P143" i="8"/>
  <c r="N143" i="8"/>
  <c r="Q143" i="8"/>
  <c r="Z77" i="7"/>
  <c r="D75" i="8"/>
  <c r="L206" i="8"/>
  <c r="M206" i="8" s="1"/>
  <c r="Q151" i="8"/>
  <c r="P151" i="8"/>
  <c r="D133" i="8"/>
  <c r="Z135" i="7"/>
  <c r="L144" i="8"/>
  <c r="M144" i="8" s="1"/>
  <c r="T87" i="8"/>
  <c r="U87" i="8" s="1"/>
  <c r="S87" i="8"/>
  <c r="P87" i="8"/>
  <c r="R87" i="8"/>
  <c r="Q87" i="8"/>
  <c r="O87" i="8"/>
  <c r="N87" i="8"/>
  <c r="Z28" i="7"/>
  <c r="D26" i="8"/>
  <c r="L178" i="8"/>
  <c r="M178" i="8" s="1"/>
  <c r="D106" i="8"/>
  <c r="Z108" i="7"/>
  <c r="D61" i="8"/>
  <c r="Z63" i="7"/>
  <c r="Z30" i="7"/>
  <c r="D28" i="8"/>
  <c r="Z116" i="7"/>
  <c r="D114" i="8"/>
  <c r="Q210" i="8"/>
  <c r="R210" i="8"/>
  <c r="N210" i="8"/>
  <c r="O83" i="8"/>
  <c r="S83" i="8"/>
  <c r="N83" i="8"/>
  <c r="R83" i="8"/>
  <c r="Q83" i="8"/>
  <c r="T83" i="8"/>
  <c r="U83" i="8" s="1"/>
  <c r="P83" i="8"/>
  <c r="D60" i="8"/>
  <c r="Z62" i="7"/>
  <c r="Z67" i="7"/>
  <c r="D65" i="8"/>
  <c r="D50" i="8"/>
  <c r="P97" i="8"/>
  <c r="N97" i="8"/>
  <c r="O97" i="8"/>
  <c r="Q97" i="8"/>
  <c r="S97" i="8"/>
  <c r="T97" i="8"/>
  <c r="U97" i="8" s="1"/>
  <c r="R97" i="8"/>
  <c r="L88" i="8"/>
  <c r="M88" i="8" s="1"/>
  <c r="Z170" i="7"/>
  <c r="D168" i="8"/>
  <c r="L82" i="8"/>
  <c r="M82" i="8" s="1"/>
  <c r="L153" i="8"/>
  <c r="M153" i="8" s="1"/>
  <c r="Q123" i="8"/>
  <c r="S123" i="8"/>
  <c r="T123" i="8"/>
  <c r="U123" i="8" s="1"/>
  <c r="N123" i="8"/>
  <c r="O123" i="8"/>
  <c r="R123" i="8"/>
  <c r="P123" i="8"/>
  <c r="L196" i="8"/>
  <c r="M196" i="8" s="1"/>
  <c r="L77" i="8"/>
  <c r="M77" i="8" s="1"/>
  <c r="Z109" i="7"/>
  <c r="D107" i="8"/>
  <c r="Z138" i="7"/>
  <c r="D136" i="8"/>
  <c r="L120" i="8"/>
  <c r="M120" i="8" s="1"/>
  <c r="D94" i="8"/>
  <c r="Z96" i="7"/>
  <c r="L181" i="8"/>
  <c r="M181" i="8" s="1"/>
  <c r="Z68" i="7"/>
  <c r="D66" i="8"/>
  <c r="L96" i="8"/>
  <c r="M96" i="8" s="1"/>
  <c r="Z150" i="7"/>
  <c r="D148" i="8"/>
  <c r="D35" i="8"/>
  <c r="Z37" i="7"/>
  <c r="R140" i="8"/>
  <c r="T140" i="8"/>
  <c r="U140" i="8" s="1"/>
  <c r="Q140" i="8"/>
  <c r="P140" i="8"/>
  <c r="N140" i="8"/>
  <c r="O140" i="8"/>
  <c r="S140" i="8"/>
  <c r="Z183" i="7"/>
  <c r="D181" i="8"/>
  <c r="L92" i="8"/>
  <c r="M92" i="8" s="1"/>
  <c r="D99" i="8"/>
  <c r="Z101" i="7"/>
  <c r="L139" i="8"/>
  <c r="M139" i="8" s="1"/>
  <c r="Z120" i="7"/>
  <c r="D118" i="8"/>
  <c r="X40" i="7" a="1"/>
  <c r="X40" i="7" s="1"/>
  <c r="X126" i="7" a="1"/>
  <c r="X126" i="7" s="1"/>
  <c r="X35" i="7" a="1"/>
  <c r="X35" i="7" s="1"/>
  <c r="X115" i="7" a="1"/>
  <c r="X115" i="7" s="1"/>
  <c r="X179" i="7" a="1"/>
  <c r="X179" i="7" s="1"/>
  <c r="X83" i="7" a="1"/>
  <c r="X83" i="7" s="1"/>
  <c r="X129" i="7" a="1"/>
  <c r="X129" i="7" s="1"/>
  <c r="X177" i="7" a="1"/>
  <c r="X177" i="7" s="1"/>
  <c r="X124" i="7" a="1"/>
  <c r="X124" i="7" s="1"/>
  <c r="X88" i="7" a="1"/>
  <c r="X88" i="7" s="1"/>
  <c r="X151" i="7" a="1"/>
  <c r="X151" i="7" s="1"/>
  <c r="X201" i="7" a="1"/>
  <c r="X201" i="7" s="1"/>
  <c r="X143" i="7" a="1"/>
  <c r="X143" i="7" s="1"/>
  <c r="X96" i="7" a="1"/>
  <c r="X96" i="7" s="1"/>
  <c r="X80" i="7" a="1"/>
  <c r="X80" i="7" s="1"/>
  <c r="X127" i="7" a="1"/>
  <c r="X127" i="7" s="1"/>
  <c r="X70" i="7" a="1"/>
  <c r="X70" i="7" s="1"/>
  <c r="X61" i="7" a="1"/>
  <c r="X61" i="7" s="1"/>
  <c r="X72" i="7" a="1"/>
  <c r="X72" i="7" s="1"/>
  <c r="X98" i="7" a="1"/>
  <c r="X98" i="7" s="1"/>
  <c r="X87" i="7" a="1"/>
  <c r="X87" i="7" s="1"/>
  <c r="X110" i="7" a="1"/>
  <c r="X110" i="7" s="1"/>
  <c r="X71" i="7" a="1"/>
  <c r="X71" i="7" s="1"/>
  <c r="X57" i="7" a="1"/>
  <c r="X57" i="7" s="1"/>
  <c r="X84" i="7" a="1"/>
  <c r="X84" i="7" s="1"/>
  <c r="X161" i="7" a="1"/>
  <c r="X161" i="7" s="1"/>
  <c r="X147" i="7" a="1"/>
  <c r="X147" i="7" s="1"/>
  <c r="X205" i="7" a="1"/>
  <c r="X205" i="7" s="1"/>
  <c r="X121" i="7" a="1"/>
  <c r="X121" i="7" s="1"/>
  <c r="X174" i="7" a="1"/>
  <c r="X174" i="7" s="1"/>
  <c r="X31" i="7" a="1"/>
  <c r="X31" i="7" s="1"/>
  <c r="X33" i="7" a="1"/>
  <c r="X33" i="7" s="1"/>
  <c r="X168" i="7" a="1"/>
  <c r="X168" i="7" s="1"/>
  <c r="X172" i="7" a="1"/>
  <c r="X172" i="7" s="1"/>
  <c r="X197" i="7" a="1"/>
  <c r="X197" i="7" s="1"/>
  <c r="X75" i="7" a="1"/>
  <c r="X75" i="7" s="1"/>
  <c r="X48" i="7" a="1"/>
  <c r="X48" i="7" s="1"/>
  <c r="X105" i="7" a="1"/>
  <c r="X105" i="7" s="1"/>
  <c r="X149" i="7" a="1"/>
  <c r="X149" i="7" s="1"/>
  <c r="X117" i="7" a="1"/>
  <c r="X117" i="7" s="1"/>
  <c r="X27" i="7" a="1"/>
  <c r="X27" i="7" s="1"/>
  <c r="X114" i="7" a="1"/>
  <c r="X114" i="7" s="1"/>
  <c r="X107" i="7" a="1"/>
  <c r="X107" i="7" s="1"/>
  <c r="X160" i="7" a="1"/>
  <c r="X160" i="7" s="1"/>
  <c r="X51" i="7" a="1"/>
  <c r="X51" i="7" s="1"/>
  <c r="X137" i="7" a="1"/>
  <c r="X137" i="7" s="1"/>
  <c r="X46" i="7" a="1"/>
  <c r="X46" i="7" s="1"/>
  <c r="X43" i="7" a="1"/>
  <c r="X43" i="7" s="1"/>
  <c r="X52" i="7" a="1"/>
  <c r="X52" i="7" s="1"/>
  <c r="X85" i="7" a="1"/>
  <c r="X85" i="7" s="1"/>
  <c r="X141" i="7" a="1"/>
  <c r="X141" i="7" s="1"/>
  <c r="X63" i="7" a="1"/>
  <c r="X63" i="7" s="1"/>
  <c r="X102" i="7" a="1"/>
  <c r="X102" i="7" s="1"/>
  <c r="X199" i="7" a="1"/>
  <c r="X199" i="7" s="1"/>
  <c r="X44" i="7" a="1"/>
  <c r="X44" i="7" s="1"/>
  <c r="X155" i="7" a="1"/>
  <c r="X155" i="7" s="1"/>
  <c r="X109" i="7" a="1"/>
  <c r="X109" i="7" s="1"/>
  <c r="X166" i="7" a="1"/>
  <c r="X166" i="7" s="1"/>
  <c r="X58" i="7" a="1"/>
  <c r="X58" i="7" s="1"/>
  <c r="X93" i="7" a="1"/>
  <c r="X93" i="7" s="1"/>
  <c r="X132" i="7" a="1"/>
  <c r="X132" i="7" s="1"/>
  <c r="X171" i="7" a="1"/>
  <c r="X171" i="7" s="1"/>
  <c r="X140" i="7" a="1"/>
  <c r="X140" i="7" s="1"/>
  <c r="X22" i="7" a="1"/>
  <c r="X22" i="7" s="1"/>
  <c r="X47" i="7" a="1"/>
  <c r="X47" i="7" s="1"/>
  <c r="Z47" i="7" s="1"/>
  <c r="X191" i="7" a="1"/>
  <c r="X191" i="7" s="1"/>
  <c r="X128" i="7" a="1"/>
  <c r="X128" i="7" s="1"/>
  <c r="X32" i="7" a="1"/>
  <c r="X32" i="7" s="1"/>
  <c r="Z32" i="7" s="1"/>
  <c r="X97" i="7" a="1"/>
  <c r="X97" i="7" s="1"/>
  <c r="X104" i="7" a="1"/>
  <c r="X104" i="7" s="1"/>
  <c r="X181" i="7" a="1"/>
  <c r="X181" i="7" s="1"/>
  <c r="X49" i="7" a="1"/>
  <c r="X49" i="7" s="1"/>
  <c r="X14" i="7" a="1"/>
  <c r="X14" i="7" s="1"/>
  <c r="X187" i="7" a="1"/>
  <c r="X187" i="7" s="1"/>
  <c r="X134" i="7" a="1"/>
  <c r="X134" i="7" s="1"/>
  <c r="X100" i="7" a="1"/>
  <c r="X100" i="7" s="1"/>
  <c r="X211" i="7" a="1"/>
  <c r="X211" i="7" s="1"/>
  <c r="X164" i="7" a="1"/>
  <c r="X164" i="7" s="1"/>
  <c r="X188" i="7" a="1"/>
  <c r="X188" i="7" s="1"/>
  <c r="X18" i="7" a="1"/>
  <c r="X18" i="7" s="1"/>
  <c r="X202" i="7" a="1"/>
  <c r="X202" i="7" s="1"/>
  <c r="X169" i="7" a="1"/>
  <c r="X169" i="7" s="1"/>
  <c r="X133" i="7" a="1"/>
  <c r="X133" i="7" s="1"/>
  <c r="X208" i="7" a="1"/>
  <c r="X208" i="7" s="1"/>
  <c r="X158" i="7" a="1"/>
  <c r="X158" i="7" s="1"/>
  <c r="X112" i="7" a="1"/>
  <c r="X112" i="7" s="1"/>
  <c r="X42" i="7" a="1"/>
  <c r="X42" i="7" s="1"/>
  <c r="X99" i="7" a="1"/>
  <c r="X99" i="7" s="1"/>
  <c r="X116" i="7" a="1"/>
  <c r="X116" i="7" s="1"/>
  <c r="X38" i="7" a="1"/>
  <c r="X38" i="7" s="1"/>
  <c r="X68" i="7" a="1"/>
  <c r="X68" i="7" s="1"/>
  <c r="X53" i="7" a="1"/>
  <c r="X53" i="7" s="1"/>
  <c r="X103" i="7" a="1"/>
  <c r="X103" i="7" s="1"/>
  <c r="X180" i="7" a="1"/>
  <c r="X180" i="7" s="1"/>
  <c r="X144" i="7" a="1"/>
  <c r="X144" i="7" s="1"/>
  <c r="X41" i="7" a="1"/>
  <c r="X41" i="7" s="1"/>
  <c r="X28" i="7" a="1"/>
  <c r="X28" i="7" s="1"/>
  <c r="X81" i="7" a="1"/>
  <c r="X81" i="7" s="1"/>
  <c r="X131" i="7" a="1"/>
  <c r="X131" i="7" s="1"/>
  <c r="X146" i="7" a="1"/>
  <c r="X146" i="7" s="1"/>
  <c r="X153" i="7" a="1"/>
  <c r="X153" i="7" s="1"/>
  <c r="X86" i="7" a="1"/>
  <c r="X86" i="7" s="1"/>
  <c r="X50" i="7" a="1"/>
  <c r="X50" i="7" s="1"/>
  <c r="X148" i="7" a="1"/>
  <c r="X148" i="7" s="1"/>
  <c r="X26" i="7" a="1"/>
  <c r="X26" i="7" s="1"/>
  <c r="X118" i="7" a="1"/>
  <c r="X118" i="7" s="1"/>
  <c r="X15" i="7" a="1"/>
  <c r="X15" i="7" s="1"/>
  <c r="X163" i="7" a="1"/>
  <c r="X163" i="7" s="1"/>
  <c r="X152" i="7" a="1"/>
  <c r="X152" i="7" s="1"/>
  <c r="X54" i="7" a="1"/>
  <c r="X54" i="7" s="1"/>
  <c r="X79" i="7" a="1"/>
  <c r="X79" i="7" s="1"/>
  <c r="X111" i="7" a="1"/>
  <c r="X111" i="7" s="1"/>
  <c r="X55" i="7" a="1"/>
  <c r="X55" i="7" s="1"/>
  <c r="X186" i="7" a="1"/>
  <c r="X186" i="7" s="1"/>
  <c r="X213" i="7" a="1"/>
  <c r="X213" i="7" s="1"/>
  <c r="X20" i="7" a="1"/>
  <c r="X20" i="7" s="1"/>
  <c r="X142" i="7" a="1"/>
  <c r="X142" i="7" s="1"/>
  <c r="X170" i="7" a="1"/>
  <c r="X170" i="7" s="1"/>
  <c r="X74" i="7" a="1"/>
  <c r="X74" i="7" s="1"/>
  <c r="X193" i="7" a="1"/>
  <c r="X193" i="7" s="1"/>
  <c r="X23" i="7" a="1"/>
  <c r="X23" i="7" s="1"/>
  <c r="X206" i="7" a="1"/>
  <c r="X206" i="7" s="1"/>
  <c r="X19" i="7" a="1"/>
  <c r="X19" i="7" s="1"/>
  <c r="X91" i="7" a="1"/>
  <c r="X91" i="7" s="1"/>
  <c r="X159" i="7" a="1"/>
  <c r="X159" i="7" s="1"/>
  <c r="X173" i="7" a="1"/>
  <c r="X173" i="7" s="1"/>
  <c r="X189" i="7" a="1"/>
  <c r="X189" i="7" s="1"/>
  <c r="X89" i="7" a="1"/>
  <c r="X89" i="7" s="1"/>
  <c r="X209" i="7" a="1"/>
  <c r="X209" i="7" s="1"/>
  <c r="X17" i="7" a="1"/>
  <c r="X17" i="7" s="1"/>
  <c r="X195" i="7" a="1"/>
  <c r="X195" i="7" s="1"/>
  <c r="X45" i="7" a="1"/>
  <c r="X45" i="7" s="1"/>
  <c r="X60" i="7" a="1"/>
  <c r="X60" i="7" s="1"/>
  <c r="X184" i="7" a="1"/>
  <c r="X184" i="7" s="1"/>
  <c r="X90" i="7" a="1"/>
  <c r="X90" i="7" s="1"/>
  <c r="X182" i="7" a="1"/>
  <c r="X182" i="7" s="1"/>
  <c r="X56" i="7" a="1"/>
  <c r="X56" i="7" s="1"/>
  <c r="X176" i="7" a="1"/>
  <c r="X176" i="7" s="1"/>
  <c r="X16" i="7" a="1"/>
  <c r="X16" i="7" s="1"/>
  <c r="X165" i="7" a="1"/>
  <c r="X165" i="7" s="1"/>
  <c r="X190" i="7" a="1"/>
  <c r="X190" i="7" s="1"/>
  <c r="X62" i="7" a="1"/>
  <c r="X62" i="7" s="1"/>
  <c r="X101" i="7" a="1"/>
  <c r="X101" i="7" s="1"/>
  <c r="X73" i="7" a="1"/>
  <c r="X73" i="7" s="1"/>
  <c r="X36" i="7" a="1"/>
  <c r="X36" i="7" s="1"/>
  <c r="X77" i="7" a="1"/>
  <c r="X77" i="7" s="1"/>
  <c r="X66" i="7" a="1"/>
  <c r="X66" i="7" s="1"/>
  <c r="X130" i="7" a="1"/>
  <c r="X130" i="7" s="1"/>
  <c r="X24" i="7" a="1"/>
  <c r="X24" i="7" s="1"/>
  <c r="X65" i="7" a="1"/>
  <c r="X65" i="7" s="1"/>
  <c r="X125" i="7" a="1"/>
  <c r="X125" i="7" s="1"/>
  <c r="X106" i="7" a="1"/>
  <c r="X106" i="7" s="1"/>
  <c r="X30" i="7" a="1"/>
  <c r="X30" i="7" s="1"/>
  <c r="X64" i="7" a="1"/>
  <c r="X64" i="7" s="1"/>
  <c r="X108" i="7" a="1"/>
  <c r="X108" i="7" s="1"/>
  <c r="X59" i="7" a="1"/>
  <c r="X59" i="7" s="1"/>
  <c r="X139" i="7" a="1"/>
  <c r="X139" i="7" s="1"/>
  <c r="X82" i="7" a="1"/>
  <c r="X82" i="7" s="1"/>
  <c r="X120" i="7" a="1"/>
  <c r="X120" i="7" s="1"/>
  <c r="X113" i="7" a="1"/>
  <c r="X113" i="7" s="1"/>
  <c r="X212" i="7" a="1"/>
  <c r="X212" i="7" s="1"/>
  <c r="X119" i="7" a="1"/>
  <c r="X119" i="7" s="1"/>
  <c r="X210" i="7" a="1"/>
  <c r="X210" i="7" s="1"/>
  <c r="X156" i="7" a="1"/>
  <c r="X156" i="7" s="1"/>
  <c r="X76" i="7" a="1"/>
  <c r="X76" i="7" s="1"/>
  <c r="X29" i="7" a="1"/>
  <c r="X29" i="7" s="1"/>
  <c r="X123" i="7" a="1"/>
  <c r="X123" i="7" s="1"/>
  <c r="X207" i="7" a="1"/>
  <c r="X207" i="7" s="1"/>
  <c r="X154" i="7" a="1"/>
  <c r="X154" i="7" s="1"/>
  <c r="X34" i="7" a="1"/>
  <c r="X34" i="7" s="1"/>
  <c r="X162" i="7" a="1"/>
  <c r="X162" i="7" s="1"/>
  <c r="X196" i="7" a="1"/>
  <c r="X196" i="7" s="1"/>
  <c r="X67" i="7" a="1"/>
  <c r="X67" i="7" s="1"/>
  <c r="X136" i="7" a="1"/>
  <c r="X136" i="7" s="1"/>
  <c r="X122" i="7" a="1"/>
  <c r="X122" i="7" s="1"/>
  <c r="X135" i="7" a="1"/>
  <c r="X135" i="7" s="1"/>
  <c r="X200" i="7" a="1"/>
  <c r="X200" i="7" s="1"/>
  <c r="X203" i="7" a="1"/>
  <c r="X203" i="7" s="1"/>
  <c r="X157" i="7" a="1"/>
  <c r="X157" i="7" s="1"/>
  <c r="X198" i="7" a="1"/>
  <c r="X198" i="7" s="1"/>
  <c r="X25" i="7" a="1"/>
  <c r="X25" i="7" s="1"/>
  <c r="X204" i="7" a="1"/>
  <c r="X204" i="7" s="1"/>
  <c r="X21" i="7" a="1"/>
  <c r="X21" i="7" s="1"/>
  <c r="X183" i="7" a="1"/>
  <c r="X183" i="7" s="1"/>
  <c r="X150" i="7" a="1"/>
  <c r="X150" i="7" s="1"/>
  <c r="X145" i="7" a="1"/>
  <c r="X145" i="7" s="1"/>
  <c r="X178" i="7" a="1"/>
  <c r="X178" i="7" s="1"/>
  <c r="X69" i="7" a="1"/>
  <c r="X69" i="7" s="1"/>
  <c r="X194" i="7" a="1"/>
  <c r="X194" i="7" s="1"/>
  <c r="X39" i="7" a="1"/>
  <c r="X39" i="7" s="1"/>
  <c r="X175" i="7" a="1"/>
  <c r="X175" i="7" s="1"/>
  <c r="X95" i="7" a="1"/>
  <c r="X95" i="7" s="1"/>
  <c r="X78" i="7" a="1"/>
  <c r="X78" i="7" s="1"/>
  <c r="X138" i="7" a="1"/>
  <c r="X138" i="7" s="1"/>
  <c r="X192" i="7" a="1"/>
  <c r="X192" i="7" s="1"/>
  <c r="X37" i="7" a="1"/>
  <c r="X37" i="7" s="1"/>
  <c r="X167" i="7" a="1"/>
  <c r="X167" i="7" s="1"/>
  <c r="X94" i="7" a="1"/>
  <c r="X94" i="7" s="1"/>
  <c r="X92" i="7" a="1"/>
  <c r="X92" i="7" s="1"/>
  <c r="X185" i="7" a="1"/>
  <c r="X185" i="7" s="1"/>
  <c r="T175" i="8" l="1"/>
  <c r="U175" i="8" s="1"/>
  <c r="N175" i="8"/>
  <c r="P190" i="8"/>
  <c r="T190" i="8"/>
  <c r="U190" i="8" s="1"/>
  <c r="Q190" i="8"/>
  <c r="N190" i="8"/>
  <c r="O190" i="8"/>
  <c r="P147" i="8"/>
  <c r="T147" i="8"/>
  <c r="U147" i="8" s="1"/>
  <c r="P171" i="8"/>
  <c r="T195" i="8"/>
  <c r="U195" i="8" s="1"/>
  <c r="D26" i="2"/>
  <c r="A12" i="2"/>
  <c r="A18" i="2"/>
  <c r="A100" i="2"/>
  <c r="A7" i="2"/>
  <c r="A16" i="2"/>
  <c r="B88" i="2"/>
  <c r="A74" i="2"/>
  <c r="B97" i="2"/>
  <c r="A43" i="2"/>
  <c r="V186" i="8"/>
  <c r="R163" i="8"/>
  <c r="V163" i="8" s="1"/>
  <c r="O202" i="8"/>
  <c r="P210" i="8"/>
  <c r="T210" i="8"/>
  <c r="U210" i="8" s="1"/>
  <c r="O143" i="8"/>
  <c r="R75" i="8"/>
  <c r="R161" i="8"/>
  <c r="V161" i="8" s="1"/>
  <c r="Q161" i="8"/>
  <c r="N157" i="8"/>
  <c r="R130" i="8"/>
  <c r="S201" i="8"/>
  <c r="T73" i="8"/>
  <c r="U73" i="8" s="1"/>
  <c r="O73" i="8"/>
  <c r="N127" i="8"/>
  <c r="P127" i="8"/>
  <c r="P165" i="8"/>
  <c r="R74" i="8"/>
  <c r="V74" i="8" s="1"/>
  <c r="S202" i="8"/>
  <c r="O147" i="8"/>
  <c r="S147" i="8"/>
  <c r="B68" i="2"/>
  <c r="V177" i="8"/>
  <c r="Q130" i="8"/>
  <c r="O210" i="8"/>
  <c r="R143" i="8"/>
  <c r="V143" i="8" s="1"/>
  <c r="Q75" i="8"/>
  <c r="S161" i="8"/>
  <c r="Q201" i="8"/>
  <c r="P73" i="8"/>
  <c r="R195" i="8"/>
  <c r="V195" i="8" s="1"/>
  <c r="T94" i="8"/>
  <c r="U94" i="8" s="1"/>
  <c r="N165" i="8"/>
  <c r="O74" i="8"/>
  <c r="R147" i="8"/>
  <c r="T106" i="8"/>
  <c r="U106" i="8" s="1"/>
  <c r="A24" i="2"/>
  <c r="A6" i="2"/>
  <c r="A22" i="2"/>
  <c r="A66" i="2"/>
  <c r="C154" i="2"/>
  <c r="D154" i="2"/>
  <c r="B154" i="2"/>
  <c r="D95" i="2"/>
  <c r="C95" i="2"/>
  <c r="B95" i="2"/>
  <c r="D133" i="2"/>
  <c r="B133" i="2"/>
  <c r="C133" i="2"/>
  <c r="D23" i="2"/>
  <c r="B23" i="2"/>
  <c r="C23" i="2"/>
  <c r="D11" i="2"/>
  <c r="B11" i="2"/>
  <c r="C11" i="2"/>
  <c r="C19" i="2"/>
  <c r="B19" i="2"/>
  <c r="D19" i="2"/>
  <c r="C9" i="2"/>
  <c r="D9" i="2"/>
  <c r="A64" i="2"/>
  <c r="B134" i="2"/>
  <c r="O151" i="8"/>
  <c r="R151" i="8"/>
  <c r="T157" i="8"/>
  <c r="U157" i="8" s="1"/>
  <c r="Q157" i="8"/>
  <c r="P130" i="8"/>
  <c r="N130" i="8"/>
  <c r="P163" i="8"/>
  <c r="S163" i="8"/>
  <c r="P201" i="8"/>
  <c r="T201" i="8"/>
  <c r="U201" i="8" s="1"/>
  <c r="Q195" i="8"/>
  <c r="Q94" i="8"/>
  <c r="P94" i="8"/>
  <c r="O165" i="8"/>
  <c r="Q165" i="8"/>
  <c r="N202" i="8"/>
  <c r="Q202" i="8"/>
  <c r="P106" i="8"/>
  <c r="D97" i="2"/>
  <c r="C97" i="2"/>
  <c r="B64" i="2"/>
  <c r="D64" i="2"/>
  <c r="C64" i="2"/>
  <c r="D7" i="2"/>
  <c r="B7" i="2"/>
  <c r="C7" i="2"/>
  <c r="C21" i="2"/>
  <c r="D21" i="2"/>
  <c r="B21" i="2"/>
  <c r="A19" i="2"/>
  <c r="B18" i="2"/>
  <c r="D18" i="2"/>
  <c r="C18" i="2"/>
  <c r="C6" i="2"/>
  <c r="B6" i="2"/>
  <c r="A20" i="2"/>
  <c r="A13" i="2"/>
  <c r="C16" i="2"/>
  <c r="D16" i="2"/>
  <c r="B16" i="2"/>
  <c r="A21" i="2"/>
  <c r="B24" i="2"/>
  <c r="D24" i="2"/>
  <c r="C24" i="2"/>
  <c r="A98" i="2"/>
  <c r="D96" i="2"/>
  <c r="D98" i="2"/>
  <c r="D134" i="2"/>
  <c r="B118" i="2"/>
  <c r="A104" i="2"/>
  <c r="B156" i="2"/>
  <c r="S151" i="8"/>
  <c r="R157" i="8"/>
  <c r="V157" i="8" s="1"/>
  <c r="O130" i="8"/>
  <c r="T130" i="8"/>
  <c r="U130" i="8" s="1"/>
  <c r="O163" i="8"/>
  <c r="N163" i="8"/>
  <c r="R201" i="8"/>
  <c r="V201" i="8" s="1"/>
  <c r="N201" i="8"/>
  <c r="O195" i="8"/>
  <c r="S195" i="8"/>
  <c r="O94" i="8"/>
  <c r="T165" i="8"/>
  <c r="U165" i="8" s="1"/>
  <c r="R202" i="8"/>
  <c r="O106" i="8"/>
  <c r="R106" i="8"/>
  <c r="C52" i="2"/>
  <c r="D52" i="2"/>
  <c r="B52" i="2"/>
  <c r="C67" i="2"/>
  <c r="B67" i="2"/>
  <c r="D67" i="2"/>
  <c r="C87" i="2"/>
  <c r="D87" i="2"/>
  <c r="B87" i="2"/>
  <c r="A25" i="2"/>
  <c r="A23" i="2"/>
  <c r="B22" i="2"/>
  <c r="C22" i="2"/>
  <c r="D22" i="2"/>
  <c r="C13" i="2"/>
  <c r="D13" i="2"/>
  <c r="B13" i="2"/>
  <c r="A11" i="2"/>
  <c r="B20" i="2"/>
  <c r="D20" i="2"/>
  <c r="C20" i="2"/>
  <c r="B15" i="2"/>
  <c r="C15" i="2"/>
  <c r="D15" i="2"/>
  <c r="A14" i="2"/>
  <c r="A15" i="2"/>
  <c r="C17" i="2"/>
  <c r="D17" i="2"/>
  <c r="B17" i="2"/>
  <c r="A9" i="2"/>
  <c r="C10" i="2"/>
  <c r="B10" i="2"/>
  <c r="D10" i="2"/>
  <c r="C68" i="2"/>
  <c r="C96" i="2"/>
  <c r="B98" i="2"/>
  <c r="A144" i="2"/>
  <c r="A46" i="2"/>
  <c r="B26" i="2"/>
  <c r="D53" i="2"/>
  <c r="D65" i="2"/>
  <c r="T151" i="8"/>
  <c r="U151" i="8" s="1"/>
  <c r="O157" i="8"/>
  <c r="Q163" i="8"/>
  <c r="N195" i="8"/>
  <c r="N94" i="8"/>
  <c r="R165" i="8"/>
  <c r="P202" i="8"/>
  <c r="N106" i="8"/>
  <c r="D155" i="2"/>
  <c r="B155" i="2"/>
  <c r="C155" i="2"/>
  <c r="B164" i="2"/>
  <c r="D164" i="2"/>
  <c r="C164" i="2"/>
  <c r="D117" i="2"/>
  <c r="B117" i="2"/>
  <c r="B25" i="2"/>
  <c r="D25" i="2"/>
  <c r="C25" i="2"/>
  <c r="C14" i="2"/>
  <c r="D14" i="2"/>
  <c r="B14" i="2"/>
  <c r="D12" i="2"/>
  <c r="C12" i="2"/>
  <c r="B12" i="2"/>
  <c r="B9" i="2"/>
  <c r="D8" i="2"/>
  <c r="C8" i="2"/>
  <c r="B8" i="2"/>
  <c r="A17" i="2"/>
  <c r="A8" i="2"/>
  <c r="C117" i="2"/>
  <c r="A121" i="2"/>
  <c r="D88" i="2"/>
  <c r="A139" i="2"/>
  <c r="B96" i="2"/>
  <c r="C134" i="2"/>
  <c r="A146" i="2"/>
  <c r="C53" i="2"/>
  <c r="C65" i="2"/>
  <c r="C118" i="2"/>
  <c r="D156" i="2"/>
  <c r="V124" i="8"/>
  <c r="V127" i="8"/>
  <c r="V108" i="8"/>
  <c r="V134" i="8"/>
  <c r="V101" i="8"/>
  <c r="V190" i="8"/>
  <c r="Z48" i="7"/>
  <c r="Z49" i="7" s="1"/>
  <c r="N171" i="8"/>
  <c r="V158" i="8"/>
  <c r="V105" i="8"/>
  <c r="AB5" i="7"/>
  <c r="AC5" i="7" s="1"/>
  <c r="V126" i="8"/>
  <c r="N149" i="8"/>
  <c r="P149" i="8"/>
  <c r="V75" i="8"/>
  <c r="V68" i="8"/>
  <c r="V76" i="8"/>
  <c r="V193" i="8"/>
  <c r="V145" i="8"/>
  <c r="R149" i="8"/>
  <c r="V149" i="8" s="1"/>
  <c r="Q149" i="8"/>
  <c r="V141" i="8"/>
  <c r="V198" i="8"/>
  <c r="Q171" i="8"/>
  <c r="R171" i="8"/>
  <c r="V136" i="8"/>
  <c r="AB2" i="7"/>
  <c r="AC2" i="7" s="1"/>
  <c r="AB4" i="7"/>
  <c r="AC4" i="7" s="1"/>
  <c r="AB3" i="7"/>
  <c r="AC3" i="7" s="1"/>
  <c r="S149" i="8"/>
  <c r="T171" i="8"/>
  <c r="U171" i="8" s="1"/>
  <c r="V81" i="8"/>
  <c r="V169" i="8"/>
  <c r="V140" i="8"/>
  <c r="V123" i="8"/>
  <c r="V87" i="8"/>
  <c r="V119" i="8"/>
  <c r="V210" i="8"/>
  <c r="S96" i="8"/>
  <c r="O96" i="8"/>
  <c r="T96" i="8"/>
  <c r="U96" i="8" s="1"/>
  <c r="N96" i="8"/>
  <c r="Q96" i="8"/>
  <c r="P96" i="8"/>
  <c r="R96" i="8"/>
  <c r="S196" i="8"/>
  <c r="T196" i="8"/>
  <c r="U196" i="8" s="1"/>
  <c r="O196" i="8"/>
  <c r="R196" i="8"/>
  <c r="N196" i="8"/>
  <c r="P196" i="8"/>
  <c r="Q196" i="8"/>
  <c r="P153" i="8"/>
  <c r="O153" i="8"/>
  <c r="T153" i="8"/>
  <c r="U153" i="8" s="1"/>
  <c r="N153" i="8"/>
  <c r="R153" i="8"/>
  <c r="S153" i="8"/>
  <c r="Q153" i="8"/>
  <c r="Q88" i="8"/>
  <c r="S88" i="8"/>
  <c r="R88" i="8"/>
  <c r="P88" i="8"/>
  <c r="O88" i="8"/>
  <c r="N88" i="8"/>
  <c r="T88" i="8"/>
  <c r="U88" i="8" s="1"/>
  <c r="S178" i="8"/>
  <c r="O178" i="8"/>
  <c r="R178" i="8"/>
  <c r="P178" i="8"/>
  <c r="N178" i="8"/>
  <c r="T178" i="8"/>
  <c r="U178" i="8" s="1"/>
  <c r="Q178" i="8"/>
  <c r="P206" i="8"/>
  <c r="S206" i="8"/>
  <c r="Q206" i="8"/>
  <c r="T206" i="8"/>
  <c r="U206" i="8" s="1"/>
  <c r="N206" i="8"/>
  <c r="R206" i="8"/>
  <c r="O206" i="8"/>
  <c r="P167" i="8"/>
  <c r="Q167" i="8"/>
  <c r="S167" i="8"/>
  <c r="T167" i="8"/>
  <c r="U167" i="8" s="1"/>
  <c r="R167" i="8"/>
  <c r="O167" i="8"/>
  <c r="N167" i="8"/>
  <c r="T115" i="8"/>
  <c r="U115" i="8" s="1"/>
  <c r="S115" i="8"/>
  <c r="R115" i="8"/>
  <c r="P115" i="8"/>
  <c r="O115" i="8"/>
  <c r="N115" i="8"/>
  <c r="Q115" i="8"/>
  <c r="S208" i="8"/>
  <c r="R208" i="8"/>
  <c r="O208" i="8"/>
  <c r="Q208" i="8"/>
  <c r="N208" i="8"/>
  <c r="T208" i="8"/>
  <c r="U208" i="8" s="1"/>
  <c r="P208" i="8"/>
  <c r="Q156" i="8"/>
  <c r="R156" i="8"/>
  <c r="N156" i="8"/>
  <c r="T156" i="8"/>
  <c r="U156" i="8" s="1"/>
  <c r="O156" i="8"/>
  <c r="P156" i="8"/>
  <c r="S156" i="8"/>
  <c r="R160" i="8"/>
  <c r="N160" i="8"/>
  <c r="Q160" i="8"/>
  <c r="P160" i="8"/>
  <c r="O160" i="8"/>
  <c r="T160" i="8"/>
  <c r="U160" i="8" s="1"/>
  <c r="S160" i="8"/>
  <c r="N168" i="8"/>
  <c r="R168" i="8"/>
  <c r="P168" i="8"/>
  <c r="T168" i="8"/>
  <c r="U168" i="8" s="1"/>
  <c r="S168" i="8"/>
  <c r="O168" i="8"/>
  <c r="Q168" i="8"/>
  <c r="Q159" i="8"/>
  <c r="P159" i="8"/>
  <c r="T159" i="8"/>
  <c r="U159" i="8" s="1"/>
  <c r="R159" i="8"/>
  <c r="N159" i="8"/>
  <c r="S159" i="8"/>
  <c r="O159" i="8"/>
  <c r="S95" i="8"/>
  <c r="R95" i="8"/>
  <c r="Q95" i="8"/>
  <c r="N95" i="8"/>
  <c r="T95" i="8"/>
  <c r="U95" i="8" s="1"/>
  <c r="O95" i="8"/>
  <c r="P95" i="8"/>
  <c r="S69" i="8"/>
  <c r="O69" i="8"/>
  <c r="Q69" i="8"/>
  <c r="N69" i="8"/>
  <c r="P69" i="8"/>
  <c r="T69" i="8"/>
  <c r="U69" i="8" s="1"/>
  <c r="R69" i="8"/>
  <c r="N197" i="8"/>
  <c r="Q197" i="8"/>
  <c r="S197" i="8"/>
  <c r="O197" i="8"/>
  <c r="P197" i="8"/>
  <c r="R197" i="8"/>
  <c r="T197" i="8"/>
  <c r="U197" i="8" s="1"/>
  <c r="O72" i="8"/>
  <c r="N72" i="8"/>
  <c r="T72" i="8"/>
  <c r="U72" i="8" s="1"/>
  <c r="S72" i="8"/>
  <c r="R72" i="8"/>
  <c r="Q72" i="8"/>
  <c r="P72" i="8"/>
  <c r="T187" i="8"/>
  <c r="U187" i="8" s="1"/>
  <c r="S187" i="8"/>
  <c r="N187" i="8"/>
  <c r="Q187" i="8"/>
  <c r="O187" i="8"/>
  <c r="R187" i="8"/>
  <c r="P187" i="8"/>
  <c r="P128" i="8"/>
  <c r="S128" i="8"/>
  <c r="O128" i="8"/>
  <c r="T128" i="8"/>
  <c r="U128" i="8" s="1"/>
  <c r="N128" i="8"/>
  <c r="R128" i="8"/>
  <c r="Q128" i="8"/>
  <c r="O82" i="8"/>
  <c r="T82" i="8"/>
  <c r="U82" i="8" s="1"/>
  <c r="P82" i="8"/>
  <c r="Q82" i="8"/>
  <c r="S82" i="8"/>
  <c r="N82" i="8"/>
  <c r="R82" i="8"/>
  <c r="V97" i="8"/>
  <c r="V83" i="8"/>
  <c r="V132" i="8"/>
  <c r="V152" i="8"/>
  <c r="O113" i="8"/>
  <c r="T113" i="8"/>
  <c r="U113" i="8" s="1"/>
  <c r="N113" i="8"/>
  <c r="Q113" i="8"/>
  <c r="P113" i="8"/>
  <c r="S113" i="8"/>
  <c r="R113" i="8"/>
  <c r="R173" i="8"/>
  <c r="S173" i="8"/>
  <c r="Q173" i="8"/>
  <c r="T173" i="8"/>
  <c r="U173" i="8" s="1"/>
  <c r="N173" i="8"/>
  <c r="P173" i="8"/>
  <c r="O173" i="8"/>
  <c r="V179" i="8"/>
  <c r="V204" i="8"/>
  <c r="V207" i="8"/>
  <c r="O84" i="8"/>
  <c r="P84" i="8"/>
  <c r="N84" i="8"/>
  <c r="T84" i="8"/>
  <c r="U84" i="8" s="1"/>
  <c r="S84" i="8"/>
  <c r="Q84" i="8"/>
  <c r="R84" i="8"/>
  <c r="O117" i="8"/>
  <c r="Q117" i="8"/>
  <c r="N117" i="8"/>
  <c r="T117" i="8"/>
  <c r="U117" i="8" s="1"/>
  <c r="S117" i="8"/>
  <c r="P117" i="8"/>
  <c r="R117" i="8"/>
  <c r="S176" i="8"/>
  <c r="O176" i="8"/>
  <c r="R176" i="8"/>
  <c r="Q176" i="8"/>
  <c r="N176" i="8"/>
  <c r="T176" i="8"/>
  <c r="U176" i="8" s="1"/>
  <c r="P176" i="8"/>
  <c r="V89" i="8"/>
  <c r="T109" i="8"/>
  <c r="U109" i="8" s="1"/>
  <c r="Q109" i="8"/>
  <c r="R109" i="8"/>
  <c r="S109" i="8"/>
  <c r="N109" i="8"/>
  <c r="P109" i="8"/>
  <c r="O109" i="8"/>
  <c r="V130" i="8"/>
  <c r="N184" i="8"/>
  <c r="Q184" i="8"/>
  <c r="P184" i="8"/>
  <c r="O184" i="8"/>
  <c r="T184" i="8"/>
  <c r="U184" i="8" s="1"/>
  <c r="S184" i="8"/>
  <c r="R184" i="8"/>
  <c r="V175" i="8"/>
  <c r="V182" i="8"/>
  <c r="O122" i="8"/>
  <c r="R122" i="8"/>
  <c r="S122" i="8"/>
  <c r="Q122" i="8"/>
  <c r="N122" i="8"/>
  <c r="T122" i="8"/>
  <c r="U122" i="8" s="1"/>
  <c r="P122" i="8"/>
  <c r="O135" i="8"/>
  <c r="N135" i="8"/>
  <c r="T135" i="8"/>
  <c r="U135" i="8" s="1"/>
  <c r="Q135" i="8"/>
  <c r="P135" i="8"/>
  <c r="R135" i="8"/>
  <c r="S135" i="8"/>
  <c r="S90" i="8"/>
  <c r="Q90" i="8"/>
  <c r="P90" i="8"/>
  <c r="R90" i="8"/>
  <c r="N90" i="8"/>
  <c r="T90" i="8"/>
  <c r="U90" i="8" s="1"/>
  <c r="O90" i="8"/>
  <c r="V85" i="8"/>
  <c r="T155" i="8"/>
  <c r="U155" i="8" s="1"/>
  <c r="R155" i="8"/>
  <c r="O155" i="8"/>
  <c r="P155" i="8"/>
  <c r="N155" i="8"/>
  <c r="S155" i="8"/>
  <c r="Q155" i="8"/>
  <c r="P150" i="8"/>
  <c r="T150" i="8"/>
  <c r="U150" i="8" s="1"/>
  <c r="S150" i="8"/>
  <c r="O150" i="8"/>
  <c r="Q150" i="8"/>
  <c r="N150" i="8"/>
  <c r="R150" i="8"/>
  <c r="V133" i="8"/>
  <c r="V138" i="8"/>
  <c r="V188" i="8"/>
  <c r="O209" i="8"/>
  <c r="R209" i="8"/>
  <c r="S209" i="8"/>
  <c r="Q209" i="8"/>
  <c r="P209" i="8"/>
  <c r="T209" i="8"/>
  <c r="U209" i="8" s="1"/>
  <c r="N209" i="8"/>
  <c r="S110" i="8"/>
  <c r="N110" i="8"/>
  <c r="O110" i="8"/>
  <c r="Q110" i="8"/>
  <c r="T110" i="8"/>
  <c r="U110" i="8" s="1"/>
  <c r="R110" i="8"/>
  <c r="P110" i="8"/>
  <c r="V154" i="8"/>
  <c r="N191" i="8"/>
  <c r="O191" i="8"/>
  <c r="R191" i="8"/>
  <c r="T191" i="8"/>
  <c r="U191" i="8" s="1"/>
  <c r="Q191" i="8"/>
  <c r="P191" i="8"/>
  <c r="S191" i="8"/>
  <c r="T162" i="8"/>
  <c r="U162" i="8" s="1"/>
  <c r="N162" i="8"/>
  <c r="Q162" i="8"/>
  <c r="P162" i="8"/>
  <c r="S162" i="8"/>
  <c r="R162" i="8"/>
  <c r="O162" i="8"/>
  <c r="V78" i="8"/>
  <c r="V121" i="8"/>
  <c r="V165" i="8"/>
  <c r="S183" i="8"/>
  <c r="R183" i="8"/>
  <c r="O183" i="8"/>
  <c r="P183" i="8"/>
  <c r="Q183" i="8"/>
  <c r="T183" i="8"/>
  <c r="U183" i="8" s="1"/>
  <c r="N183" i="8"/>
  <c r="V202" i="8"/>
  <c r="V147" i="8"/>
  <c r="V114" i="8"/>
  <c r="S92" i="8"/>
  <c r="O92" i="8"/>
  <c r="Q92" i="8"/>
  <c r="T92" i="8"/>
  <c r="U92" i="8" s="1"/>
  <c r="P92" i="8"/>
  <c r="R92" i="8"/>
  <c r="N92" i="8"/>
  <c r="R120" i="8"/>
  <c r="N120" i="8"/>
  <c r="S120" i="8"/>
  <c r="Q120" i="8"/>
  <c r="P120" i="8"/>
  <c r="T120" i="8"/>
  <c r="U120" i="8" s="1"/>
  <c r="O120" i="8"/>
  <c r="O144" i="8"/>
  <c r="Q144" i="8"/>
  <c r="T144" i="8"/>
  <c r="U144" i="8" s="1"/>
  <c r="N144" i="8"/>
  <c r="R144" i="8"/>
  <c r="S144" i="8"/>
  <c r="P144" i="8"/>
  <c r="Q164" i="8"/>
  <c r="P164" i="8"/>
  <c r="N164" i="8"/>
  <c r="T164" i="8"/>
  <c r="U164" i="8" s="1"/>
  <c r="O164" i="8"/>
  <c r="R164" i="8"/>
  <c r="S164" i="8"/>
  <c r="N99" i="8"/>
  <c r="S99" i="8"/>
  <c r="Q99" i="8"/>
  <c r="R99" i="8"/>
  <c r="T99" i="8"/>
  <c r="U99" i="8" s="1"/>
  <c r="P99" i="8"/>
  <c r="O99" i="8"/>
  <c r="Q211" i="8"/>
  <c r="P211" i="8"/>
  <c r="O211" i="8"/>
  <c r="N211" i="8"/>
  <c r="T211" i="8"/>
  <c r="U211" i="8" s="1"/>
  <c r="S211" i="8"/>
  <c r="R211" i="8"/>
  <c r="P80" i="8"/>
  <c r="R80" i="8"/>
  <c r="Q80" i="8"/>
  <c r="N80" i="8"/>
  <c r="T80" i="8"/>
  <c r="U80" i="8" s="1"/>
  <c r="O80" i="8"/>
  <c r="S80" i="8"/>
  <c r="S67" i="8"/>
  <c r="N67" i="8"/>
  <c r="T67" i="8"/>
  <c r="U67" i="8" s="1"/>
  <c r="Q67" i="8"/>
  <c r="P67" i="8"/>
  <c r="O67" i="8"/>
  <c r="R67" i="8"/>
  <c r="V67" i="8" s="1"/>
  <c r="T146" i="8"/>
  <c r="U146" i="8" s="1"/>
  <c r="P146" i="8"/>
  <c r="S146" i="8"/>
  <c r="Q146" i="8"/>
  <c r="O146" i="8"/>
  <c r="R146" i="8"/>
  <c r="N146" i="8"/>
  <c r="Q112" i="8"/>
  <c r="N112" i="8"/>
  <c r="P112" i="8"/>
  <c r="S112" i="8"/>
  <c r="T112" i="8"/>
  <c r="U112" i="8" s="1"/>
  <c r="O112" i="8"/>
  <c r="R112" i="8"/>
  <c r="Q104" i="8"/>
  <c r="T104" i="8"/>
  <c r="U104" i="8" s="1"/>
  <c r="R104" i="8"/>
  <c r="N104" i="8"/>
  <c r="P104" i="8"/>
  <c r="S104" i="8"/>
  <c r="O104" i="8"/>
  <c r="O192" i="8"/>
  <c r="R192" i="8"/>
  <c r="Q192" i="8"/>
  <c r="P192" i="8"/>
  <c r="S192" i="8"/>
  <c r="T192" i="8"/>
  <c r="U192" i="8" s="1"/>
  <c r="N192" i="8"/>
  <c r="N174" i="8"/>
  <c r="P174" i="8"/>
  <c r="R174" i="8"/>
  <c r="O174" i="8"/>
  <c r="T174" i="8"/>
  <c r="U174" i="8" s="1"/>
  <c r="Q174" i="8"/>
  <c r="S174" i="8"/>
  <c r="O137" i="8"/>
  <c r="T137" i="8"/>
  <c r="U137" i="8" s="1"/>
  <c r="Q137" i="8"/>
  <c r="S137" i="8"/>
  <c r="R137" i="8"/>
  <c r="P137" i="8"/>
  <c r="N137" i="8"/>
  <c r="Q70" i="8"/>
  <c r="T70" i="8"/>
  <c r="U70" i="8" s="1"/>
  <c r="R70" i="8"/>
  <c r="P70" i="8"/>
  <c r="O70" i="8"/>
  <c r="S70" i="8"/>
  <c r="N70" i="8"/>
  <c r="T199" i="8"/>
  <c r="U199" i="8" s="1"/>
  <c r="R199" i="8"/>
  <c r="O199" i="8"/>
  <c r="N199" i="8"/>
  <c r="P199" i="8"/>
  <c r="Q199" i="8"/>
  <c r="S199" i="8"/>
  <c r="R86" i="8"/>
  <c r="S86" i="8"/>
  <c r="P86" i="8"/>
  <c r="Q86" i="8"/>
  <c r="N86" i="8"/>
  <c r="O86" i="8"/>
  <c r="T86" i="8"/>
  <c r="U86" i="8" s="1"/>
  <c r="V94" i="8"/>
  <c r="Q131" i="8"/>
  <c r="R131" i="8"/>
  <c r="N131" i="8"/>
  <c r="T131" i="8"/>
  <c r="U131" i="8" s="1"/>
  <c r="O131" i="8"/>
  <c r="S131" i="8"/>
  <c r="P131" i="8"/>
  <c r="P172" i="8"/>
  <c r="O172" i="8"/>
  <c r="S172" i="8"/>
  <c r="Q172" i="8"/>
  <c r="N172" i="8"/>
  <c r="T172" i="8"/>
  <c r="U172" i="8" s="1"/>
  <c r="R172" i="8"/>
  <c r="N148" i="8"/>
  <c r="P148" i="8"/>
  <c r="R148" i="8"/>
  <c r="Q148" i="8"/>
  <c r="O148" i="8"/>
  <c r="S148" i="8"/>
  <c r="T148" i="8"/>
  <c r="U148" i="8" s="1"/>
  <c r="V98" i="8"/>
  <c r="V106" i="8"/>
  <c r="Q139" i="8"/>
  <c r="P139" i="8"/>
  <c r="S139" i="8"/>
  <c r="R139" i="8"/>
  <c r="O139" i="8"/>
  <c r="T139" i="8"/>
  <c r="U139" i="8" s="1"/>
  <c r="N139" i="8"/>
  <c r="R181" i="8"/>
  <c r="T181" i="8"/>
  <c r="U181" i="8" s="1"/>
  <c r="S181" i="8"/>
  <c r="P181" i="8"/>
  <c r="O181" i="8"/>
  <c r="Q181" i="8"/>
  <c r="N181" i="8"/>
  <c r="T77" i="8"/>
  <c r="U77" i="8" s="1"/>
  <c r="P77" i="8"/>
  <c r="S77" i="8"/>
  <c r="R77" i="8"/>
  <c r="Q77" i="8"/>
  <c r="O77" i="8"/>
  <c r="N77" i="8"/>
  <c r="O185" i="8"/>
  <c r="P185" i="8"/>
  <c r="T185" i="8"/>
  <c r="U185" i="8" s="1"/>
  <c r="Q185" i="8"/>
  <c r="R185" i="8"/>
  <c r="S185" i="8"/>
  <c r="N185" i="8"/>
  <c r="V111" i="8"/>
  <c r="O142" i="8"/>
  <c r="R142" i="8"/>
  <c r="S142" i="8"/>
  <c r="T142" i="8"/>
  <c r="U142" i="8" s="1"/>
  <c r="P142" i="8"/>
  <c r="Q142" i="8"/>
  <c r="N142" i="8"/>
  <c r="V118" i="8"/>
  <c r="N180" i="8"/>
  <c r="R180" i="8"/>
  <c r="S180" i="8"/>
  <c r="T180" i="8"/>
  <c r="U180" i="8" s="1"/>
  <c r="Q180" i="8"/>
  <c r="O180" i="8"/>
  <c r="P180" i="8"/>
  <c r="V194" i="8"/>
  <c r="T125" i="8"/>
  <c r="U125" i="8" s="1"/>
  <c r="S125" i="8"/>
  <c r="P125" i="8"/>
  <c r="Q125" i="8"/>
  <c r="O125" i="8"/>
  <c r="N125" i="8"/>
  <c r="R125" i="8"/>
  <c r="V71" i="8"/>
  <c r="V170" i="8"/>
  <c r="Q93" i="8"/>
  <c r="S93" i="8"/>
  <c r="P93" i="8"/>
  <c r="R93" i="8"/>
  <c r="N93" i="8"/>
  <c r="O93" i="8"/>
  <c r="T93" i="8"/>
  <c r="U93" i="8" s="1"/>
  <c r="P116" i="8"/>
  <c r="T116" i="8"/>
  <c r="U116" i="8" s="1"/>
  <c r="O116" i="8"/>
  <c r="N116" i="8"/>
  <c r="S116" i="8"/>
  <c r="Q116" i="8"/>
  <c r="R116" i="8"/>
  <c r="Q103" i="8"/>
  <c r="O103" i="8"/>
  <c r="S103" i="8"/>
  <c r="N103" i="8"/>
  <c r="T103" i="8"/>
  <c r="U103" i="8" s="1"/>
  <c r="P103" i="8"/>
  <c r="R103" i="8"/>
  <c r="T79" i="8"/>
  <c r="U79" i="8" s="1"/>
  <c r="S79" i="8"/>
  <c r="P79" i="8"/>
  <c r="N79" i="8"/>
  <c r="Q79" i="8"/>
  <c r="O79" i="8"/>
  <c r="R79" i="8"/>
  <c r="V91" i="8"/>
  <c r="T102" i="8"/>
  <c r="U102" i="8" s="1"/>
  <c r="P102" i="8"/>
  <c r="N102" i="8"/>
  <c r="R102" i="8"/>
  <c r="O102" i="8"/>
  <c r="Q102" i="8"/>
  <c r="S102" i="8"/>
  <c r="O189" i="8"/>
  <c r="N189" i="8"/>
  <c r="T189" i="8"/>
  <c r="U189" i="8" s="1"/>
  <c r="Q189" i="8"/>
  <c r="P189" i="8"/>
  <c r="R189" i="8"/>
  <c r="S189" i="8"/>
  <c r="Q200" i="8"/>
  <c r="R200" i="8"/>
  <c r="S200" i="8"/>
  <c r="T200" i="8"/>
  <c r="U200" i="8" s="1"/>
  <c r="N200" i="8"/>
  <c r="O200" i="8"/>
  <c r="P200" i="8"/>
  <c r="V73" i="8"/>
  <c r="R205" i="8"/>
  <c r="N205" i="8"/>
  <c r="T205" i="8"/>
  <c r="U205" i="8" s="1"/>
  <c r="Q205" i="8"/>
  <c r="O205" i="8"/>
  <c r="P205" i="8"/>
  <c r="S205" i="8"/>
  <c r="T100" i="8"/>
  <c r="U100" i="8" s="1"/>
  <c r="S100" i="8"/>
  <c r="R100" i="8"/>
  <c r="Q100" i="8"/>
  <c r="N100" i="8"/>
  <c r="P100" i="8"/>
  <c r="O100" i="8"/>
  <c r="O203" i="8"/>
  <c r="S203" i="8"/>
  <c r="Q203" i="8"/>
  <c r="P203" i="8"/>
  <c r="T203" i="8"/>
  <c r="U203" i="8" s="1"/>
  <c r="R203" i="8"/>
  <c r="N203" i="8"/>
  <c r="S129" i="8"/>
  <c r="T129" i="8"/>
  <c r="U129" i="8" s="1"/>
  <c r="O129" i="8"/>
  <c r="P129" i="8"/>
  <c r="N129" i="8"/>
  <c r="Q129" i="8"/>
  <c r="R129" i="8"/>
  <c r="Q107" i="8"/>
  <c r="O107" i="8"/>
  <c r="N107" i="8"/>
  <c r="S107" i="8"/>
  <c r="P107" i="8"/>
  <c r="R107" i="8"/>
  <c r="T107" i="8"/>
  <c r="U107" i="8" s="1"/>
  <c r="V151" i="8" l="1"/>
  <c r="V155" i="8"/>
  <c r="V129" i="8"/>
  <c r="V203" i="8"/>
  <c r="Z50" i="7"/>
  <c r="Z51" i="7"/>
  <c r="Z52" i="7"/>
  <c r="V96" i="8"/>
  <c r="V206" i="8"/>
  <c r="V156" i="8"/>
  <c r="V128" i="8"/>
  <c r="V171" i="8"/>
  <c r="V86" i="8"/>
  <c r="V162" i="8"/>
  <c r="V113" i="8"/>
  <c r="V116" i="8"/>
  <c r="V125" i="8"/>
  <c r="V181" i="8"/>
  <c r="V139" i="8"/>
  <c r="V191" i="8"/>
  <c r="V135" i="8"/>
  <c r="V187" i="8"/>
  <c r="V72" i="8"/>
  <c r="V69" i="8"/>
  <c r="V95" i="8"/>
  <c r="V131" i="8"/>
  <c r="V112" i="8"/>
  <c r="V146" i="8"/>
  <c r="V211" i="8"/>
  <c r="V92" i="8"/>
  <c r="V70" i="8"/>
  <c r="V104" i="8"/>
  <c r="V120" i="8"/>
  <c r="V117" i="8"/>
  <c r="V197" i="8"/>
  <c r="V160" i="8"/>
  <c r="V102" i="8"/>
  <c r="V180" i="8"/>
  <c r="V142" i="8"/>
  <c r="V137" i="8"/>
  <c r="V80" i="8"/>
  <c r="V99" i="8"/>
  <c r="V110" i="8"/>
  <c r="V150" i="8"/>
  <c r="V84" i="8"/>
  <c r="V173" i="8"/>
  <c r="V82" i="8"/>
  <c r="V159" i="8"/>
  <c r="V115" i="8"/>
  <c r="V167" i="8"/>
  <c r="V178" i="8"/>
  <c r="V153" i="8"/>
  <c r="V196" i="8"/>
  <c r="V189" i="8"/>
  <c r="V107" i="8"/>
  <c r="V100" i="8"/>
  <c r="V200" i="8"/>
  <c r="V103" i="8"/>
  <c r="V205" i="8"/>
  <c r="V79" i="8"/>
  <c r="V93" i="8"/>
  <c r="V185" i="8"/>
  <c r="V77" i="8"/>
  <c r="V199" i="8"/>
  <c r="V174" i="8"/>
  <c r="V192" i="8"/>
  <c r="V164" i="8"/>
  <c r="V144" i="8"/>
  <c r="V168" i="8"/>
  <c r="V172" i="8"/>
  <c r="V90" i="8"/>
  <c r="V122" i="8"/>
  <c r="V184" i="8"/>
  <c r="V109" i="8"/>
  <c r="V176" i="8"/>
  <c r="V208" i="8"/>
  <c r="V148" i="8"/>
  <c r="V183" i="8"/>
  <c r="V209" i="8"/>
  <c r="V88" i="8"/>
  <c r="Z10" i="7" l="1"/>
  <c r="Z12" i="7"/>
  <c r="AA213" i="7" s="1"/>
  <c r="AA212" i="7" s="1"/>
  <c r="AA211" i="7" s="1"/>
  <c r="AA210" i="7" s="1"/>
  <c r="AA209" i="7" s="1"/>
  <c r="AA208" i="7" s="1"/>
  <c r="AA207" i="7" s="1"/>
  <c r="AA206" i="7" s="1"/>
  <c r="AA205" i="7" s="1"/>
  <c r="AA204" i="7" s="1"/>
  <c r="AA203" i="7" s="1"/>
  <c r="AA202" i="7" s="1"/>
  <c r="AA201" i="7" s="1"/>
  <c r="AA200" i="7" s="1"/>
  <c r="AA199" i="7" s="1"/>
  <c r="AA198" i="7" s="1"/>
  <c r="AA197" i="7" s="1"/>
  <c r="AA196" i="7" s="1"/>
  <c r="AA195" i="7" s="1"/>
  <c r="AA194" i="7" s="1"/>
  <c r="AA193" i="7" s="1"/>
  <c r="AA192" i="7" s="1"/>
  <c r="AA191" i="7" s="1"/>
  <c r="AA190" i="7" s="1"/>
  <c r="AA189" i="7" s="1"/>
  <c r="AA188" i="7" s="1"/>
  <c r="AA187" i="7" s="1"/>
  <c r="AA186" i="7" s="1"/>
  <c r="AA185" i="7" s="1"/>
  <c r="AA184" i="7" s="1"/>
  <c r="AA183" i="7" s="1"/>
  <c r="AA182" i="7" s="1"/>
  <c r="AA181" i="7" s="1"/>
  <c r="AA180" i="7" s="1"/>
  <c r="AA179" i="7" s="1"/>
  <c r="AA178" i="7" s="1"/>
  <c r="AA177" i="7" s="1"/>
  <c r="AA176" i="7" s="1"/>
  <c r="AA175" i="7" s="1"/>
  <c r="AA174" i="7" s="1"/>
  <c r="AA173" i="7" s="1"/>
  <c r="AA172" i="7" s="1"/>
  <c r="AB10" i="7"/>
  <c r="BL106" i="7" s="1"/>
  <c r="AA171" i="7" l="1"/>
  <c r="AA170" i="7" l="1"/>
  <c r="AA169" i="7" l="1"/>
  <c r="AA168" i="7" l="1"/>
  <c r="AA167" i="7" l="1"/>
  <c r="AA166" i="7" l="1"/>
  <c r="AA165" i="7" l="1"/>
  <c r="AA164" i="7" l="1"/>
  <c r="AA163" i="7" l="1"/>
  <c r="AA162" i="7" l="1"/>
  <c r="AA161" i="7" l="1"/>
  <c r="AA160" i="7" l="1"/>
  <c r="AA159" i="7" l="1"/>
  <c r="AA158" i="7" l="1"/>
  <c r="AA157" i="7" l="1"/>
  <c r="AA156" i="7" l="1"/>
  <c r="AA155" i="7" l="1"/>
  <c r="AA154" i="7" l="1"/>
  <c r="AA153" i="7" l="1"/>
  <c r="AA152" i="7" l="1"/>
  <c r="AA151" i="7" l="1"/>
  <c r="AA150" i="7" l="1"/>
  <c r="AA149" i="7" l="1"/>
  <c r="AA148" i="7" l="1"/>
  <c r="AA147" i="7" l="1"/>
  <c r="AA146" i="7" l="1"/>
  <c r="AA145" i="7" l="1"/>
  <c r="AA144" i="7" l="1"/>
  <c r="AA143" i="7" l="1"/>
  <c r="AA142" i="7" l="1"/>
  <c r="AA141" i="7" l="1"/>
  <c r="AA140" i="7" l="1"/>
  <c r="AA139" i="7" l="1"/>
  <c r="AA138" i="7" l="1"/>
  <c r="AA137" i="7" l="1"/>
  <c r="AA136" i="7" l="1"/>
  <c r="AA135" i="7" l="1"/>
  <c r="AA134" i="7" l="1"/>
  <c r="AA133" i="7" l="1"/>
  <c r="AA132" i="7" l="1"/>
  <c r="AA131" i="7" l="1"/>
  <c r="AA130" i="7" l="1"/>
  <c r="AA129" i="7" l="1"/>
  <c r="AA128" i="7" l="1"/>
  <c r="AA127" i="7" l="1"/>
  <c r="AA126" i="7" l="1"/>
  <c r="AA125" i="7" l="1"/>
  <c r="AA124" i="7" l="1"/>
  <c r="AA123" i="7" l="1"/>
  <c r="AA122" i="7" l="1"/>
  <c r="AA121" i="7" l="1"/>
  <c r="AA120" i="7" l="1"/>
  <c r="AA119" i="7" l="1"/>
  <c r="AA118" i="7" l="1"/>
  <c r="AA117" i="7" l="1"/>
  <c r="AA116" i="7" l="1"/>
  <c r="AA115" i="7" l="1"/>
  <c r="AA114" i="7" l="1"/>
  <c r="AA113" i="7" l="1"/>
  <c r="AA112" i="7" l="1"/>
  <c r="AA111" i="7" l="1"/>
  <c r="AA110" i="7" l="1"/>
  <c r="AA109" i="7" l="1"/>
  <c r="AA108" i="7" l="1"/>
  <c r="AA107" i="7" l="1"/>
  <c r="AA106" i="7" l="1"/>
  <c r="AA105" i="7" l="1"/>
  <c r="AA104" i="7" l="1"/>
  <c r="AA103" i="7" l="1"/>
  <c r="AA102" i="7" l="1"/>
  <c r="AA101" i="7" l="1"/>
  <c r="AA100" i="7" l="1"/>
  <c r="AA99" i="7" l="1"/>
  <c r="AA98" i="7" l="1"/>
  <c r="AA97" i="7" l="1"/>
  <c r="AA96" i="7" l="1"/>
  <c r="AA95" i="7" l="1"/>
  <c r="AA94" i="7" l="1"/>
  <c r="AA93" i="7" l="1"/>
  <c r="AA92" i="7" l="1"/>
  <c r="AA91" i="7" l="1"/>
  <c r="AA90" i="7" l="1"/>
  <c r="AA89" i="7" l="1"/>
  <c r="AA88" i="7" l="1"/>
  <c r="AA87" i="7" l="1"/>
  <c r="AA86" i="7" l="1"/>
  <c r="AA85" i="7" l="1"/>
  <c r="AA84" i="7" l="1"/>
  <c r="AA83" i="7" l="1"/>
  <c r="AA82" i="7" l="1"/>
  <c r="AA81" i="7" l="1"/>
  <c r="AA80" i="7" l="1"/>
  <c r="AA79" i="7" l="1"/>
  <c r="AA78" i="7" l="1"/>
  <c r="AA77" i="7" l="1"/>
  <c r="AA76" i="7" l="1"/>
  <c r="AA75" i="7" l="1"/>
  <c r="AA74" i="7" l="1"/>
  <c r="AA73" i="7" l="1"/>
  <c r="AA72" i="7" l="1"/>
  <c r="AA71" i="7" l="1"/>
  <c r="AA70" i="7" l="1"/>
  <c r="AA69" i="7" l="1"/>
  <c r="AA68" i="7" l="1"/>
  <c r="AA67" i="7" l="1"/>
  <c r="AA66" i="7" l="1"/>
  <c r="AA65" i="7" l="1"/>
  <c r="AA64" i="7" l="1"/>
  <c r="AA63" i="7" l="1"/>
  <c r="AA62" i="7" l="1"/>
  <c r="AA61" i="7" l="1"/>
  <c r="AA60" i="7" l="1"/>
  <c r="AA59" i="7" l="1"/>
  <c r="AA58" i="7" l="1"/>
  <c r="AA57" i="7" l="1"/>
  <c r="AA56" i="7" l="1"/>
  <c r="AA55" i="7" l="1"/>
  <c r="AA54" i="7" l="1"/>
  <c r="AA53" i="7" l="1"/>
  <c r="AA52" i="7" l="1"/>
  <c r="AA51" i="7" l="1"/>
  <c r="AA50" i="7" l="1"/>
  <c r="AA49" i="7" l="1"/>
  <c r="AA48" i="7" l="1"/>
  <c r="AA47" i="7" l="1"/>
  <c r="AA46" i="7" l="1"/>
  <c r="AA45" i="7" l="1"/>
  <c r="AA44" i="7" l="1"/>
  <c r="AA43" i="7" l="1"/>
  <c r="AA42" i="7" l="1"/>
  <c r="AA41" i="7" l="1"/>
  <c r="AA40" i="7" l="1"/>
  <c r="AA39" i="7" l="1"/>
  <c r="AA38" i="7" l="1"/>
  <c r="AA37" i="7" l="1"/>
  <c r="AA36" i="7" l="1"/>
  <c r="AA35" i="7" l="1"/>
  <c r="AA34" i="7" l="1"/>
  <c r="AA33" i="7" l="1"/>
  <c r="AA32" i="7" l="1"/>
  <c r="AA31" i="7" l="1"/>
  <c r="AA30" i="7" l="1"/>
  <c r="AA29" i="7" l="1"/>
  <c r="AA28" i="7" l="1"/>
  <c r="AA27" i="7" l="1"/>
  <c r="AA26" i="7" l="1"/>
  <c r="AA25" i="7" l="1"/>
  <c r="AA24" i="7" l="1"/>
  <c r="AA23" i="7" l="1"/>
  <c r="AA22" i="7" l="1"/>
  <c r="AA21" i="7" l="1"/>
  <c r="AA20" i="7" l="1"/>
  <c r="AA19" i="7" l="1"/>
  <c r="AA18" i="7" l="1"/>
  <c r="AA17" i="7" l="1"/>
  <c r="AA16" i="7" l="1"/>
  <c r="AA15" i="7" l="1"/>
  <c r="AA14" i="7" l="1"/>
  <c r="AA12" i="7" l="1"/>
  <c r="AB12" i="7" s="1"/>
  <c r="AB14" i="7" l="1"/>
  <c r="AB15" i="7" s="1"/>
  <c r="AB16" i="7" l="1"/>
  <c r="AB17" i="7" s="1"/>
  <c r="AD15" i="7"/>
  <c r="AD14" i="7"/>
  <c r="AD16" i="7" l="1"/>
  <c r="AD17" i="7"/>
  <c r="AB18" i="7"/>
  <c r="AB19" i="7" l="1"/>
  <c r="AD19" i="7" s="1"/>
  <c r="AD18" i="7"/>
  <c r="AB20" i="7" l="1"/>
  <c r="AD20" i="7" l="1"/>
  <c r="AB21" i="7"/>
  <c r="AD21" i="7" s="1"/>
  <c r="AB22" i="7" l="1"/>
  <c r="AD22" i="7" s="1"/>
  <c r="AB23" i="7" l="1"/>
  <c r="AD23" i="7" s="1"/>
  <c r="AB24" i="7" l="1"/>
  <c r="AD24" i="7" l="1"/>
  <c r="AB25" i="7"/>
  <c r="AD25" i="7" s="1"/>
  <c r="AB26" i="7" l="1"/>
  <c r="AD26" i="7" l="1"/>
  <c r="AB27" i="7"/>
  <c r="AD27" i="7" s="1"/>
  <c r="AB28" i="7" l="1"/>
  <c r="AD28" i="7" l="1"/>
  <c r="AB29" i="7"/>
  <c r="AB30" i="7" l="1"/>
  <c r="AD29" i="7"/>
  <c r="AD30" i="7" l="1"/>
  <c r="AB31" i="7"/>
  <c r="AB32" i="7" s="1"/>
  <c r="AD32" i="7" s="1"/>
  <c r="AD31" i="7" l="1"/>
  <c r="AB33" i="7"/>
  <c r="AD33" i="7" l="1"/>
  <c r="AB34" i="7"/>
  <c r="AD34" i="7" s="1"/>
  <c r="AB35" i="7" l="1"/>
  <c r="AD35" i="7" s="1"/>
  <c r="AB36" i="7" l="1"/>
  <c r="AB37" i="7" s="1"/>
  <c r="AD37" i="7" s="1"/>
  <c r="AB38" i="7" l="1"/>
  <c r="AD38" i="7" s="1"/>
  <c r="AD36" i="7"/>
  <c r="AB39" i="7" l="1"/>
  <c r="AD39" i="7" s="1"/>
  <c r="AB40" i="7" l="1"/>
  <c r="AD40" i="7" s="1"/>
  <c r="AB41" i="7" l="1"/>
  <c r="AD41" i="7" s="1"/>
  <c r="AB42" i="7" l="1"/>
  <c r="AD42" i="7" s="1"/>
  <c r="AB43" i="7" l="1"/>
  <c r="AD43" i="7" s="1"/>
  <c r="AB44" i="7" l="1"/>
  <c r="AD44" i="7" s="1"/>
  <c r="AB45" i="7" l="1"/>
  <c r="AD45" i="7" s="1"/>
  <c r="AB46" i="7" l="1"/>
  <c r="AD46" i="7" s="1"/>
  <c r="AB47" i="7" l="1"/>
  <c r="AD47" i="7" s="1"/>
  <c r="AB48" i="7" l="1"/>
  <c r="AD48" i="7" s="1"/>
  <c r="AB49" i="7" l="1"/>
  <c r="AD49" i="7" s="1"/>
  <c r="AB50" i="7" l="1"/>
  <c r="AD50" i="7" s="1"/>
  <c r="AB51" i="7" l="1"/>
  <c r="AD51" i="7" s="1"/>
  <c r="AB52" i="7" l="1"/>
  <c r="AD52" i="7" s="1"/>
  <c r="AB53" i="7" l="1"/>
  <c r="AD53" i="7" s="1"/>
  <c r="AB54" i="7" l="1"/>
  <c r="AD54" i="7" s="1"/>
  <c r="AB55" i="7" l="1"/>
  <c r="AD55" i="7" s="1"/>
  <c r="AB56" i="7" l="1"/>
  <c r="AD56" i="7" s="1"/>
  <c r="AB57" i="7" l="1"/>
  <c r="AD57" i="7" s="1"/>
  <c r="AB58" i="7" l="1"/>
  <c r="AD58" i="7" s="1"/>
  <c r="AB59" i="7" l="1"/>
  <c r="AD59" i="7" s="1"/>
  <c r="AB60" i="7" l="1"/>
  <c r="AD60" i="7" s="1"/>
  <c r="AB61" i="7" l="1"/>
  <c r="AD61" i="7" s="1"/>
  <c r="AB62" i="7" l="1"/>
  <c r="AB63" i="7" s="1"/>
  <c r="AD62" i="7" l="1"/>
  <c r="AD63" i="7"/>
  <c r="AB64" i="7"/>
  <c r="AB65" i="7" l="1"/>
  <c r="AD64" i="7"/>
  <c r="AD65" i="7" l="1"/>
  <c r="AB66" i="7"/>
  <c r="AB67" i="7" l="1"/>
  <c r="AD66" i="7"/>
  <c r="AD67" i="7" l="1"/>
  <c r="AB68" i="7"/>
  <c r="AB69" i="7" l="1"/>
  <c r="AD69" i="7" s="1"/>
  <c r="AD68" i="7"/>
  <c r="AB70" i="7" l="1"/>
  <c r="AB71" i="7" s="1"/>
  <c r="AD71" i="7" s="1"/>
  <c r="AB72" i="7" l="1"/>
  <c r="AD72" i="7" s="1"/>
  <c r="AD70" i="7"/>
  <c r="AB73" i="7" l="1"/>
  <c r="AD73" i="7" s="1"/>
  <c r="AB74" i="7" l="1"/>
  <c r="AB75" i="7" s="1"/>
  <c r="AD74" i="7" l="1"/>
  <c r="AD75" i="7"/>
  <c r="AB76" i="7"/>
  <c r="AD76" i="7" l="1"/>
  <c r="AB77" i="7"/>
  <c r="AD77" i="7" l="1"/>
  <c r="AB78" i="7"/>
  <c r="AD78" i="7" l="1"/>
  <c r="AB79" i="7"/>
  <c r="AD79" i="7" l="1"/>
  <c r="AB80" i="7"/>
  <c r="AD80" i="7" l="1"/>
  <c r="AB81" i="7"/>
  <c r="AD81" i="7" l="1"/>
  <c r="AB82" i="7"/>
  <c r="AD82" i="7" l="1"/>
  <c r="AB83" i="7"/>
  <c r="AD83" i="7" l="1"/>
  <c r="AB84" i="7"/>
  <c r="AD84" i="7" l="1"/>
  <c r="AB85" i="7"/>
  <c r="AD85" i="7" l="1"/>
  <c r="AB86" i="7"/>
  <c r="AD86" i="7" l="1"/>
  <c r="AB87" i="7"/>
  <c r="AD87" i="7" l="1"/>
  <c r="AB88" i="7"/>
  <c r="AD88" i="7" l="1"/>
  <c r="AB89" i="7"/>
  <c r="AD89" i="7" l="1"/>
  <c r="AB90" i="7"/>
  <c r="AD90" i="7" l="1"/>
  <c r="AB91" i="7"/>
  <c r="AD91" i="7" l="1"/>
  <c r="AB92" i="7"/>
  <c r="AD92" i="7" l="1"/>
  <c r="AB93" i="7"/>
  <c r="AD93" i="7" l="1"/>
  <c r="AB94" i="7"/>
  <c r="AD94" i="7" l="1"/>
  <c r="AB95" i="7"/>
  <c r="AD95" i="7" l="1"/>
  <c r="AB96" i="7"/>
  <c r="AD96" i="7" l="1"/>
  <c r="AB97" i="7"/>
  <c r="AD97" i="7" l="1"/>
  <c r="AB98" i="7"/>
  <c r="AD98" i="7" l="1"/>
  <c r="AB99" i="7"/>
  <c r="AD99" i="7" l="1"/>
  <c r="AB100" i="7"/>
  <c r="AD100" i="7" l="1"/>
  <c r="AB101" i="7"/>
  <c r="AD101" i="7" l="1"/>
  <c r="AB102" i="7"/>
  <c r="AD102" i="7" l="1"/>
  <c r="AB103" i="7"/>
  <c r="AD103" i="7" l="1"/>
  <c r="AB104" i="7"/>
  <c r="AD104" i="7" l="1"/>
  <c r="AB105" i="7"/>
  <c r="AD105" i="7" l="1"/>
  <c r="AB106" i="7"/>
  <c r="AD106" i="7" l="1"/>
  <c r="AB107" i="7"/>
  <c r="AD107" i="7" l="1"/>
  <c r="AB108" i="7"/>
  <c r="AD108" i="7" l="1"/>
  <c r="AB109" i="7"/>
  <c r="AD109" i="7" l="1"/>
  <c r="AB110" i="7"/>
  <c r="AD110" i="7" l="1"/>
  <c r="AB111" i="7"/>
  <c r="AD111" i="7" l="1"/>
  <c r="AB112" i="7"/>
  <c r="AD112" i="7" l="1"/>
  <c r="AB113" i="7"/>
  <c r="AD113" i="7" l="1"/>
  <c r="AB114" i="7"/>
  <c r="AD114" i="7" l="1"/>
  <c r="AB115" i="7"/>
  <c r="AD115" i="7" l="1"/>
  <c r="AB116" i="7"/>
  <c r="AD116" i="7" l="1"/>
  <c r="AB117" i="7"/>
  <c r="AD117" i="7" l="1"/>
  <c r="AB118" i="7"/>
  <c r="AD118" i="7" l="1"/>
  <c r="AB119" i="7"/>
  <c r="AD119" i="7" l="1"/>
  <c r="AB120" i="7"/>
  <c r="AD120" i="7" l="1"/>
  <c r="AB121" i="7"/>
  <c r="AD121" i="7" l="1"/>
  <c r="AB122" i="7"/>
  <c r="AD122" i="7" l="1"/>
  <c r="AB123" i="7"/>
  <c r="AD123" i="7" l="1"/>
  <c r="AB124" i="7"/>
  <c r="AD124" i="7" l="1"/>
  <c r="AB125" i="7"/>
  <c r="AD125" i="7" l="1"/>
  <c r="AB126" i="7"/>
  <c r="AD126" i="7" l="1"/>
  <c r="AB127" i="7"/>
  <c r="AD127" i="7" l="1"/>
  <c r="AB128" i="7"/>
  <c r="AD128" i="7" l="1"/>
  <c r="AB129" i="7"/>
  <c r="AD129" i="7" l="1"/>
  <c r="AB130" i="7"/>
  <c r="AD130" i="7" l="1"/>
  <c r="AB131" i="7"/>
  <c r="AD131" i="7" l="1"/>
  <c r="AB132" i="7"/>
  <c r="AD132" i="7" l="1"/>
  <c r="AB133" i="7"/>
  <c r="AD133" i="7" l="1"/>
  <c r="AB134" i="7"/>
  <c r="AD134" i="7" l="1"/>
  <c r="AB135" i="7"/>
  <c r="AD135" i="7" l="1"/>
  <c r="AB136" i="7"/>
  <c r="AD136" i="7" l="1"/>
  <c r="AB137" i="7"/>
  <c r="AD137" i="7" l="1"/>
  <c r="AB138" i="7"/>
  <c r="AD138" i="7" l="1"/>
  <c r="AB139" i="7"/>
  <c r="AD139" i="7" l="1"/>
  <c r="AB140" i="7"/>
  <c r="AD140" i="7" l="1"/>
  <c r="AB141" i="7"/>
  <c r="AD141" i="7" l="1"/>
  <c r="AB142" i="7"/>
  <c r="AD142" i="7" l="1"/>
  <c r="AB143" i="7"/>
  <c r="AD143" i="7" l="1"/>
  <c r="AB144" i="7"/>
  <c r="AD144" i="7" l="1"/>
  <c r="AB145" i="7"/>
  <c r="AD145" i="7" l="1"/>
  <c r="AB146" i="7"/>
  <c r="AD146" i="7" l="1"/>
  <c r="AB147" i="7"/>
  <c r="AD147" i="7" l="1"/>
  <c r="AB148" i="7"/>
  <c r="AD148" i="7" l="1"/>
  <c r="AB149" i="7"/>
  <c r="AD149" i="7" l="1"/>
  <c r="AB150" i="7"/>
  <c r="AD150" i="7" l="1"/>
  <c r="AB151" i="7"/>
  <c r="AD151" i="7" l="1"/>
  <c r="AB152" i="7"/>
  <c r="AD152" i="7" l="1"/>
  <c r="AB153" i="7"/>
  <c r="AD153" i="7" l="1"/>
  <c r="AB154" i="7"/>
  <c r="AD154" i="7" l="1"/>
  <c r="AB155" i="7"/>
  <c r="AD155" i="7" l="1"/>
  <c r="AB156" i="7"/>
  <c r="AD156" i="7" l="1"/>
  <c r="AB157" i="7"/>
  <c r="AD157" i="7" l="1"/>
  <c r="AB158" i="7"/>
  <c r="AD158" i="7" l="1"/>
  <c r="AB159" i="7"/>
  <c r="AD159" i="7" l="1"/>
  <c r="AB160" i="7"/>
  <c r="AD160" i="7" l="1"/>
  <c r="AB161" i="7"/>
  <c r="AD161" i="7" l="1"/>
  <c r="AB162" i="7"/>
  <c r="AD162" i="7" l="1"/>
  <c r="AB163" i="7"/>
  <c r="AD163" i="7" l="1"/>
  <c r="AB164" i="7"/>
  <c r="AD164" i="7" l="1"/>
  <c r="AB165" i="7"/>
  <c r="AD165" i="7" l="1"/>
  <c r="AB166" i="7"/>
  <c r="AD166" i="7" l="1"/>
  <c r="AB167" i="7"/>
  <c r="AD167" i="7" l="1"/>
  <c r="AB168" i="7"/>
  <c r="AD168" i="7" l="1"/>
  <c r="AB169" i="7"/>
  <c r="AD169" i="7" l="1"/>
  <c r="AB170" i="7"/>
  <c r="AD170" i="7" l="1"/>
  <c r="AB171" i="7"/>
  <c r="AD171" i="7" l="1"/>
  <c r="AB172" i="7"/>
  <c r="AD172" i="7" l="1"/>
  <c r="AB173" i="7"/>
  <c r="AD173" i="7" l="1"/>
  <c r="AB174" i="7"/>
  <c r="AD174" i="7" l="1"/>
  <c r="AB175" i="7"/>
  <c r="AD175" i="7" l="1"/>
  <c r="AB176" i="7"/>
  <c r="AD176" i="7" l="1"/>
  <c r="AB177" i="7"/>
  <c r="AD177" i="7" l="1"/>
  <c r="AB178" i="7"/>
  <c r="AD178" i="7" l="1"/>
  <c r="AB179" i="7"/>
  <c r="AD179" i="7" l="1"/>
  <c r="AB180" i="7"/>
  <c r="AD180" i="7" l="1"/>
  <c r="AB181" i="7"/>
  <c r="AD181" i="7" l="1"/>
  <c r="AB182" i="7"/>
  <c r="AD182" i="7" l="1"/>
  <c r="AB183" i="7"/>
  <c r="AD183" i="7" l="1"/>
  <c r="AB184" i="7"/>
  <c r="AD184" i="7" l="1"/>
  <c r="AB185" i="7"/>
  <c r="AD185" i="7" l="1"/>
  <c r="AB186" i="7"/>
  <c r="AD186" i="7" l="1"/>
  <c r="AB187" i="7"/>
  <c r="AD187" i="7" l="1"/>
  <c r="AB188" i="7"/>
  <c r="AD188" i="7" l="1"/>
  <c r="AB189" i="7"/>
  <c r="AD189" i="7" l="1"/>
  <c r="AB190" i="7"/>
  <c r="AD190" i="7" l="1"/>
  <c r="AB191" i="7"/>
  <c r="AD191" i="7" l="1"/>
  <c r="AB192" i="7"/>
  <c r="AD192" i="7" l="1"/>
  <c r="AB193" i="7"/>
  <c r="AD193" i="7" l="1"/>
  <c r="AB194" i="7"/>
  <c r="AD194" i="7" l="1"/>
  <c r="AB195" i="7"/>
  <c r="AD195" i="7" l="1"/>
  <c r="AB196" i="7"/>
  <c r="AD196" i="7" l="1"/>
  <c r="AB197" i="7"/>
  <c r="AD197" i="7" l="1"/>
  <c r="AB198" i="7"/>
  <c r="AD198" i="7" l="1"/>
  <c r="AB199" i="7"/>
  <c r="AD199" i="7" l="1"/>
  <c r="AB200" i="7"/>
  <c r="AD200" i="7" l="1"/>
  <c r="AB201" i="7"/>
  <c r="AD201" i="7" l="1"/>
  <c r="AB202" i="7"/>
  <c r="AD202" i="7" l="1"/>
  <c r="AB203" i="7"/>
  <c r="AD203" i="7" l="1"/>
  <c r="AB204" i="7"/>
  <c r="AD204" i="7" l="1"/>
  <c r="AB205" i="7"/>
  <c r="AD205" i="7" l="1"/>
  <c r="AB206" i="7"/>
  <c r="AD206" i="7" l="1"/>
  <c r="AB207" i="7"/>
  <c r="AD207" i="7" l="1"/>
  <c r="AB208" i="7"/>
  <c r="AD208" i="7" l="1"/>
  <c r="AB209" i="7"/>
  <c r="AD209" i="7" l="1"/>
  <c r="AB210" i="7"/>
  <c r="AD210" i="7" l="1"/>
  <c r="AB211" i="7"/>
  <c r="AD211" i="7" l="1"/>
  <c r="AB212" i="7"/>
  <c r="AD212" i="7" l="1"/>
  <c r="AB213" i="7"/>
  <c r="AD213" i="7" l="1"/>
  <c r="AD10" i="7" l="1"/>
  <c r="AD12" i="7"/>
  <c r="AE10" i="7"/>
  <c r="BL107" i="7" s="1"/>
  <c r="AV2" i="7" l="1"/>
  <c r="BL85" i="7"/>
  <c r="BL74" i="7"/>
  <c r="BL84" i="7"/>
  <c r="BL70" i="7"/>
  <c r="BL58" i="7"/>
  <c r="BL83" i="7"/>
  <c r="BL64" i="7"/>
  <c r="BL91" i="7"/>
  <c r="BL54" i="7"/>
  <c r="BL78" i="7"/>
  <c r="BL69" i="7"/>
  <c r="BL76" i="7"/>
  <c r="BL62" i="7"/>
  <c r="BL89" i="7"/>
  <c r="BL81" i="7"/>
  <c r="BL87" i="7"/>
  <c r="BL75" i="7"/>
  <c r="BL60" i="7"/>
  <c r="BL63" i="7"/>
  <c r="BL71" i="7"/>
  <c r="BL61" i="7"/>
  <c r="BL93" i="7"/>
  <c r="BL72" i="7"/>
  <c r="BL65" i="7"/>
  <c r="BL56" i="7"/>
  <c r="BL67" i="7"/>
  <c r="BL59" i="7"/>
  <c r="BL55" i="7"/>
  <c r="BL82" i="7"/>
  <c r="BL57" i="7"/>
  <c r="BL68" i="7"/>
  <c r="BL77" i="7"/>
  <c r="BL80" i="7"/>
  <c r="BL88" i="7"/>
  <c r="BL86" i="7"/>
  <c r="BL79" i="7"/>
  <c r="BL92" i="7"/>
  <c r="BL90" i="7"/>
  <c r="BL73" i="7"/>
  <c r="BL66" i="7"/>
  <c r="AE213" i="7"/>
  <c r="AE212" i="7" s="1"/>
  <c r="AE211" i="7" s="1"/>
  <c r="AE210" i="7" l="1"/>
  <c r="AE209" i="7" l="1"/>
  <c r="AE208" i="7" l="1"/>
  <c r="AE207" i="7" l="1"/>
  <c r="AE206" i="7" l="1"/>
  <c r="AE205" i="7" l="1"/>
  <c r="AE204" i="7" l="1"/>
  <c r="AE203" i="7" l="1"/>
  <c r="AE202" i="7" l="1"/>
  <c r="AE201" i="7" l="1"/>
  <c r="AE200" i="7" l="1"/>
  <c r="AE199" i="7" l="1"/>
  <c r="AE198" i="7" l="1"/>
  <c r="AE197" i="7" l="1"/>
  <c r="AE196" i="7" l="1"/>
  <c r="AE195" i="7" l="1"/>
  <c r="AE194" i="7" l="1"/>
  <c r="AE193" i="7" l="1"/>
  <c r="AE192" i="7" l="1"/>
  <c r="AE191" i="7" l="1"/>
  <c r="AE190" i="7" l="1"/>
  <c r="AE189" i="7" l="1"/>
  <c r="AE188" i="7" l="1"/>
  <c r="AE187" i="7" l="1"/>
  <c r="AE186" i="7" l="1"/>
  <c r="AE185" i="7" l="1"/>
  <c r="AE184" i="7" l="1"/>
  <c r="AE183" i="7" l="1"/>
  <c r="AE182" i="7" l="1"/>
  <c r="AE181" i="7" l="1"/>
  <c r="AE180" i="7" l="1"/>
  <c r="AE179" i="7" l="1"/>
  <c r="AE178" i="7" l="1"/>
  <c r="AE177" i="7" l="1"/>
  <c r="AE176" i="7" l="1"/>
  <c r="AE175" i="7" l="1"/>
  <c r="AE174" i="7" l="1"/>
  <c r="AE173" i="7" l="1"/>
  <c r="AE172" i="7" l="1"/>
  <c r="AE171" i="7" l="1"/>
  <c r="AE170" i="7" l="1"/>
  <c r="AE169" i="7" l="1"/>
  <c r="AE168" i="7" l="1"/>
  <c r="AE167" i="7" l="1"/>
  <c r="AE166" i="7" l="1"/>
  <c r="AE165" i="7" l="1"/>
  <c r="AE164" i="7" l="1"/>
  <c r="AE163" i="7" l="1"/>
  <c r="AE162" i="7" l="1"/>
  <c r="AE161" i="7" l="1"/>
  <c r="AE160" i="7" l="1"/>
  <c r="AE159" i="7" l="1"/>
  <c r="AE158" i="7" l="1"/>
  <c r="AE157" i="7" l="1"/>
  <c r="AE156" i="7" l="1"/>
  <c r="AE155" i="7" l="1"/>
  <c r="AE154" i="7" l="1"/>
  <c r="AE153" i="7" l="1"/>
  <c r="AE152" i="7" l="1"/>
  <c r="AE151" i="7" l="1"/>
  <c r="AE150" i="7" l="1"/>
  <c r="AE149" i="7" l="1"/>
  <c r="AE148" i="7" l="1"/>
  <c r="AE147" i="7" l="1"/>
  <c r="AE146" i="7" l="1"/>
  <c r="AE145" i="7" l="1"/>
  <c r="AE144" i="7" l="1"/>
  <c r="AE143" i="7" l="1"/>
  <c r="AE142" i="7" l="1"/>
  <c r="AE141" i="7" l="1"/>
  <c r="AE140" i="7" l="1"/>
  <c r="AE139" i="7" l="1"/>
  <c r="AE138" i="7" l="1"/>
  <c r="AE137" i="7" l="1"/>
  <c r="AE136" i="7" l="1"/>
  <c r="AE135" i="7" l="1"/>
  <c r="AE134" i="7" l="1"/>
  <c r="AE133" i="7" l="1"/>
  <c r="AE132" i="7" l="1"/>
  <c r="AE131" i="7" l="1"/>
  <c r="AE130" i="7" l="1"/>
  <c r="AE129" i="7" l="1"/>
  <c r="AE128" i="7" l="1"/>
  <c r="AE127" i="7" l="1"/>
  <c r="AE126" i="7" l="1"/>
  <c r="AE125" i="7" l="1"/>
  <c r="AE124" i="7" l="1"/>
  <c r="AE123" i="7" l="1"/>
  <c r="AE122" i="7" l="1"/>
  <c r="AE121" i="7" l="1"/>
  <c r="AE120" i="7" l="1"/>
  <c r="AE119" i="7" l="1"/>
  <c r="AE118" i="7" l="1"/>
  <c r="AE117" i="7" l="1"/>
  <c r="AE116" i="7" l="1"/>
  <c r="AE115" i="7" l="1"/>
  <c r="AE114" i="7" l="1"/>
  <c r="AE113" i="7" l="1"/>
  <c r="AE112" i="7" l="1"/>
  <c r="AE111" i="7" l="1"/>
  <c r="AE110" i="7" l="1"/>
  <c r="AE109" i="7" l="1"/>
  <c r="AE108" i="7" l="1"/>
  <c r="AE107" i="7" l="1"/>
  <c r="AE106" i="7" l="1"/>
  <c r="AE105" i="7" l="1"/>
  <c r="AE104" i="7" l="1"/>
  <c r="AE103" i="7" l="1"/>
  <c r="AE102" i="7" l="1"/>
  <c r="AE101" i="7" l="1"/>
  <c r="AE100" i="7" l="1"/>
  <c r="AE99" i="7" l="1"/>
  <c r="AE98" i="7" l="1"/>
  <c r="AE97" i="7" l="1"/>
  <c r="AE96" i="7" l="1"/>
  <c r="AE95" i="7" l="1"/>
  <c r="AE94" i="7" l="1"/>
  <c r="AE93" i="7" l="1"/>
  <c r="AE92" i="7" l="1"/>
  <c r="AE91" i="7" l="1"/>
  <c r="AE90" i="7" l="1"/>
  <c r="AE89" i="7" l="1"/>
  <c r="AE88" i="7" l="1"/>
  <c r="AE87" i="7" l="1"/>
  <c r="AE86" i="7" l="1"/>
  <c r="AE85" i="7" l="1"/>
  <c r="AE84" i="7" l="1"/>
  <c r="AE83" i="7" l="1"/>
  <c r="AE82" i="7" l="1"/>
  <c r="AE81" i="7" l="1"/>
  <c r="AE80" i="7" l="1"/>
  <c r="AE79" i="7" l="1"/>
  <c r="AE78" i="7" l="1"/>
  <c r="AE77" i="7" l="1"/>
  <c r="AE76" i="7" l="1"/>
  <c r="AE75" i="7" l="1"/>
  <c r="AE74" i="7" l="1"/>
  <c r="AE73" i="7" l="1"/>
  <c r="AE72" i="7" l="1"/>
  <c r="AE71" i="7" l="1"/>
  <c r="AE70" i="7" l="1"/>
  <c r="AE69" i="7" l="1"/>
  <c r="AE68" i="7" l="1"/>
  <c r="AE67" i="7" l="1"/>
  <c r="AE66" i="7" l="1"/>
  <c r="AE65" i="7" l="1"/>
  <c r="AE64" i="7" l="1"/>
  <c r="AE63" i="7" l="1"/>
  <c r="AE62" i="7" l="1"/>
  <c r="AE61" i="7" l="1"/>
  <c r="AE60" i="7" l="1"/>
  <c r="AE59" i="7" l="1"/>
  <c r="AE58" i="7" l="1"/>
  <c r="AE57" i="7" l="1"/>
  <c r="AE56" i="7" l="1"/>
  <c r="AE55" i="7" l="1"/>
  <c r="AE54" i="7" l="1"/>
  <c r="AE53" i="7" l="1"/>
  <c r="AE52" i="7" l="1"/>
  <c r="AE51" i="7" l="1"/>
  <c r="AE50" i="7" l="1"/>
  <c r="AE49" i="7" l="1"/>
  <c r="AE48" i="7" l="1"/>
  <c r="AE47" i="7" l="1"/>
  <c r="AE46" i="7" l="1"/>
  <c r="AE45" i="7" l="1"/>
  <c r="AE44" i="7" l="1"/>
  <c r="AE43" i="7" l="1"/>
  <c r="AE42" i="7" l="1"/>
  <c r="AE41" i="7" l="1"/>
  <c r="AE40" i="7" l="1"/>
  <c r="AE39" i="7" l="1"/>
  <c r="AE38" i="7" l="1"/>
  <c r="AE37" i="7" l="1"/>
  <c r="AE36" i="7" l="1"/>
  <c r="AE35" i="7" l="1"/>
  <c r="AE34" i="7" l="1"/>
  <c r="AE33" i="7" l="1"/>
  <c r="AE32" i="7" l="1"/>
  <c r="AE31" i="7" l="1"/>
  <c r="AE30" i="7" l="1"/>
  <c r="AE29" i="7" l="1"/>
  <c r="AE28" i="7" l="1"/>
  <c r="AE27" i="7" l="1"/>
  <c r="AE26" i="7" l="1"/>
  <c r="AE25" i="7" l="1"/>
  <c r="AE24" i="7" l="1"/>
  <c r="AE23" i="7" l="1"/>
  <c r="AE22" i="7" l="1"/>
  <c r="AE21" i="7" l="1"/>
  <c r="AE20" i="7" l="1"/>
  <c r="AE19" i="7" l="1"/>
  <c r="AE18" i="7" l="1"/>
  <c r="AE17" i="7" l="1"/>
  <c r="AE16" i="7" l="1"/>
  <c r="AE15" i="7" l="1"/>
  <c r="AE14" i="7" l="1"/>
  <c r="AE12" i="7" l="1"/>
  <c r="AF12" i="7" s="1"/>
  <c r="AF14" i="7" l="1"/>
  <c r="AF15" i="7" l="1"/>
  <c r="AG14" i="7"/>
  <c r="AJ14" i="7" s="1"/>
  <c r="AK14" i="7" s="1"/>
  <c r="AI14" i="7"/>
  <c r="AG15" i="7" l="1"/>
  <c r="AJ15" i="7" s="1"/>
  <c r="AK15" i="7" s="1"/>
  <c r="AI15" i="7"/>
  <c r="AF16" i="7"/>
  <c r="AG16" i="7" l="1"/>
  <c r="AJ16" i="7" s="1"/>
  <c r="AK16" i="7" s="1"/>
  <c r="AI16" i="7"/>
  <c r="AF17" i="7"/>
  <c r="AG17" i="7" l="1"/>
  <c r="AJ17" i="7" s="1"/>
  <c r="AK17" i="7" s="1"/>
  <c r="AI17" i="7"/>
  <c r="AF18" i="7"/>
  <c r="AG18" i="7" l="1"/>
  <c r="AJ18" i="7" s="1"/>
  <c r="AK18" i="7" s="1"/>
  <c r="AI18" i="7"/>
  <c r="AF19" i="7"/>
  <c r="AI19" i="7" l="1"/>
  <c r="AG19" i="7"/>
  <c r="AJ19" i="7" s="1"/>
  <c r="AK19" i="7" s="1"/>
  <c r="AF20" i="7"/>
  <c r="AG20" i="7" l="1"/>
  <c r="AJ20" i="7" s="1"/>
  <c r="AK20" i="7" s="1"/>
  <c r="AI20" i="7"/>
  <c r="AF21" i="7"/>
  <c r="AG21" i="7" l="1"/>
  <c r="AJ21" i="7" s="1"/>
  <c r="AK21" i="7" s="1"/>
  <c r="AI21" i="7"/>
  <c r="AF22" i="7"/>
  <c r="AI22" i="7" l="1"/>
  <c r="AG22" i="7"/>
  <c r="AJ22" i="7" s="1"/>
  <c r="AK22" i="7" s="1"/>
  <c r="AF23" i="7"/>
  <c r="AI23" i="7" l="1"/>
  <c r="AG23" i="7"/>
  <c r="AJ23" i="7" s="1"/>
  <c r="AK23" i="7" s="1"/>
  <c r="AF24" i="7"/>
  <c r="AG24" i="7" l="1"/>
  <c r="AJ24" i="7" s="1"/>
  <c r="AK24" i="7" s="1"/>
  <c r="AI24" i="7"/>
  <c r="AF25" i="7"/>
  <c r="AG25" i="7" l="1"/>
  <c r="AJ25" i="7" s="1"/>
  <c r="AK25" i="7" s="1"/>
  <c r="AI25" i="7"/>
  <c r="AF26" i="7"/>
  <c r="AI26" i="7" l="1"/>
  <c r="AG26" i="7"/>
  <c r="AJ26" i="7" s="1"/>
  <c r="AK26" i="7" s="1"/>
  <c r="AF27" i="7"/>
  <c r="AG27" i="7" l="1"/>
  <c r="AJ27" i="7" s="1"/>
  <c r="AK27" i="7" s="1"/>
  <c r="AI27" i="7"/>
  <c r="AF28" i="7"/>
  <c r="AG28" i="7" l="1"/>
  <c r="AJ28" i="7" s="1"/>
  <c r="AK28" i="7" s="1"/>
  <c r="AI28" i="7"/>
  <c r="AF29" i="7"/>
  <c r="AG29" i="7" l="1"/>
  <c r="AJ29" i="7" s="1"/>
  <c r="AK29" i="7" s="1"/>
  <c r="AI29" i="7"/>
  <c r="AF30" i="7"/>
  <c r="AG30" i="7" l="1"/>
  <c r="AJ30" i="7" s="1"/>
  <c r="AK30" i="7" s="1"/>
  <c r="AI30" i="7"/>
  <c r="AF31" i="7"/>
  <c r="AG31" i="7" l="1"/>
  <c r="AJ31" i="7" s="1"/>
  <c r="AK31" i="7" s="1"/>
  <c r="AI31" i="7"/>
  <c r="AF32" i="7"/>
  <c r="AG32" i="7" l="1"/>
  <c r="AJ32" i="7" s="1"/>
  <c r="AK32" i="7" s="1"/>
  <c r="AI32" i="7"/>
  <c r="AF33" i="7"/>
  <c r="AG33" i="7" l="1"/>
  <c r="AJ33" i="7" s="1"/>
  <c r="AK33" i="7" s="1"/>
  <c r="AI33" i="7"/>
  <c r="AF34" i="7"/>
  <c r="AG34" i="7" l="1"/>
  <c r="AJ34" i="7" s="1"/>
  <c r="AK34" i="7" s="1"/>
  <c r="AI34" i="7"/>
  <c r="AF35" i="7"/>
  <c r="AG35" i="7" l="1"/>
  <c r="AJ35" i="7" s="1"/>
  <c r="AK35" i="7" s="1"/>
  <c r="AI35" i="7"/>
  <c r="AF36" i="7"/>
  <c r="AG36" i="7" l="1"/>
  <c r="AJ36" i="7" s="1"/>
  <c r="AK36" i="7" s="1"/>
  <c r="AI36" i="7"/>
  <c r="AF37" i="7"/>
  <c r="AG37" i="7" l="1"/>
  <c r="AJ37" i="7" s="1"/>
  <c r="AK37" i="7" s="1"/>
  <c r="AI37" i="7"/>
  <c r="AF38" i="7"/>
  <c r="AG38" i="7" l="1"/>
  <c r="AJ38" i="7" s="1"/>
  <c r="AK38" i="7" s="1"/>
  <c r="AI38" i="7"/>
  <c r="AF39" i="7"/>
  <c r="AI39" i="7" l="1"/>
  <c r="AG39" i="7"/>
  <c r="AJ39" i="7" s="1"/>
  <c r="AK39" i="7" s="1"/>
  <c r="AF40" i="7"/>
  <c r="AI40" i="7" l="1"/>
  <c r="AG40" i="7"/>
  <c r="AJ40" i="7" s="1"/>
  <c r="AK40" i="7" s="1"/>
  <c r="AF41" i="7"/>
  <c r="AG41" i="7" l="1"/>
  <c r="AJ41" i="7" s="1"/>
  <c r="AK41" i="7" s="1"/>
  <c r="AI41" i="7"/>
  <c r="AF42" i="7"/>
  <c r="AI42" i="7" l="1"/>
  <c r="AG42" i="7"/>
  <c r="AJ42" i="7" s="1"/>
  <c r="AK42" i="7" s="1"/>
  <c r="AF43" i="7"/>
  <c r="AI43" i="7" l="1"/>
  <c r="AG43" i="7"/>
  <c r="AJ43" i="7" s="1"/>
  <c r="AK43" i="7" s="1"/>
  <c r="AF44" i="7"/>
  <c r="AI44" i="7" l="1"/>
  <c r="AG44" i="7"/>
  <c r="AJ44" i="7" s="1"/>
  <c r="AK44" i="7" s="1"/>
  <c r="AF45" i="7"/>
  <c r="AI45" i="7" l="1"/>
  <c r="AG45" i="7"/>
  <c r="AJ45" i="7" s="1"/>
  <c r="AK45" i="7" s="1"/>
  <c r="AF46" i="7"/>
  <c r="AI46" i="7" l="1"/>
  <c r="AG46" i="7"/>
  <c r="AJ46" i="7" s="1"/>
  <c r="AK46" i="7" s="1"/>
  <c r="AF47" i="7"/>
  <c r="AG47" i="7" l="1"/>
  <c r="AJ47" i="7" s="1"/>
  <c r="AK47" i="7" s="1"/>
  <c r="AI47" i="7"/>
  <c r="AF48" i="7"/>
  <c r="AI48" i="7" l="1"/>
  <c r="AG48" i="7"/>
  <c r="AJ48" i="7" s="1"/>
  <c r="AK48" i="7" s="1"/>
  <c r="AF49" i="7"/>
  <c r="AI49" i="7" l="1"/>
  <c r="AG49" i="7"/>
  <c r="AJ49" i="7" s="1"/>
  <c r="AK49" i="7" s="1"/>
  <c r="AF50" i="7"/>
  <c r="AI50" i="7" l="1"/>
  <c r="AG50" i="7"/>
  <c r="AJ50" i="7" s="1"/>
  <c r="AK50" i="7" s="1"/>
  <c r="AF51" i="7"/>
  <c r="AG51" i="7" l="1"/>
  <c r="AJ51" i="7" s="1"/>
  <c r="AK51" i="7" s="1"/>
  <c r="AI51" i="7"/>
  <c r="AF52" i="7"/>
  <c r="AG52" i="7" l="1"/>
  <c r="AJ52" i="7" s="1"/>
  <c r="AK52" i="7" s="1"/>
  <c r="AI52" i="7"/>
  <c r="AF53" i="7"/>
  <c r="AI53" i="7" l="1"/>
  <c r="AG53" i="7"/>
  <c r="AJ53" i="7" s="1"/>
  <c r="AK53" i="7" s="1"/>
  <c r="AF54" i="7"/>
  <c r="AG54" i="7" l="1"/>
  <c r="AJ54" i="7" s="1"/>
  <c r="AK54" i="7" s="1"/>
  <c r="AI54" i="7"/>
  <c r="AF55" i="7"/>
  <c r="AG55" i="7" l="1"/>
  <c r="AJ55" i="7" s="1"/>
  <c r="AK55" i="7" s="1"/>
  <c r="AI55" i="7"/>
  <c r="AF56" i="7"/>
  <c r="AI56" i="7" l="1"/>
  <c r="AG56" i="7"/>
  <c r="AJ56" i="7" s="1"/>
  <c r="AK56" i="7" s="1"/>
  <c r="AF57" i="7"/>
  <c r="AI57" i="7" l="1"/>
  <c r="AG57" i="7"/>
  <c r="AJ57" i="7" s="1"/>
  <c r="AK57" i="7" s="1"/>
  <c r="AF58" i="7"/>
  <c r="AG58" i="7" l="1"/>
  <c r="AJ58" i="7" s="1"/>
  <c r="AK58" i="7" s="1"/>
  <c r="AI58" i="7"/>
  <c r="AF59" i="7"/>
  <c r="AG59" i="7" l="1"/>
  <c r="AJ59" i="7" s="1"/>
  <c r="AK59" i="7" s="1"/>
  <c r="AI59" i="7"/>
  <c r="AF60" i="7"/>
  <c r="AG60" i="7" l="1"/>
  <c r="AJ60" i="7" s="1"/>
  <c r="AK60" i="7" s="1"/>
  <c r="AI60" i="7"/>
  <c r="AF61" i="7"/>
  <c r="AI61" i="7" l="1"/>
  <c r="AG61" i="7"/>
  <c r="AJ61" i="7" s="1"/>
  <c r="AK61" i="7" s="1"/>
  <c r="AF62" i="7"/>
  <c r="AG62" i="7" l="1"/>
  <c r="AJ62" i="7" s="1"/>
  <c r="AK62" i="7" s="1"/>
  <c r="AI62" i="7"/>
  <c r="AF63" i="7"/>
  <c r="AI63" i="7" l="1"/>
  <c r="AG63" i="7"/>
  <c r="AJ63" i="7" s="1"/>
  <c r="AK63" i="7" s="1"/>
  <c r="AF64" i="7"/>
  <c r="AG64" i="7" l="1"/>
  <c r="AJ64" i="7" s="1"/>
  <c r="AK64" i="7" s="1"/>
  <c r="AI64" i="7"/>
  <c r="AF65" i="7"/>
  <c r="AG65" i="7" l="1"/>
  <c r="AJ65" i="7" s="1"/>
  <c r="AK65" i="7" s="1"/>
  <c r="AI65" i="7"/>
  <c r="AF66" i="7"/>
  <c r="AG66" i="7" l="1"/>
  <c r="AJ66" i="7" s="1"/>
  <c r="AK66" i="7" s="1"/>
  <c r="AI66" i="7"/>
  <c r="AF67" i="7"/>
  <c r="AG67" i="7" l="1"/>
  <c r="AJ67" i="7" s="1"/>
  <c r="AK67" i="7" s="1"/>
  <c r="AI67" i="7"/>
  <c r="AF68" i="7"/>
  <c r="AI68" i="7" l="1"/>
  <c r="AG68" i="7"/>
  <c r="AJ68" i="7" s="1"/>
  <c r="AK68" i="7" s="1"/>
  <c r="AF69" i="7"/>
  <c r="AG69" i="7" l="1"/>
  <c r="AJ69" i="7" s="1"/>
  <c r="AK69" i="7" s="1"/>
  <c r="AI69" i="7"/>
  <c r="AF70" i="7"/>
  <c r="AG70" i="7" l="1"/>
  <c r="AJ70" i="7" s="1"/>
  <c r="AK70" i="7" s="1"/>
  <c r="AI70" i="7"/>
  <c r="AF71" i="7"/>
  <c r="AG71" i="7" l="1"/>
  <c r="AJ71" i="7" s="1"/>
  <c r="AK71" i="7" s="1"/>
  <c r="AI71" i="7"/>
  <c r="AF72" i="7"/>
  <c r="AG72" i="7" l="1"/>
  <c r="AJ72" i="7" s="1"/>
  <c r="AK72" i="7" s="1"/>
  <c r="AI72" i="7"/>
  <c r="AF73" i="7"/>
  <c r="AG73" i="7" l="1"/>
  <c r="AJ73" i="7" s="1"/>
  <c r="AK73" i="7" s="1"/>
  <c r="AI73" i="7"/>
  <c r="AF74" i="7"/>
  <c r="AG74" i="7" l="1"/>
  <c r="AJ74" i="7" s="1"/>
  <c r="AK74" i="7" s="1"/>
  <c r="AI74" i="7"/>
  <c r="AF75" i="7"/>
  <c r="AI75" i="7" l="1"/>
  <c r="AG75" i="7"/>
  <c r="AJ75" i="7" s="1"/>
  <c r="AK75" i="7" s="1"/>
  <c r="AF76" i="7"/>
  <c r="AG76" i="7" l="1"/>
  <c r="AJ76" i="7" s="1"/>
  <c r="AK76" i="7" s="1"/>
  <c r="AI76" i="7"/>
  <c r="AF77" i="7"/>
  <c r="AI77" i="7" l="1"/>
  <c r="AG77" i="7"/>
  <c r="AJ77" i="7" s="1"/>
  <c r="AK77" i="7" s="1"/>
  <c r="AF78" i="7"/>
  <c r="AG78" i="7" l="1"/>
  <c r="AJ78" i="7" s="1"/>
  <c r="AK78" i="7" s="1"/>
  <c r="AI78" i="7"/>
  <c r="AF79" i="7"/>
  <c r="AG79" i="7" l="1"/>
  <c r="AJ79" i="7" s="1"/>
  <c r="AK79" i="7" s="1"/>
  <c r="AI79" i="7"/>
  <c r="AF80" i="7"/>
  <c r="AG80" i="7" l="1"/>
  <c r="AJ80" i="7" s="1"/>
  <c r="AK80" i="7" s="1"/>
  <c r="AI80" i="7"/>
  <c r="AF81" i="7"/>
  <c r="AG81" i="7" l="1"/>
  <c r="AJ81" i="7" s="1"/>
  <c r="AK81" i="7" s="1"/>
  <c r="AI81" i="7"/>
  <c r="AF82" i="7"/>
  <c r="AG82" i="7" l="1"/>
  <c r="AJ82" i="7" s="1"/>
  <c r="AK82" i="7" s="1"/>
  <c r="AI82" i="7"/>
  <c r="AF83" i="7"/>
  <c r="AG83" i="7" l="1"/>
  <c r="AJ83" i="7" s="1"/>
  <c r="AK83" i="7" s="1"/>
  <c r="AI83" i="7"/>
  <c r="AF84" i="7"/>
  <c r="AG84" i="7" l="1"/>
  <c r="AJ84" i="7" s="1"/>
  <c r="AK84" i="7" s="1"/>
  <c r="AI84" i="7"/>
  <c r="AF85" i="7"/>
  <c r="AG85" i="7" l="1"/>
  <c r="AJ85" i="7" s="1"/>
  <c r="AK85" i="7" s="1"/>
  <c r="AI85" i="7"/>
  <c r="AF86" i="7"/>
  <c r="AG86" i="7" l="1"/>
  <c r="AJ86" i="7" s="1"/>
  <c r="AK86" i="7" s="1"/>
  <c r="AI86" i="7"/>
  <c r="AF87" i="7"/>
  <c r="AG87" i="7" l="1"/>
  <c r="AJ87" i="7" s="1"/>
  <c r="AK87" i="7" s="1"/>
  <c r="AI87" i="7"/>
  <c r="AF88" i="7"/>
  <c r="AI88" i="7" l="1"/>
  <c r="AG88" i="7"/>
  <c r="AJ88" i="7" s="1"/>
  <c r="AK88" i="7" s="1"/>
  <c r="AF89" i="7"/>
  <c r="AG89" i="7" l="1"/>
  <c r="AJ89" i="7" s="1"/>
  <c r="AK89" i="7" s="1"/>
  <c r="AI89" i="7"/>
  <c r="AF90" i="7"/>
  <c r="AG90" i="7" l="1"/>
  <c r="AJ90" i="7" s="1"/>
  <c r="AK90" i="7" s="1"/>
  <c r="AI90" i="7"/>
  <c r="AF91" i="7"/>
  <c r="AG91" i="7" l="1"/>
  <c r="AJ91" i="7" s="1"/>
  <c r="AK91" i="7" s="1"/>
  <c r="AI91" i="7"/>
  <c r="AF92" i="7"/>
  <c r="AG92" i="7" l="1"/>
  <c r="AJ92" i="7" s="1"/>
  <c r="AK92" i="7" s="1"/>
  <c r="AI92" i="7"/>
  <c r="AF93" i="7"/>
  <c r="AG93" i="7" l="1"/>
  <c r="AJ93" i="7" s="1"/>
  <c r="AK93" i="7" s="1"/>
  <c r="AI93" i="7"/>
  <c r="AF94" i="7"/>
  <c r="AI94" i="7" l="1"/>
  <c r="AG94" i="7"/>
  <c r="AJ94" i="7" s="1"/>
  <c r="AK94" i="7" s="1"/>
  <c r="AF95" i="7"/>
  <c r="AG95" i="7" l="1"/>
  <c r="AJ95" i="7" s="1"/>
  <c r="AK95" i="7" s="1"/>
  <c r="AI95" i="7"/>
  <c r="AF96" i="7"/>
  <c r="AG96" i="7" l="1"/>
  <c r="AJ96" i="7" s="1"/>
  <c r="AK96" i="7" s="1"/>
  <c r="AI96" i="7"/>
  <c r="AF97" i="7"/>
  <c r="AI97" i="7" l="1"/>
  <c r="AG97" i="7"/>
  <c r="AJ97" i="7" s="1"/>
  <c r="AK97" i="7" s="1"/>
  <c r="AF98" i="7"/>
  <c r="AI98" i="7" l="1"/>
  <c r="AG98" i="7"/>
  <c r="AJ98" i="7" s="1"/>
  <c r="AK98" i="7" s="1"/>
  <c r="AF99" i="7"/>
  <c r="AG99" i="7" l="1"/>
  <c r="AJ99" i="7" s="1"/>
  <c r="AK99" i="7" s="1"/>
  <c r="AI99" i="7"/>
  <c r="AF100" i="7"/>
  <c r="AG100" i="7" l="1"/>
  <c r="AJ100" i="7" s="1"/>
  <c r="AK100" i="7" s="1"/>
  <c r="AI100" i="7"/>
  <c r="AF101" i="7"/>
  <c r="AG101" i="7" l="1"/>
  <c r="AJ101" i="7" s="1"/>
  <c r="AK101" i="7" s="1"/>
  <c r="AI101" i="7"/>
  <c r="AF102" i="7"/>
  <c r="AG102" i="7" l="1"/>
  <c r="AJ102" i="7" s="1"/>
  <c r="AK102" i="7" s="1"/>
  <c r="AI102" i="7"/>
  <c r="AF103" i="7"/>
  <c r="AI103" i="7" l="1"/>
  <c r="AG103" i="7"/>
  <c r="AJ103" i="7" s="1"/>
  <c r="AK103" i="7" s="1"/>
  <c r="AF104" i="7"/>
  <c r="AI104" i="7" l="1"/>
  <c r="AG104" i="7"/>
  <c r="AJ104" i="7" s="1"/>
  <c r="AK104" i="7" s="1"/>
  <c r="AF105" i="7"/>
  <c r="AG105" i="7" l="1"/>
  <c r="AJ105" i="7" s="1"/>
  <c r="AK105" i="7" s="1"/>
  <c r="AI105" i="7"/>
  <c r="AF106" i="7"/>
  <c r="AI106" i="7" l="1"/>
  <c r="AG106" i="7"/>
  <c r="AJ106" i="7" s="1"/>
  <c r="AK106" i="7" s="1"/>
  <c r="AF107" i="7"/>
  <c r="AG107" i="7" l="1"/>
  <c r="AJ107" i="7" s="1"/>
  <c r="AK107" i="7" s="1"/>
  <c r="AI107" i="7"/>
  <c r="AF108" i="7"/>
  <c r="AI108" i="7" l="1"/>
  <c r="AG108" i="7"/>
  <c r="AJ108" i="7" s="1"/>
  <c r="AK108" i="7" s="1"/>
  <c r="AF109" i="7"/>
  <c r="AI109" i="7" l="1"/>
  <c r="AG109" i="7"/>
  <c r="AJ109" i="7" s="1"/>
  <c r="AK109" i="7" s="1"/>
  <c r="AF110" i="7"/>
  <c r="AI110" i="7" l="1"/>
  <c r="AG110" i="7"/>
  <c r="AJ110" i="7" s="1"/>
  <c r="AK110" i="7" s="1"/>
  <c r="AF111" i="7"/>
  <c r="AI111" i="7" l="1"/>
  <c r="AG111" i="7"/>
  <c r="AJ111" i="7" s="1"/>
  <c r="AK111" i="7" s="1"/>
  <c r="AF112" i="7"/>
  <c r="AG112" i="7" l="1"/>
  <c r="AJ112" i="7" s="1"/>
  <c r="AK112" i="7" s="1"/>
  <c r="AI112" i="7"/>
  <c r="AF113" i="7"/>
  <c r="AI113" i="7" l="1"/>
  <c r="AG113" i="7"/>
  <c r="AJ113" i="7" s="1"/>
  <c r="AK113" i="7" s="1"/>
  <c r="AF114" i="7"/>
  <c r="AG114" i="7" l="1"/>
  <c r="AJ114" i="7" s="1"/>
  <c r="AK114" i="7" s="1"/>
  <c r="AI114" i="7"/>
  <c r="AF115" i="7"/>
  <c r="AG115" i="7" l="1"/>
  <c r="AJ115" i="7" s="1"/>
  <c r="AK115" i="7" s="1"/>
  <c r="AI115" i="7"/>
  <c r="AF116" i="7"/>
  <c r="AI116" i="7" l="1"/>
  <c r="AG116" i="7"/>
  <c r="AJ116" i="7" s="1"/>
  <c r="AK116" i="7" s="1"/>
  <c r="AF117" i="7"/>
  <c r="AI117" i="7" l="1"/>
  <c r="AG117" i="7"/>
  <c r="AJ117" i="7" s="1"/>
  <c r="AK117" i="7" s="1"/>
  <c r="AF118" i="7"/>
  <c r="AI118" i="7" l="1"/>
  <c r="AG118" i="7"/>
  <c r="AJ118" i="7" s="1"/>
  <c r="AK118" i="7" s="1"/>
  <c r="AF119" i="7"/>
  <c r="AG119" i="7" l="1"/>
  <c r="AJ119" i="7" s="1"/>
  <c r="AK119" i="7" s="1"/>
  <c r="AI119" i="7"/>
  <c r="AF120" i="7"/>
  <c r="AG120" i="7" l="1"/>
  <c r="AJ120" i="7" s="1"/>
  <c r="AK120" i="7" s="1"/>
  <c r="AI120" i="7"/>
  <c r="AF121" i="7"/>
  <c r="AI121" i="7" l="1"/>
  <c r="AG121" i="7"/>
  <c r="AJ121" i="7" s="1"/>
  <c r="AK121" i="7" s="1"/>
  <c r="AF122" i="7"/>
  <c r="AI122" i="7" l="1"/>
  <c r="AG122" i="7"/>
  <c r="AJ122" i="7" s="1"/>
  <c r="AK122" i="7" s="1"/>
  <c r="AF123" i="7"/>
  <c r="AG123" i="7" l="1"/>
  <c r="AJ123" i="7" s="1"/>
  <c r="AK123" i="7" s="1"/>
  <c r="AI123" i="7"/>
  <c r="AF124" i="7"/>
  <c r="AG124" i="7" l="1"/>
  <c r="AJ124" i="7" s="1"/>
  <c r="AK124" i="7" s="1"/>
  <c r="AI124" i="7"/>
  <c r="AF125" i="7"/>
  <c r="AI125" i="7" l="1"/>
  <c r="AG125" i="7"/>
  <c r="AJ125" i="7" s="1"/>
  <c r="AK125" i="7" s="1"/>
  <c r="AF126" i="7"/>
  <c r="AI126" i="7" l="1"/>
  <c r="AG126" i="7"/>
  <c r="AJ126" i="7" s="1"/>
  <c r="AK126" i="7" s="1"/>
  <c r="AF127" i="7"/>
  <c r="AI127" i="7" l="1"/>
  <c r="AG127" i="7"/>
  <c r="AJ127" i="7" s="1"/>
  <c r="AK127" i="7" s="1"/>
  <c r="AF128" i="7"/>
  <c r="AG128" i="7" l="1"/>
  <c r="AJ128" i="7" s="1"/>
  <c r="AK128" i="7" s="1"/>
  <c r="AI128" i="7"/>
  <c r="AF129" i="7"/>
  <c r="AG129" i="7" l="1"/>
  <c r="AJ129" i="7" s="1"/>
  <c r="AK129" i="7" s="1"/>
  <c r="AI129" i="7"/>
  <c r="AF130" i="7"/>
  <c r="AI130" i="7" l="1"/>
  <c r="AG130" i="7"/>
  <c r="AJ130" i="7" s="1"/>
  <c r="AK130" i="7" s="1"/>
  <c r="AF131" i="7"/>
  <c r="AI131" i="7" l="1"/>
  <c r="AG131" i="7"/>
  <c r="AJ131" i="7" s="1"/>
  <c r="AK131" i="7" s="1"/>
  <c r="AF132" i="7"/>
  <c r="AG132" i="7" l="1"/>
  <c r="AJ132" i="7" s="1"/>
  <c r="AK132" i="7" s="1"/>
  <c r="AI132" i="7"/>
  <c r="AF133" i="7"/>
  <c r="AG133" i="7" l="1"/>
  <c r="AJ133" i="7" s="1"/>
  <c r="AK133" i="7" s="1"/>
  <c r="AI133" i="7"/>
  <c r="AF134" i="7"/>
  <c r="AG134" i="7" l="1"/>
  <c r="AJ134" i="7" s="1"/>
  <c r="AK134" i="7" s="1"/>
  <c r="AI134" i="7"/>
  <c r="AF135" i="7"/>
  <c r="AG135" i="7" l="1"/>
  <c r="AJ135" i="7" s="1"/>
  <c r="AK135" i="7" s="1"/>
  <c r="AI135" i="7"/>
  <c r="AF136" i="7"/>
  <c r="AI136" i="7" l="1"/>
  <c r="AG136" i="7"/>
  <c r="AJ136" i="7" s="1"/>
  <c r="AK136" i="7" s="1"/>
  <c r="AF137" i="7"/>
  <c r="AI137" i="7" l="1"/>
  <c r="AG137" i="7"/>
  <c r="AJ137" i="7" s="1"/>
  <c r="AK137" i="7" s="1"/>
  <c r="AF138" i="7"/>
  <c r="AG138" i="7" l="1"/>
  <c r="AJ138" i="7" s="1"/>
  <c r="AK138" i="7" s="1"/>
  <c r="AI138" i="7"/>
  <c r="AF139" i="7"/>
  <c r="AI139" i="7" l="1"/>
  <c r="AG139" i="7"/>
  <c r="AJ139" i="7" s="1"/>
  <c r="AK139" i="7" s="1"/>
  <c r="AF140" i="7"/>
  <c r="AI140" i="7" l="1"/>
  <c r="AG140" i="7"/>
  <c r="AJ140" i="7" s="1"/>
  <c r="AK140" i="7" s="1"/>
  <c r="AF141" i="7"/>
  <c r="AG141" i="7" l="1"/>
  <c r="AJ141" i="7" s="1"/>
  <c r="AK141" i="7" s="1"/>
  <c r="AI141" i="7"/>
  <c r="AF142" i="7"/>
  <c r="AG142" i="7" l="1"/>
  <c r="AJ142" i="7" s="1"/>
  <c r="AK142" i="7" s="1"/>
  <c r="AI142" i="7"/>
  <c r="AF143" i="7"/>
  <c r="AI143" i="7" l="1"/>
  <c r="AG143" i="7"/>
  <c r="AJ143" i="7" s="1"/>
  <c r="AK143" i="7" s="1"/>
  <c r="AF144" i="7"/>
  <c r="AG144" i="7" l="1"/>
  <c r="AJ144" i="7" s="1"/>
  <c r="AK144" i="7" s="1"/>
  <c r="AI144" i="7"/>
  <c r="AF145" i="7"/>
  <c r="AI145" i="7" l="1"/>
  <c r="AG145" i="7"/>
  <c r="AJ145" i="7" s="1"/>
  <c r="AK145" i="7" s="1"/>
  <c r="AF146" i="7"/>
  <c r="AI146" i="7" l="1"/>
  <c r="AG146" i="7"/>
  <c r="AJ146" i="7" s="1"/>
  <c r="AK146" i="7" s="1"/>
  <c r="AF147" i="7"/>
  <c r="AG147" i="7" l="1"/>
  <c r="AJ147" i="7" s="1"/>
  <c r="AK147" i="7" s="1"/>
  <c r="AI147" i="7"/>
  <c r="AF148" i="7"/>
  <c r="AG148" i="7" l="1"/>
  <c r="AJ148" i="7" s="1"/>
  <c r="AK148" i="7" s="1"/>
  <c r="AI148" i="7"/>
  <c r="AF149" i="7"/>
  <c r="AG149" i="7" l="1"/>
  <c r="AJ149" i="7" s="1"/>
  <c r="AK149" i="7" s="1"/>
  <c r="AI149" i="7"/>
  <c r="AF150" i="7"/>
  <c r="AG150" i="7" l="1"/>
  <c r="AJ150" i="7" s="1"/>
  <c r="AK150" i="7" s="1"/>
  <c r="AI150" i="7"/>
  <c r="AF151" i="7"/>
  <c r="AG151" i="7" l="1"/>
  <c r="AJ151" i="7" s="1"/>
  <c r="AK151" i="7" s="1"/>
  <c r="AI151" i="7"/>
  <c r="AF152" i="7"/>
  <c r="AG152" i="7" l="1"/>
  <c r="AJ152" i="7" s="1"/>
  <c r="AK152" i="7" s="1"/>
  <c r="AI152" i="7"/>
  <c r="AF153" i="7"/>
  <c r="AG153" i="7" l="1"/>
  <c r="AJ153" i="7" s="1"/>
  <c r="AK153" i="7" s="1"/>
  <c r="AI153" i="7"/>
  <c r="AF154" i="7"/>
  <c r="AG154" i="7" l="1"/>
  <c r="AJ154" i="7" s="1"/>
  <c r="AK154" i="7" s="1"/>
  <c r="AI154" i="7"/>
  <c r="AF155" i="7"/>
  <c r="AG155" i="7" l="1"/>
  <c r="AJ155" i="7" s="1"/>
  <c r="AK155" i="7" s="1"/>
  <c r="AI155" i="7"/>
  <c r="AF156" i="7"/>
  <c r="AG156" i="7" l="1"/>
  <c r="AJ156" i="7" s="1"/>
  <c r="AK156" i="7" s="1"/>
  <c r="AI156" i="7"/>
  <c r="AF157" i="7"/>
  <c r="AG157" i="7" l="1"/>
  <c r="AJ157" i="7" s="1"/>
  <c r="AK157" i="7" s="1"/>
  <c r="AI157" i="7"/>
  <c r="AF158" i="7"/>
  <c r="AG158" i="7" l="1"/>
  <c r="AJ158" i="7" s="1"/>
  <c r="AK158" i="7" s="1"/>
  <c r="AI158" i="7"/>
  <c r="AF159" i="7"/>
  <c r="AI159" i="7" l="1"/>
  <c r="AG159" i="7"/>
  <c r="AJ159" i="7" s="1"/>
  <c r="AK159" i="7" s="1"/>
  <c r="AF160" i="7"/>
  <c r="AG160" i="7" l="1"/>
  <c r="AJ160" i="7" s="1"/>
  <c r="AK160" i="7" s="1"/>
  <c r="AI160" i="7"/>
  <c r="AF161" i="7"/>
  <c r="AG161" i="7" l="1"/>
  <c r="AJ161" i="7" s="1"/>
  <c r="AK161" i="7" s="1"/>
  <c r="AI161" i="7"/>
  <c r="AF162" i="7"/>
  <c r="AG162" i="7" l="1"/>
  <c r="AJ162" i="7" s="1"/>
  <c r="AK162" i="7" s="1"/>
  <c r="AI162" i="7"/>
  <c r="AF163" i="7"/>
  <c r="AG163" i="7" l="1"/>
  <c r="AJ163" i="7" s="1"/>
  <c r="AK163" i="7" s="1"/>
  <c r="AI163" i="7"/>
  <c r="AF164" i="7"/>
  <c r="AI164" i="7" l="1"/>
  <c r="AG164" i="7"/>
  <c r="AJ164" i="7" s="1"/>
  <c r="AK164" i="7" s="1"/>
  <c r="AF165" i="7"/>
  <c r="AI165" i="7" l="1"/>
  <c r="AG165" i="7"/>
  <c r="AJ165" i="7" s="1"/>
  <c r="AK165" i="7" s="1"/>
  <c r="AF166" i="7"/>
  <c r="AG166" i="7" l="1"/>
  <c r="AJ166" i="7" s="1"/>
  <c r="AK166" i="7" s="1"/>
  <c r="AI166" i="7"/>
  <c r="AF167" i="7"/>
  <c r="AG167" i="7" l="1"/>
  <c r="AJ167" i="7" s="1"/>
  <c r="AK167" i="7" s="1"/>
  <c r="AI167" i="7"/>
  <c r="AF168" i="7"/>
  <c r="AG168" i="7" l="1"/>
  <c r="AJ168" i="7" s="1"/>
  <c r="AK168" i="7" s="1"/>
  <c r="AI168" i="7"/>
  <c r="AF169" i="7"/>
  <c r="AG169" i="7" l="1"/>
  <c r="AJ169" i="7" s="1"/>
  <c r="AK169" i="7" s="1"/>
  <c r="AI169" i="7"/>
  <c r="AF170" i="7"/>
  <c r="AI170" i="7" l="1"/>
  <c r="AG170" i="7"/>
  <c r="AJ170" i="7" s="1"/>
  <c r="AK170" i="7" s="1"/>
  <c r="AF171" i="7"/>
  <c r="AI171" i="7" l="1"/>
  <c r="AG171" i="7"/>
  <c r="AJ171" i="7" s="1"/>
  <c r="AK171" i="7" s="1"/>
  <c r="AF172" i="7"/>
  <c r="AI172" i="7" l="1"/>
  <c r="AG172" i="7"/>
  <c r="AJ172" i="7" s="1"/>
  <c r="AK172" i="7" s="1"/>
  <c r="AF173" i="7"/>
  <c r="AG173" i="7" l="1"/>
  <c r="AJ173" i="7" s="1"/>
  <c r="AK173" i="7" s="1"/>
  <c r="AI173" i="7"/>
  <c r="AF174" i="7"/>
  <c r="AI174" i="7" l="1"/>
  <c r="AG174" i="7"/>
  <c r="AJ174" i="7" s="1"/>
  <c r="AK174" i="7" s="1"/>
  <c r="AF175" i="7"/>
  <c r="AG175" i="7" l="1"/>
  <c r="AJ175" i="7" s="1"/>
  <c r="AK175" i="7" s="1"/>
  <c r="AI175" i="7"/>
  <c r="AF176" i="7"/>
  <c r="AG176" i="7" l="1"/>
  <c r="AJ176" i="7" s="1"/>
  <c r="AK176" i="7" s="1"/>
  <c r="AI176" i="7"/>
  <c r="AF177" i="7"/>
  <c r="AI177" i="7" l="1"/>
  <c r="AG177" i="7"/>
  <c r="AJ177" i="7" s="1"/>
  <c r="AK177" i="7" s="1"/>
  <c r="AF178" i="7"/>
  <c r="AG178" i="7" l="1"/>
  <c r="AJ178" i="7" s="1"/>
  <c r="AK178" i="7" s="1"/>
  <c r="AI178" i="7"/>
  <c r="AF179" i="7"/>
  <c r="AI179" i="7" l="1"/>
  <c r="AG179" i="7"/>
  <c r="AJ179" i="7" s="1"/>
  <c r="AK179" i="7" s="1"/>
  <c r="AF180" i="7"/>
  <c r="AI180" i="7" l="1"/>
  <c r="AG180" i="7"/>
  <c r="AJ180" i="7" s="1"/>
  <c r="AK180" i="7" s="1"/>
  <c r="AF181" i="7"/>
  <c r="AI181" i="7" l="1"/>
  <c r="AG181" i="7"/>
  <c r="AJ181" i="7" s="1"/>
  <c r="AK181" i="7" s="1"/>
  <c r="AF182" i="7"/>
  <c r="AG182" i="7" l="1"/>
  <c r="AJ182" i="7" s="1"/>
  <c r="AK182" i="7" s="1"/>
  <c r="AI182" i="7"/>
  <c r="AF183" i="7"/>
  <c r="AG183" i="7" l="1"/>
  <c r="AJ183" i="7" s="1"/>
  <c r="AK183" i="7" s="1"/>
  <c r="AI183" i="7"/>
  <c r="AF184" i="7"/>
  <c r="AI184" i="7" l="1"/>
  <c r="AG184" i="7"/>
  <c r="AJ184" i="7" s="1"/>
  <c r="AK184" i="7" s="1"/>
  <c r="AF185" i="7"/>
  <c r="AG185" i="7" l="1"/>
  <c r="AJ185" i="7" s="1"/>
  <c r="AK185" i="7" s="1"/>
  <c r="AI185" i="7"/>
  <c r="AF186" i="7"/>
  <c r="AI186" i="7" l="1"/>
  <c r="AG186" i="7"/>
  <c r="AJ186" i="7" s="1"/>
  <c r="AK186" i="7" s="1"/>
  <c r="AF187" i="7"/>
  <c r="AI187" i="7" l="1"/>
  <c r="AG187" i="7"/>
  <c r="AJ187" i="7" s="1"/>
  <c r="AK187" i="7" s="1"/>
  <c r="AF188" i="7"/>
  <c r="AG188" i="7" l="1"/>
  <c r="AJ188" i="7" s="1"/>
  <c r="AK188" i="7" s="1"/>
  <c r="AI188" i="7"/>
  <c r="AF189" i="7"/>
  <c r="AI189" i="7" l="1"/>
  <c r="AG189" i="7"/>
  <c r="AJ189" i="7" s="1"/>
  <c r="AK189" i="7" s="1"/>
  <c r="AF190" i="7"/>
  <c r="AG190" i="7" l="1"/>
  <c r="AJ190" i="7" s="1"/>
  <c r="AK190" i="7" s="1"/>
  <c r="AI190" i="7"/>
  <c r="AF191" i="7"/>
  <c r="AG191" i="7" l="1"/>
  <c r="AJ191" i="7" s="1"/>
  <c r="AK191" i="7" s="1"/>
  <c r="AI191" i="7"/>
  <c r="AF192" i="7"/>
  <c r="AG192" i="7" l="1"/>
  <c r="AJ192" i="7" s="1"/>
  <c r="AK192" i="7" s="1"/>
  <c r="AI192" i="7"/>
  <c r="AF193" i="7"/>
  <c r="AI193" i="7" l="1"/>
  <c r="AG193" i="7"/>
  <c r="AJ193" i="7" s="1"/>
  <c r="AK193" i="7" s="1"/>
  <c r="AF194" i="7"/>
  <c r="AI194" i="7" l="1"/>
  <c r="AG194" i="7"/>
  <c r="AJ194" i="7" s="1"/>
  <c r="AK194" i="7" s="1"/>
  <c r="AF195" i="7"/>
  <c r="AG195" i="7" l="1"/>
  <c r="AJ195" i="7" s="1"/>
  <c r="AK195" i="7" s="1"/>
  <c r="AI195" i="7"/>
  <c r="AF196" i="7"/>
  <c r="AI196" i="7" l="1"/>
  <c r="AG196" i="7"/>
  <c r="AJ196" i="7" s="1"/>
  <c r="AK196" i="7" s="1"/>
  <c r="AF197" i="7"/>
  <c r="AG197" i="7" l="1"/>
  <c r="AJ197" i="7" s="1"/>
  <c r="AK197" i="7" s="1"/>
  <c r="AI197" i="7"/>
  <c r="AF198" i="7"/>
  <c r="AI198" i="7" l="1"/>
  <c r="AG198" i="7"/>
  <c r="AJ198" i="7" s="1"/>
  <c r="AK198" i="7" s="1"/>
  <c r="AF199" i="7"/>
  <c r="AI199" i="7" l="1"/>
  <c r="AG199" i="7"/>
  <c r="AJ199" i="7" s="1"/>
  <c r="AK199" i="7" s="1"/>
  <c r="AF200" i="7"/>
  <c r="AG200" i="7" l="1"/>
  <c r="AJ200" i="7" s="1"/>
  <c r="AK200" i="7" s="1"/>
  <c r="AI200" i="7"/>
  <c r="AF201" i="7"/>
  <c r="AI201" i="7" l="1"/>
  <c r="AG201" i="7"/>
  <c r="AJ201" i="7" s="1"/>
  <c r="AK201" i="7" s="1"/>
  <c r="AF202" i="7"/>
  <c r="AG202" i="7" l="1"/>
  <c r="AJ202" i="7" s="1"/>
  <c r="AK202" i="7" s="1"/>
  <c r="AI202" i="7"/>
  <c r="AF203" i="7"/>
  <c r="AG203" i="7" l="1"/>
  <c r="AJ203" i="7" s="1"/>
  <c r="AK203" i="7" s="1"/>
  <c r="AI203" i="7"/>
  <c r="AF204" i="7"/>
  <c r="AI204" i="7" l="1"/>
  <c r="AG204" i="7"/>
  <c r="AJ204" i="7" s="1"/>
  <c r="AK204" i="7" s="1"/>
  <c r="AF205" i="7"/>
  <c r="AG205" i="7" l="1"/>
  <c r="AJ205" i="7" s="1"/>
  <c r="AK205" i="7" s="1"/>
  <c r="AI205" i="7"/>
  <c r="AF206" i="7"/>
  <c r="AI206" i="7" l="1"/>
  <c r="AG206" i="7"/>
  <c r="AJ206" i="7" s="1"/>
  <c r="AK206" i="7" s="1"/>
  <c r="AF207" i="7"/>
  <c r="AG207" i="7" l="1"/>
  <c r="AJ207" i="7" s="1"/>
  <c r="AK207" i="7" s="1"/>
  <c r="AI207" i="7"/>
  <c r="AF208" i="7"/>
  <c r="AG208" i="7" l="1"/>
  <c r="AJ208" i="7" s="1"/>
  <c r="AK208" i="7" s="1"/>
  <c r="AI208" i="7"/>
  <c r="AF209" i="7"/>
  <c r="AI209" i="7" l="1"/>
  <c r="AG209" i="7"/>
  <c r="AJ209" i="7" s="1"/>
  <c r="AK209" i="7" s="1"/>
  <c r="AF210" i="7"/>
  <c r="AI210" i="7" l="1"/>
  <c r="AG210" i="7"/>
  <c r="AJ210" i="7" s="1"/>
  <c r="AK210" i="7" s="1"/>
  <c r="AF211" i="7"/>
  <c r="AI211" i="7" l="1"/>
  <c r="AG211" i="7"/>
  <c r="AJ211" i="7" s="1"/>
  <c r="AK211" i="7" s="1"/>
  <c r="AF212" i="7"/>
  <c r="AG212" i="7" l="1"/>
  <c r="AJ212" i="7" s="1"/>
  <c r="AK212" i="7" s="1"/>
  <c r="AI212" i="7"/>
  <c r="AF213" i="7"/>
  <c r="AI213" i="7" l="1"/>
  <c r="AI12" i="7" s="1"/>
  <c r="AN13" i="7" s="1"/>
  <c r="AG213" i="7"/>
  <c r="AJ213" i="7" s="1"/>
  <c r="AK213" i="7" s="1"/>
  <c r="AL212" i="7"/>
  <c r="AM212" i="7" s="1"/>
  <c r="AN212" i="7" s="1"/>
  <c r="AP212" i="7" s="1"/>
  <c r="AL208" i="7"/>
  <c r="AM208" i="7" s="1"/>
  <c r="AN208" i="7" s="1"/>
  <c r="AP208" i="7" s="1"/>
  <c r="AL206" i="7"/>
  <c r="AM206" i="7" s="1"/>
  <c r="AN206" i="7" s="1"/>
  <c r="AP206" i="7" s="1"/>
  <c r="AL204" i="7"/>
  <c r="AM204" i="7" s="1"/>
  <c r="AN204" i="7" s="1"/>
  <c r="AP204" i="7" s="1"/>
  <c r="AL210" i="7"/>
  <c r="AM210" i="7" s="1"/>
  <c r="AN210" i="7" s="1"/>
  <c r="AP210" i="7" s="1"/>
  <c r="AQ208" i="7" l="1"/>
  <c r="AR208" i="7"/>
  <c r="AQ212" i="7"/>
  <c r="AR212" i="7"/>
  <c r="AR210" i="7"/>
  <c r="AQ210" i="7"/>
  <c r="AR204" i="7"/>
  <c r="AQ204" i="7"/>
  <c r="AL213" i="7"/>
  <c r="AM213" i="7" s="1"/>
  <c r="AN213" i="7" s="1"/>
  <c r="AP213" i="7" s="1"/>
  <c r="AL14" i="7"/>
  <c r="AM14" i="7" s="1"/>
  <c r="AN14" i="7" s="1"/>
  <c r="AL15" i="7"/>
  <c r="AM15" i="7" s="1"/>
  <c r="AL16" i="7"/>
  <c r="AM16" i="7" s="1"/>
  <c r="AL17" i="7"/>
  <c r="AM17" i="7" s="1"/>
  <c r="AL18" i="7"/>
  <c r="AM18" i="7" s="1"/>
  <c r="AL19" i="7"/>
  <c r="AM19" i="7" s="1"/>
  <c r="AL20" i="7"/>
  <c r="AM20" i="7" s="1"/>
  <c r="AL21" i="7"/>
  <c r="AM21" i="7" s="1"/>
  <c r="AL22" i="7"/>
  <c r="AM22" i="7" s="1"/>
  <c r="AL23" i="7"/>
  <c r="AM23" i="7" s="1"/>
  <c r="AL24" i="7"/>
  <c r="AM24" i="7" s="1"/>
  <c r="AL25" i="7"/>
  <c r="AM25" i="7" s="1"/>
  <c r="AL26" i="7"/>
  <c r="AM26" i="7" s="1"/>
  <c r="AL27" i="7"/>
  <c r="AM27" i="7" s="1"/>
  <c r="AL28" i="7"/>
  <c r="AM28" i="7" s="1"/>
  <c r="AL29" i="7"/>
  <c r="AM29" i="7" s="1"/>
  <c r="AL30" i="7"/>
  <c r="AM30" i="7" s="1"/>
  <c r="AL31" i="7"/>
  <c r="AM31" i="7" s="1"/>
  <c r="AL32" i="7"/>
  <c r="AM32" i="7" s="1"/>
  <c r="AL33" i="7"/>
  <c r="AM33" i="7" s="1"/>
  <c r="AL34" i="7"/>
  <c r="AM34" i="7" s="1"/>
  <c r="AL35" i="7"/>
  <c r="AM35" i="7" s="1"/>
  <c r="AL36" i="7"/>
  <c r="AM36" i="7" s="1"/>
  <c r="AL37" i="7"/>
  <c r="AM37" i="7" s="1"/>
  <c r="AL38" i="7"/>
  <c r="AM38" i="7" s="1"/>
  <c r="AL39" i="7"/>
  <c r="AM39" i="7" s="1"/>
  <c r="AL40" i="7"/>
  <c r="AM40" i="7" s="1"/>
  <c r="AL41" i="7"/>
  <c r="AM41" i="7" s="1"/>
  <c r="AL42" i="7"/>
  <c r="AM42" i="7" s="1"/>
  <c r="AL43" i="7"/>
  <c r="AM43" i="7" s="1"/>
  <c r="AL44" i="7"/>
  <c r="AM44" i="7" s="1"/>
  <c r="AL45" i="7"/>
  <c r="AM45" i="7" s="1"/>
  <c r="AL46" i="7"/>
  <c r="AM46" i="7" s="1"/>
  <c r="AL47" i="7"/>
  <c r="AM47" i="7" s="1"/>
  <c r="AL48" i="7"/>
  <c r="AM48" i="7" s="1"/>
  <c r="AL49" i="7"/>
  <c r="AM49" i="7" s="1"/>
  <c r="AL50" i="7"/>
  <c r="AM50" i="7" s="1"/>
  <c r="AL51" i="7"/>
  <c r="AM51" i="7" s="1"/>
  <c r="AL52" i="7"/>
  <c r="AM52" i="7" s="1"/>
  <c r="AL53" i="7"/>
  <c r="AM53" i="7" s="1"/>
  <c r="AL54" i="7"/>
  <c r="AM54" i="7" s="1"/>
  <c r="AL55" i="7"/>
  <c r="AM55" i="7" s="1"/>
  <c r="AL56" i="7"/>
  <c r="AM56" i="7" s="1"/>
  <c r="AL57" i="7"/>
  <c r="AM57" i="7" s="1"/>
  <c r="AL58" i="7"/>
  <c r="AM58" i="7" s="1"/>
  <c r="AL59" i="7"/>
  <c r="AM59" i="7" s="1"/>
  <c r="AL60" i="7"/>
  <c r="AM60" i="7" s="1"/>
  <c r="AL61" i="7"/>
  <c r="AM61" i="7" s="1"/>
  <c r="AL62" i="7"/>
  <c r="AM62" i="7" s="1"/>
  <c r="AN62" i="7" s="1"/>
  <c r="AP62" i="7" s="1"/>
  <c r="AL63" i="7"/>
  <c r="AM63" i="7" s="1"/>
  <c r="AN63" i="7" s="1"/>
  <c r="AP63" i="7" s="1"/>
  <c r="AL64" i="7"/>
  <c r="AM64" i="7" s="1"/>
  <c r="AN64" i="7" s="1"/>
  <c r="AP64" i="7" s="1"/>
  <c r="AL65" i="7"/>
  <c r="AM65" i="7" s="1"/>
  <c r="AN65" i="7" s="1"/>
  <c r="AP65" i="7" s="1"/>
  <c r="AL66" i="7"/>
  <c r="AM66" i="7" s="1"/>
  <c r="AN66" i="7" s="1"/>
  <c r="AP66" i="7" s="1"/>
  <c r="AL67" i="7"/>
  <c r="AM67" i="7" s="1"/>
  <c r="AN67" i="7" s="1"/>
  <c r="AP67" i="7" s="1"/>
  <c r="AL68" i="7"/>
  <c r="AM68" i="7" s="1"/>
  <c r="AN68" i="7" s="1"/>
  <c r="AP68" i="7" s="1"/>
  <c r="AL69" i="7"/>
  <c r="AM69" i="7" s="1"/>
  <c r="AN69" i="7" s="1"/>
  <c r="AP69" i="7" s="1"/>
  <c r="AL70" i="7"/>
  <c r="AM70" i="7" s="1"/>
  <c r="AN70" i="7" s="1"/>
  <c r="AP70" i="7" s="1"/>
  <c r="AL71" i="7"/>
  <c r="AM71" i="7" s="1"/>
  <c r="AN71" i="7" s="1"/>
  <c r="AP71" i="7" s="1"/>
  <c r="AL72" i="7"/>
  <c r="AM72" i="7" s="1"/>
  <c r="AN72" i="7" s="1"/>
  <c r="AP72" i="7" s="1"/>
  <c r="AL73" i="7"/>
  <c r="AM73" i="7" s="1"/>
  <c r="AN73" i="7" s="1"/>
  <c r="AP73" i="7" s="1"/>
  <c r="AL74" i="7"/>
  <c r="AM74" i="7" s="1"/>
  <c r="AN74" i="7" s="1"/>
  <c r="AP74" i="7" s="1"/>
  <c r="AL75" i="7"/>
  <c r="AM75" i="7" s="1"/>
  <c r="AN75" i="7" s="1"/>
  <c r="AP75" i="7" s="1"/>
  <c r="AL76" i="7"/>
  <c r="AM76" i="7" s="1"/>
  <c r="AN76" i="7" s="1"/>
  <c r="AP76" i="7" s="1"/>
  <c r="AL77" i="7"/>
  <c r="AM77" i="7" s="1"/>
  <c r="AN77" i="7" s="1"/>
  <c r="AP77" i="7" s="1"/>
  <c r="AL78" i="7"/>
  <c r="AM78" i="7" s="1"/>
  <c r="AN78" i="7" s="1"/>
  <c r="AP78" i="7" s="1"/>
  <c r="AL79" i="7"/>
  <c r="AM79" i="7" s="1"/>
  <c r="AN79" i="7" s="1"/>
  <c r="AP79" i="7" s="1"/>
  <c r="AL80" i="7"/>
  <c r="AM80" i="7" s="1"/>
  <c r="AN80" i="7" s="1"/>
  <c r="AP80" i="7" s="1"/>
  <c r="AL81" i="7"/>
  <c r="AM81" i="7" s="1"/>
  <c r="AN81" i="7" s="1"/>
  <c r="AP81" i="7" s="1"/>
  <c r="AL82" i="7"/>
  <c r="AM82" i="7" s="1"/>
  <c r="AN82" i="7" s="1"/>
  <c r="AP82" i="7" s="1"/>
  <c r="AL83" i="7"/>
  <c r="AM83" i="7" s="1"/>
  <c r="AN83" i="7" s="1"/>
  <c r="AP83" i="7" s="1"/>
  <c r="AL84" i="7"/>
  <c r="AM84" i="7" s="1"/>
  <c r="AN84" i="7" s="1"/>
  <c r="AP84" i="7" s="1"/>
  <c r="AL85" i="7"/>
  <c r="AM85" i="7" s="1"/>
  <c r="AN85" i="7" s="1"/>
  <c r="AP85" i="7" s="1"/>
  <c r="AL86" i="7"/>
  <c r="AM86" i="7" s="1"/>
  <c r="AN86" i="7" s="1"/>
  <c r="AP86" i="7" s="1"/>
  <c r="AL87" i="7"/>
  <c r="AM87" i="7" s="1"/>
  <c r="AN87" i="7" s="1"/>
  <c r="AP87" i="7" s="1"/>
  <c r="AL88" i="7"/>
  <c r="AM88" i="7" s="1"/>
  <c r="AN88" i="7" s="1"/>
  <c r="AP88" i="7" s="1"/>
  <c r="AL89" i="7"/>
  <c r="AM89" i="7" s="1"/>
  <c r="AN89" i="7" s="1"/>
  <c r="AP89" i="7" s="1"/>
  <c r="AL90" i="7"/>
  <c r="AM90" i="7" s="1"/>
  <c r="AN90" i="7" s="1"/>
  <c r="AP90" i="7" s="1"/>
  <c r="AL91" i="7"/>
  <c r="AM91" i="7" s="1"/>
  <c r="AN91" i="7" s="1"/>
  <c r="AP91" i="7" s="1"/>
  <c r="AL92" i="7"/>
  <c r="AM92" i="7" s="1"/>
  <c r="AN92" i="7" s="1"/>
  <c r="AP92" i="7" s="1"/>
  <c r="AL93" i="7"/>
  <c r="AM93" i="7" s="1"/>
  <c r="AN93" i="7" s="1"/>
  <c r="AP93" i="7" s="1"/>
  <c r="AL94" i="7"/>
  <c r="AM94" i="7" s="1"/>
  <c r="AN94" i="7" s="1"/>
  <c r="AP94" i="7" s="1"/>
  <c r="AL95" i="7"/>
  <c r="AM95" i="7" s="1"/>
  <c r="AN95" i="7" s="1"/>
  <c r="AP95" i="7" s="1"/>
  <c r="AL96" i="7"/>
  <c r="AM96" i="7" s="1"/>
  <c r="AN96" i="7" s="1"/>
  <c r="AP96" i="7" s="1"/>
  <c r="AL97" i="7"/>
  <c r="AM97" i="7" s="1"/>
  <c r="AN97" i="7" s="1"/>
  <c r="AP97" i="7" s="1"/>
  <c r="AL98" i="7"/>
  <c r="AM98" i="7" s="1"/>
  <c r="AN98" i="7" s="1"/>
  <c r="AP98" i="7" s="1"/>
  <c r="AL99" i="7"/>
  <c r="AM99" i="7" s="1"/>
  <c r="AN99" i="7" s="1"/>
  <c r="AP99" i="7" s="1"/>
  <c r="AL100" i="7"/>
  <c r="AM100" i="7" s="1"/>
  <c r="AN100" i="7" s="1"/>
  <c r="AP100" i="7" s="1"/>
  <c r="AL101" i="7"/>
  <c r="AM101" i="7" s="1"/>
  <c r="AN101" i="7" s="1"/>
  <c r="AP101" i="7" s="1"/>
  <c r="AL102" i="7"/>
  <c r="AM102" i="7" s="1"/>
  <c r="AN102" i="7" s="1"/>
  <c r="AP102" i="7" s="1"/>
  <c r="AL103" i="7"/>
  <c r="AM103" i="7" s="1"/>
  <c r="AN103" i="7" s="1"/>
  <c r="AP103" i="7" s="1"/>
  <c r="AL104" i="7"/>
  <c r="AM104" i="7" s="1"/>
  <c r="AN104" i="7" s="1"/>
  <c r="AP104" i="7" s="1"/>
  <c r="AL105" i="7"/>
  <c r="AM105" i="7" s="1"/>
  <c r="AN105" i="7" s="1"/>
  <c r="AP105" i="7" s="1"/>
  <c r="AL106" i="7"/>
  <c r="AM106" i="7" s="1"/>
  <c r="AN106" i="7" s="1"/>
  <c r="AP106" i="7" s="1"/>
  <c r="AL107" i="7"/>
  <c r="AM107" i="7" s="1"/>
  <c r="AN107" i="7" s="1"/>
  <c r="AP107" i="7" s="1"/>
  <c r="AL108" i="7"/>
  <c r="AM108" i="7" s="1"/>
  <c r="AN108" i="7" s="1"/>
  <c r="AP108" i="7" s="1"/>
  <c r="AL109" i="7"/>
  <c r="AM109" i="7" s="1"/>
  <c r="AN109" i="7" s="1"/>
  <c r="AP109" i="7" s="1"/>
  <c r="AL110" i="7"/>
  <c r="AM110" i="7" s="1"/>
  <c r="AN110" i="7" s="1"/>
  <c r="AP110" i="7" s="1"/>
  <c r="AL111" i="7"/>
  <c r="AM111" i="7" s="1"/>
  <c r="AN111" i="7" s="1"/>
  <c r="AP111" i="7" s="1"/>
  <c r="AL112" i="7"/>
  <c r="AM112" i="7" s="1"/>
  <c r="AN112" i="7" s="1"/>
  <c r="AP112" i="7" s="1"/>
  <c r="AL113" i="7"/>
  <c r="AM113" i="7" s="1"/>
  <c r="AN113" i="7" s="1"/>
  <c r="AP113" i="7" s="1"/>
  <c r="AL114" i="7"/>
  <c r="AM114" i="7" s="1"/>
  <c r="AN114" i="7" s="1"/>
  <c r="AP114" i="7" s="1"/>
  <c r="AL115" i="7"/>
  <c r="AM115" i="7" s="1"/>
  <c r="AN115" i="7" s="1"/>
  <c r="AP115" i="7" s="1"/>
  <c r="AL116" i="7"/>
  <c r="AM116" i="7" s="1"/>
  <c r="AN116" i="7" s="1"/>
  <c r="AP116" i="7" s="1"/>
  <c r="AL117" i="7"/>
  <c r="AM117" i="7" s="1"/>
  <c r="AN117" i="7" s="1"/>
  <c r="AP117" i="7" s="1"/>
  <c r="AL118" i="7"/>
  <c r="AM118" i="7" s="1"/>
  <c r="AN118" i="7" s="1"/>
  <c r="AP118" i="7" s="1"/>
  <c r="AL119" i="7"/>
  <c r="AM119" i="7" s="1"/>
  <c r="AN119" i="7" s="1"/>
  <c r="AP119" i="7" s="1"/>
  <c r="AL120" i="7"/>
  <c r="AM120" i="7" s="1"/>
  <c r="AN120" i="7" s="1"/>
  <c r="AP120" i="7" s="1"/>
  <c r="AL121" i="7"/>
  <c r="AM121" i="7" s="1"/>
  <c r="AN121" i="7" s="1"/>
  <c r="AP121" i="7" s="1"/>
  <c r="AL122" i="7"/>
  <c r="AM122" i="7" s="1"/>
  <c r="AN122" i="7" s="1"/>
  <c r="AP122" i="7" s="1"/>
  <c r="AL123" i="7"/>
  <c r="AM123" i="7" s="1"/>
  <c r="AN123" i="7" s="1"/>
  <c r="AP123" i="7" s="1"/>
  <c r="AL124" i="7"/>
  <c r="AM124" i="7" s="1"/>
  <c r="AN124" i="7" s="1"/>
  <c r="AP124" i="7" s="1"/>
  <c r="AL125" i="7"/>
  <c r="AM125" i="7" s="1"/>
  <c r="AN125" i="7" s="1"/>
  <c r="AP125" i="7" s="1"/>
  <c r="AL126" i="7"/>
  <c r="AM126" i="7" s="1"/>
  <c r="AN126" i="7" s="1"/>
  <c r="AP126" i="7" s="1"/>
  <c r="AL127" i="7"/>
  <c r="AM127" i="7" s="1"/>
  <c r="AN127" i="7" s="1"/>
  <c r="AP127" i="7" s="1"/>
  <c r="AL128" i="7"/>
  <c r="AM128" i="7" s="1"/>
  <c r="AN128" i="7" s="1"/>
  <c r="AP128" i="7" s="1"/>
  <c r="AL129" i="7"/>
  <c r="AM129" i="7" s="1"/>
  <c r="AN129" i="7" s="1"/>
  <c r="AP129" i="7" s="1"/>
  <c r="AL130" i="7"/>
  <c r="AM130" i="7" s="1"/>
  <c r="AN130" i="7" s="1"/>
  <c r="AP130" i="7" s="1"/>
  <c r="AL131" i="7"/>
  <c r="AM131" i="7" s="1"/>
  <c r="AN131" i="7" s="1"/>
  <c r="AP131" i="7" s="1"/>
  <c r="AL132" i="7"/>
  <c r="AM132" i="7" s="1"/>
  <c r="AN132" i="7" s="1"/>
  <c r="AP132" i="7" s="1"/>
  <c r="AL133" i="7"/>
  <c r="AM133" i="7" s="1"/>
  <c r="AN133" i="7" s="1"/>
  <c r="AP133" i="7" s="1"/>
  <c r="AL134" i="7"/>
  <c r="AM134" i="7" s="1"/>
  <c r="AN134" i="7" s="1"/>
  <c r="AP134" i="7" s="1"/>
  <c r="AL135" i="7"/>
  <c r="AM135" i="7" s="1"/>
  <c r="AN135" i="7" s="1"/>
  <c r="AP135" i="7" s="1"/>
  <c r="AL136" i="7"/>
  <c r="AM136" i="7" s="1"/>
  <c r="AN136" i="7" s="1"/>
  <c r="AP136" i="7" s="1"/>
  <c r="AL137" i="7"/>
  <c r="AM137" i="7" s="1"/>
  <c r="AN137" i="7" s="1"/>
  <c r="AP137" i="7" s="1"/>
  <c r="AL138" i="7"/>
  <c r="AM138" i="7" s="1"/>
  <c r="AN138" i="7" s="1"/>
  <c r="AP138" i="7" s="1"/>
  <c r="AL139" i="7"/>
  <c r="AM139" i="7" s="1"/>
  <c r="AN139" i="7" s="1"/>
  <c r="AP139" i="7" s="1"/>
  <c r="AL140" i="7"/>
  <c r="AM140" i="7" s="1"/>
  <c r="AN140" i="7" s="1"/>
  <c r="AP140" i="7" s="1"/>
  <c r="AL141" i="7"/>
  <c r="AM141" i="7" s="1"/>
  <c r="AN141" i="7" s="1"/>
  <c r="AP141" i="7" s="1"/>
  <c r="AL142" i="7"/>
  <c r="AM142" i="7" s="1"/>
  <c r="AN142" i="7" s="1"/>
  <c r="AP142" i="7" s="1"/>
  <c r="AL143" i="7"/>
  <c r="AM143" i="7" s="1"/>
  <c r="AN143" i="7" s="1"/>
  <c r="AP143" i="7" s="1"/>
  <c r="AL144" i="7"/>
  <c r="AM144" i="7" s="1"/>
  <c r="AN144" i="7" s="1"/>
  <c r="AP144" i="7" s="1"/>
  <c r="AL145" i="7"/>
  <c r="AM145" i="7" s="1"/>
  <c r="AN145" i="7" s="1"/>
  <c r="AP145" i="7" s="1"/>
  <c r="AL146" i="7"/>
  <c r="AM146" i="7" s="1"/>
  <c r="AN146" i="7" s="1"/>
  <c r="AP146" i="7" s="1"/>
  <c r="AL147" i="7"/>
  <c r="AM147" i="7" s="1"/>
  <c r="AN147" i="7" s="1"/>
  <c r="AP147" i="7" s="1"/>
  <c r="AL148" i="7"/>
  <c r="AM148" i="7" s="1"/>
  <c r="AN148" i="7" s="1"/>
  <c r="AP148" i="7" s="1"/>
  <c r="AL149" i="7"/>
  <c r="AM149" i="7" s="1"/>
  <c r="AN149" i="7" s="1"/>
  <c r="AP149" i="7" s="1"/>
  <c r="AL150" i="7"/>
  <c r="AM150" i="7" s="1"/>
  <c r="AN150" i="7" s="1"/>
  <c r="AP150" i="7" s="1"/>
  <c r="AL151" i="7"/>
  <c r="AM151" i="7" s="1"/>
  <c r="AN151" i="7" s="1"/>
  <c r="AP151" i="7" s="1"/>
  <c r="AL152" i="7"/>
  <c r="AM152" i="7" s="1"/>
  <c r="AN152" i="7" s="1"/>
  <c r="AP152" i="7" s="1"/>
  <c r="AL153" i="7"/>
  <c r="AM153" i="7" s="1"/>
  <c r="AN153" i="7" s="1"/>
  <c r="AP153" i="7" s="1"/>
  <c r="AL154" i="7"/>
  <c r="AM154" i="7" s="1"/>
  <c r="AN154" i="7" s="1"/>
  <c r="AP154" i="7" s="1"/>
  <c r="AL155" i="7"/>
  <c r="AM155" i="7" s="1"/>
  <c r="AN155" i="7" s="1"/>
  <c r="AP155" i="7" s="1"/>
  <c r="AL156" i="7"/>
  <c r="AM156" i="7" s="1"/>
  <c r="AN156" i="7" s="1"/>
  <c r="AP156" i="7" s="1"/>
  <c r="AL157" i="7"/>
  <c r="AM157" i="7" s="1"/>
  <c r="AN157" i="7" s="1"/>
  <c r="AP157" i="7" s="1"/>
  <c r="AL158" i="7"/>
  <c r="AM158" i="7" s="1"/>
  <c r="AN158" i="7" s="1"/>
  <c r="AP158" i="7" s="1"/>
  <c r="AL159" i="7"/>
  <c r="AM159" i="7" s="1"/>
  <c r="AN159" i="7" s="1"/>
  <c r="AP159" i="7" s="1"/>
  <c r="AL160" i="7"/>
  <c r="AM160" i="7" s="1"/>
  <c r="AN160" i="7" s="1"/>
  <c r="AP160" i="7" s="1"/>
  <c r="AL161" i="7"/>
  <c r="AM161" i="7" s="1"/>
  <c r="AN161" i="7" s="1"/>
  <c r="AP161" i="7" s="1"/>
  <c r="AL162" i="7"/>
  <c r="AM162" i="7" s="1"/>
  <c r="AN162" i="7" s="1"/>
  <c r="AP162" i="7" s="1"/>
  <c r="AL163" i="7"/>
  <c r="AM163" i="7" s="1"/>
  <c r="AN163" i="7" s="1"/>
  <c r="AP163" i="7" s="1"/>
  <c r="AL164" i="7"/>
  <c r="AM164" i="7" s="1"/>
  <c r="AN164" i="7" s="1"/>
  <c r="AP164" i="7" s="1"/>
  <c r="AL165" i="7"/>
  <c r="AM165" i="7" s="1"/>
  <c r="AN165" i="7" s="1"/>
  <c r="AP165" i="7" s="1"/>
  <c r="AL166" i="7"/>
  <c r="AM166" i="7" s="1"/>
  <c r="AN166" i="7" s="1"/>
  <c r="AP166" i="7" s="1"/>
  <c r="AL167" i="7"/>
  <c r="AM167" i="7" s="1"/>
  <c r="AN167" i="7" s="1"/>
  <c r="AP167" i="7" s="1"/>
  <c r="AL168" i="7"/>
  <c r="AM168" i="7" s="1"/>
  <c r="AN168" i="7" s="1"/>
  <c r="AP168" i="7" s="1"/>
  <c r="AL169" i="7"/>
  <c r="AM169" i="7" s="1"/>
  <c r="AN169" i="7" s="1"/>
  <c r="AP169" i="7" s="1"/>
  <c r="AL170" i="7"/>
  <c r="AM170" i="7" s="1"/>
  <c r="AN170" i="7" s="1"/>
  <c r="AP170" i="7" s="1"/>
  <c r="AL171" i="7"/>
  <c r="AM171" i="7" s="1"/>
  <c r="AN171" i="7" s="1"/>
  <c r="AP171" i="7" s="1"/>
  <c r="AL172" i="7"/>
  <c r="AM172" i="7" s="1"/>
  <c r="AN172" i="7" s="1"/>
  <c r="AP172" i="7" s="1"/>
  <c r="AL173" i="7"/>
  <c r="AM173" i="7" s="1"/>
  <c r="AN173" i="7" s="1"/>
  <c r="AP173" i="7" s="1"/>
  <c r="AL174" i="7"/>
  <c r="AM174" i="7" s="1"/>
  <c r="AN174" i="7" s="1"/>
  <c r="AP174" i="7" s="1"/>
  <c r="AL175" i="7"/>
  <c r="AM175" i="7" s="1"/>
  <c r="AN175" i="7" s="1"/>
  <c r="AP175" i="7" s="1"/>
  <c r="AL176" i="7"/>
  <c r="AM176" i="7" s="1"/>
  <c r="AN176" i="7" s="1"/>
  <c r="AP176" i="7" s="1"/>
  <c r="AL177" i="7"/>
  <c r="AM177" i="7" s="1"/>
  <c r="AN177" i="7" s="1"/>
  <c r="AP177" i="7" s="1"/>
  <c r="AL178" i="7"/>
  <c r="AM178" i="7" s="1"/>
  <c r="AN178" i="7" s="1"/>
  <c r="AP178" i="7" s="1"/>
  <c r="AL179" i="7"/>
  <c r="AM179" i="7" s="1"/>
  <c r="AN179" i="7" s="1"/>
  <c r="AP179" i="7" s="1"/>
  <c r="AL180" i="7"/>
  <c r="AM180" i="7" s="1"/>
  <c r="AN180" i="7" s="1"/>
  <c r="AP180" i="7" s="1"/>
  <c r="AL181" i="7"/>
  <c r="AM181" i="7" s="1"/>
  <c r="AN181" i="7" s="1"/>
  <c r="AP181" i="7" s="1"/>
  <c r="AL182" i="7"/>
  <c r="AM182" i="7" s="1"/>
  <c r="AN182" i="7" s="1"/>
  <c r="AP182" i="7" s="1"/>
  <c r="AL183" i="7"/>
  <c r="AM183" i="7" s="1"/>
  <c r="AN183" i="7" s="1"/>
  <c r="AP183" i="7" s="1"/>
  <c r="AL184" i="7"/>
  <c r="AM184" i="7" s="1"/>
  <c r="AN184" i="7" s="1"/>
  <c r="AP184" i="7" s="1"/>
  <c r="AL185" i="7"/>
  <c r="AM185" i="7" s="1"/>
  <c r="AN185" i="7" s="1"/>
  <c r="AP185" i="7" s="1"/>
  <c r="AL186" i="7"/>
  <c r="AM186" i="7" s="1"/>
  <c r="AN186" i="7" s="1"/>
  <c r="AP186" i="7" s="1"/>
  <c r="AL187" i="7"/>
  <c r="AM187" i="7" s="1"/>
  <c r="AN187" i="7" s="1"/>
  <c r="AP187" i="7" s="1"/>
  <c r="AL188" i="7"/>
  <c r="AM188" i="7" s="1"/>
  <c r="AN188" i="7" s="1"/>
  <c r="AP188" i="7" s="1"/>
  <c r="AL189" i="7"/>
  <c r="AM189" i="7" s="1"/>
  <c r="AN189" i="7" s="1"/>
  <c r="AP189" i="7" s="1"/>
  <c r="AL190" i="7"/>
  <c r="AM190" i="7" s="1"/>
  <c r="AN190" i="7" s="1"/>
  <c r="AP190" i="7" s="1"/>
  <c r="AL191" i="7"/>
  <c r="AM191" i="7" s="1"/>
  <c r="AN191" i="7" s="1"/>
  <c r="AP191" i="7" s="1"/>
  <c r="AL192" i="7"/>
  <c r="AM192" i="7" s="1"/>
  <c r="AN192" i="7" s="1"/>
  <c r="AP192" i="7" s="1"/>
  <c r="AL193" i="7"/>
  <c r="AM193" i="7" s="1"/>
  <c r="AN193" i="7" s="1"/>
  <c r="AP193" i="7" s="1"/>
  <c r="AL194" i="7"/>
  <c r="AM194" i="7" s="1"/>
  <c r="AN194" i="7" s="1"/>
  <c r="AP194" i="7" s="1"/>
  <c r="AL195" i="7"/>
  <c r="AM195" i="7" s="1"/>
  <c r="AN195" i="7" s="1"/>
  <c r="AP195" i="7" s="1"/>
  <c r="AL196" i="7"/>
  <c r="AM196" i="7" s="1"/>
  <c r="AN196" i="7" s="1"/>
  <c r="AP196" i="7" s="1"/>
  <c r="AL197" i="7"/>
  <c r="AM197" i="7" s="1"/>
  <c r="AN197" i="7" s="1"/>
  <c r="AP197" i="7" s="1"/>
  <c r="AL198" i="7"/>
  <c r="AM198" i="7" s="1"/>
  <c r="AN198" i="7" s="1"/>
  <c r="AP198" i="7" s="1"/>
  <c r="AL199" i="7"/>
  <c r="AM199" i="7" s="1"/>
  <c r="AN199" i="7" s="1"/>
  <c r="AP199" i="7" s="1"/>
  <c r="AL200" i="7"/>
  <c r="AM200" i="7" s="1"/>
  <c r="AN200" i="7" s="1"/>
  <c r="AP200" i="7" s="1"/>
  <c r="AL201" i="7"/>
  <c r="AM201" i="7" s="1"/>
  <c r="AN201" i="7" s="1"/>
  <c r="AP201" i="7" s="1"/>
  <c r="AL202" i="7"/>
  <c r="AM202" i="7" s="1"/>
  <c r="AN202" i="7" s="1"/>
  <c r="AP202" i="7" s="1"/>
  <c r="AL205" i="7"/>
  <c r="AM205" i="7" s="1"/>
  <c r="AN205" i="7" s="1"/>
  <c r="AP205" i="7" s="1"/>
  <c r="AL209" i="7"/>
  <c r="AM209" i="7" s="1"/>
  <c r="AN209" i="7" s="1"/>
  <c r="AP209" i="7" s="1"/>
  <c r="AL207" i="7"/>
  <c r="AM207" i="7" s="1"/>
  <c r="AN207" i="7" s="1"/>
  <c r="AP207" i="7" s="1"/>
  <c r="AL203" i="7"/>
  <c r="AM203" i="7" s="1"/>
  <c r="AN203" i="7" s="1"/>
  <c r="AP203" i="7" s="1"/>
  <c r="AL211" i="7"/>
  <c r="AM211" i="7" s="1"/>
  <c r="AN211" i="7" s="1"/>
  <c r="AP211" i="7" s="1"/>
  <c r="AR206" i="7"/>
  <c r="AQ206" i="7"/>
  <c r="AN15" i="7" l="1"/>
  <c r="AP15" i="7" s="1"/>
  <c r="AR211" i="7"/>
  <c r="AQ211" i="7"/>
  <c r="AQ195" i="7"/>
  <c r="AR195" i="7"/>
  <c r="AR209" i="7"/>
  <c r="AQ209" i="7"/>
  <c r="AQ200" i="7"/>
  <c r="AR200" i="7"/>
  <c r="AR196" i="7"/>
  <c r="AQ196" i="7"/>
  <c r="AQ192" i="7"/>
  <c r="AR192" i="7"/>
  <c r="AR188" i="7"/>
  <c r="AQ188" i="7"/>
  <c r="AR184" i="7"/>
  <c r="AQ184" i="7"/>
  <c r="AQ180" i="7"/>
  <c r="AR180" i="7"/>
  <c r="AQ176" i="7"/>
  <c r="AR176" i="7"/>
  <c r="AQ172" i="7"/>
  <c r="AR172" i="7"/>
  <c r="AR168" i="7"/>
  <c r="AQ168" i="7"/>
  <c r="AQ164" i="7"/>
  <c r="AR164" i="7"/>
  <c r="AR160" i="7"/>
  <c r="AQ160" i="7"/>
  <c r="AQ156" i="7"/>
  <c r="AR156" i="7"/>
  <c r="AQ152" i="7"/>
  <c r="AR152" i="7"/>
  <c r="AR148" i="7"/>
  <c r="AQ148" i="7"/>
  <c r="AQ144" i="7"/>
  <c r="AR144" i="7"/>
  <c r="AQ140" i="7"/>
  <c r="AR140" i="7"/>
  <c r="AQ136" i="7"/>
  <c r="AR136" i="7"/>
  <c r="AQ132" i="7"/>
  <c r="AR132" i="7"/>
  <c r="AR128" i="7"/>
  <c r="AQ128" i="7"/>
  <c r="AQ124" i="7"/>
  <c r="AR124" i="7"/>
  <c r="AQ120" i="7"/>
  <c r="AR120" i="7"/>
  <c r="AR116" i="7"/>
  <c r="AQ116" i="7"/>
  <c r="AQ112" i="7"/>
  <c r="AR112" i="7"/>
  <c r="AQ108" i="7"/>
  <c r="AR108" i="7"/>
  <c r="AR104" i="7"/>
  <c r="AQ104" i="7"/>
  <c r="AQ100" i="7"/>
  <c r="AR100" i="7"/>
  <c r="AR96" i="7"/>
  <c r="AQ96" i="7"/>
  <c r="AQ92" i="7"/>
  <c r="AR92" i="7"/>
  <c r="AQ88" i="7"/>
  <c r="AR88" i="7"/>
  <c r="AQ84" i="7"/>
  <c r="AR84" i="7"/>
  <c r="AR80" i="7"/>
  <c r="AQ80" i="7"/>
  <c r="AQ76" i="7"/>
  <c r="AR76" i="7"/>
  <c r="AQ72" i="7"/>
  <c r="AR72" i="7"/>
  <c r="AQ68" i="7"/>
  <c r="AR68" i="7"/>
  <c r="AQ191" i="7"/>
  <c r="AR191" i="7"/>
  <c r="AQ187" i="7"/>
  <c r="AR187" i="7"/>
  <c r="AR183" i="7"/>
  <c r="AQ183" i="7"/>
  <c r="AQ179" i="7"/>
  <c r="AR179" i="7"/>
  <c r="AR175" i="7"/>
  <c r="AQ175" i="7"/>
  <c r="AQ171" i="7"/>
  <c r="AR171" i="7"/>
  <c r="AQ167" i="7"/>
  <c r="AR167" i="7"/>
  <c r="AR163" i="7"/>
  <c r="AQ163" i="7"/>
  <c r="AR159" i="7"/>
  <c r="AQ159" i="7"/>
  <c r="AQ155" i="7"/>
  <c r="AR155" i="7"/>
  <c r="AQ151" i="7"/>
  <c r="AR151" i="7"/>
  <c r="AR147" i="7"/>
  <c r="AQ147" i="7"/>
  <c r="AR143" i="7"/>
  <c r="AQ143" i="7"/>
  <c r="AQ139" i="7"/>
  <c r="AR139" i="7"/>
  <c r="AR135" i="7"/>
  <c r="AQ135" i="7"/>
  <c r="AQ131" i="7"/>
  <c r="AR131" i="7"/>
  <c r="AR127" i="7"/>
  <c r="AQ127" i="7"/>
  <c r="AQ123" i="7"/>
  <c r="AR123" i="7"/>
  <c r="AQ119" i="7"/>
  <c r="AR119" i="7"/>
  <c r="AR115" i="7"/>
  <c r="AQ115" i="7"/>
  <c r="AQ111" i="7"/>
  <c r="AR111" i="7"/>
  <c r="AQ107" i="7"/>
  <c r="AR107" i="7"/>
  <c r="AR103" i="7"/>
  <c r="AQ103" i="7"/>
  <c r="AR99" i="7"/>
  <c r="AQ99" i="7"/>
  <c r="AQ95" i="7"/>
  <c r="AR95" i="7"/>
  <c r="AQ91" i="7"/>
  <c r="AR91" i="7"/>
  <c r="AR87" i="7"/>
  <c r="AQ87" i="7"/>
  <c r="AQ83" i="7"/>
  <c r="AR83" i="7"/>
  <c r="AQ79" i="7"/>
  <c r="AR79" i="7"/>
  <c r="AQ75" i="7"/>
  <c r="AR75" i="7"/>
  <c r="AQ71" i="7"/>
  <c r="AR71" i="7"/>
  <c r="AR199" i="7"/>
  <c r="AQ199" i="7"/>
  <c r="AQ203" i="7"/>
  <c r="AR203" i="7"/>
  <c r="AQ202" i="7"/>
  <c r="AR202" i="7"/>
  <c r="AQ198" i="7"/>
  <c r="AR198" i="7"/>
  <c r="AQ194" i="7"/>
  <c r="AR194" i="7"/>
  <c r="AR190" i="7"/>
  <c r="AQ190" i="7"/>
  <c r="AQ186" i="7"/>
  <c r="AR186" i="7"/>
  <c r="AR182" i="7"/>
  <c r="AQ182" i="7"/>
  <c r="AQ178" i="7"/>
  <c r="AR178" i="7"/>
  <c r="AR174" i="7"/>
  <c r="AQ174" i="7"/>
  <c r="AR170" i="7"/>
  <c r="AQ170" i="7"/>
  <c r="AQ166" i="7"/>
  <c r="AR166" i="7"/>
  <c r="AR162" i="7"/>
  <c r="AQ162" i="7"/>
  <c r="AR158" i="7"/>
  <c r="AQ158" i="7"/>
  <c r="AR154" i="7"/>
  <c r="AQ154" i="7"/>
  <c r="AR150" i="7"/>
  <c r="AQ150" i="7"/>
  <c r="AQ146" i="7"/>
  <c r="AR146" i="7"/>
  <c r="AQ142" i="7"/>
  <c r="AR142" i="7"/>
  <c r="AR138" i="7"/>
  <c r="AQ138" i="7"/>
  <c r="AR134" i="7"/>
  <c r="AQ134" i="7"/>
  <c r="AR130" i="7"/>
  <c r="AQ130" i="7"/>
  <c r="AQ126" i="7"/>
  <c r="AR126" i="7"/>
  <c r="AQ122" i="7"/>
  <c r="AR122" i="7"/>
  <c r="AR118" i="7"/>
  <c r="AQ118" i="7"/>
  <c r="AR114" i="7"/>
  <c r="AQ114" i="7"/>
  <c r="AR110" i="7"/>
  <c r="AQ110" i="7"/>
  <c r="AR106" i="7"/>
  <c r="AQ106" i="7"/>
  <c r="AQ102" i="7"/>
  <c r="AR102" i="7"/>
  <c r="AQ98" i="7"/>
  <c r="AR98" i="7"/>
  <c r="AR94" i="7"/>
  <c r="AQ94" i="7"/>
  <c r="AQ90" i="7"/>
  <c r="AR90" i="7"/>
  <c r="AQ86" i="7"/>
  <c r="AR86" i="7"/>
  <c r="AQ82" i="7"/>
  <c r="AR82" i="7"/>
  <c r="AQ78" i="7"/>
  <c r="AR78" i="7"/>
  <c r="AQ74" i="7"/>
  <c r="AR74" i="7"/>
  <c r="AQ70" i="7"/>
  <c r="AR70" i="7"/>
  <c r="AP14" i="7"/>
  <c r="AR205" i="7"/>
  <c r="AQ205" i="7"/>
  <c r="AR207" i="7"/>
  <c r="AQ207" i="7"/>
  <c r="AQ201" i="7"/>
  <c r="AR201" i="7"/>
  <c r="AR197" i="7"/>
  <c r="AQ197" i="7"/>
  <c r="AQ193" i="7"/>
  <c r="AR193" i="7"/>
  <c r="AR189" i="7"/>
  <c r="AQ189" i="7"/>
  <c r="AQ185" i="7"/>
  <c r="AR185" i="7"/>
  <c r="AR181" i="7"/>
  <c r="AQ181" i="7"/>
  <c r="AR177" i="7"/>
  <c r="AQ177" i="7"/>
  <c r="AR173" i="7"/>
  <c r="AQ173" i="7"/>
  <c r="AR169" i="7"/>
  <c r="AQ169" i="7"/>
  <c r="AQ165" i="7"/>
  <c r="AR165" i="7"/>
  <c r="AR161" i="7"/>
  <c r="AQ161" i="7"/>
  <c r="AR157" i="7"/>
  <c r="AQ157" i="7"/>
  <c r="AQ153" i="7"/>
  <c r="AR153" i="7"/>
  <c r="AQ149" i="7"/>
  <c r="AR149" i="7"/>
  <c r="AQ145" i="7"/>
  <c r="AR145" i="7"/>
  <c r="AQ141" i="7"/>
  <c r="AR141" i="7"/>
  <c r="AR137" i="7"/>
  <c r="AQ137" i="7"/>
  <c r="AR133" i="7"/>
  <c r="AQ133" i="7"/>
  <c r="AQ129" i="7"/>
  <c r="AR129" i="7"/>
  <c r="AQ125" i="7"/>
  <c r="AR125" i="7"/>
  <c r="AQ121" i="7"/>
  <c r="AR121" i="7"/>
  <c r="AR117" i="7"/>
  <c r="AQ117" i="7"/>
  <c r="AQ113" i="7"/>
  <c r="AR113" i="7"/>
  <c r="AQ109" i="7"/>
  <c r="AR109" i="7"/>
  <c r="AR105" i="7"/>
  <c r="AQ105" i="7"/>
  <c r="AQ101" i="7"/>
  <c r="AR101" i="7"/>
  <c r="AR97" i="7"/>
  <c r="AQ97" i="7"/>
  <c r="AQ93" i="7"/>
  <c r="AR93" i="7"/>
  <c r="AR89" i="7"/>
  <c r="AQ89" i="7"/>
  <c r="AR85" i="7"/>
  <c r="AQ85" i="7"/>
  <c r="AR81" i="7"/>
  <c r="AQ81" i="7"/>
  <c r="AQ77" i="7"/>
  <c r="AR77" i="7"/>
  <c r="AR73" i="7"/>
  <c r="AQ73" i="7"/>
  <c r="AQ69" i="7"/>
  <c r="AQ67" i="7" s="1"/>
  <c r="AR69" i="7"/>
  <c r="AQ213" i="7"/>
  <c r="AR213" i="7"/>
  <c r="AS212" i="7" s="1"/>
  <c r="AQ66" i="7" l="1"/>
  <c r="AQ65" i="7" s="1"/>
  <c r="AN16" i="7"/>
  <c r="AS210" i="7"/>
  <c r="AS113" i="7"/>
  <c r="AS121" i="7"/>
  <c r="AS129" i="7"/>
  <c r="AS145" i="7"/>
  <c r="AS153" i="7"/>
  <c r="AS185" i="7"/>
  <c r="AS193" i="7"/>
  <c r="AS201" i="7"/>
  <c r="AS70" i="7"/>
  <c r="AS78" i="7"/>
  <c r="AS86" i="7"/>
  <c r="AS102" i="7"/>
  <c r="AS126" i="7"/>
  <c r="AS142" i="7"/>
  <c r="AS166" i="7"/>
  <c r="AS198" i="7"/>
  <c r="AS203" i="7"/>
  <c r="AS75" i="7"/>
  <c r="AS83" i="7"/>
  <c r="AS91" i="7"/>
  <c r="AS107" i="7"/>
  <c r="AS123" i="7"/>
  <c r="AS131" i="7"/>
  <c r="AS139" i="7"/>
  <c r="AS155" i="7"/>
  <c r="AS171" i="7"/>
  <c r="AS179" i="7"/>
  <c r="AS187" i="7"/>
  <c r="AS68" i="7"/>
  <c r="AS76" i="7"/>
  <c r="AS84" i="7"/>
  <c r="AS92" i="7"/>
  <c r="AS100" i="7"/>
  <c r="AS108" i="7"/>
  <c r="AS124" i="7"/>
  <c r="AS132" i="7"/>
  <c r="AS140" i="7"/>
  <c r="AS156" i="7"/>
  <c r="AS164" i="7"/>
  <c r="AS172" i="7"/>
  <c r="AS180" i="7"/>
  <c r="AS195" i="7"/>
  <c r="AS73" i="7"/>
  <c r="AS105" i="7"/>
  <c r="AS137" i="7"/>
  <c r="AS161" i="7"/>
  <c r="AS169" i="7"/>
  <c r="AS177" i="7"/>
  <c r="AS205" i="7"/>
  <c r="AS94" i="7"/>
  <c r="AS110" i="7"/>
  <c r="AS118" i="7"/>
  <c r="AS134" i="7"/>
  <c r="AS150" i="7"/>
  <c r="AS158" i="7"/>
  <c r="AS174" i="7"/>
  <c r="AS182" i="7"/>
  <c r="AS190" i="7"/>
  <c r="AS204" i="7"/>
  <c r="AS99" i="7"/>
  <c r="AS115" i="7"/>
  <c r="AS147" i="7"/>
  <c r="AS163" i="7"/>
  <c r="AS116" i="7"/>
  <c r="AS148" i="7"/>
  <c r="AS188" i="7"/>
  <c r="AS196" i="7"/>
  <c r="AS209" i="7"/>
  <c r="AS81" i="7"/>
  <c r="AS97" i="7"/>
  <c r="AS213" i="7"/>
  <c r="AS77" i="7"/>
  <c r="AS93" i="7"/>
  <c r="AS101" i="7"/>
  <c r="AS109" i="7"/>
  <c r="AS125" i="7"/>
  <c r="AS141" i="7"/>
  <c r="AS149" i="7"/>
  <c r="AS165" i="7"/>
  <c r="AS208" i="7"/>
  <c r="AS74" i="7"/>
  <c r="AS82" i="7"/>
  <c r="AS90" i="7"/>
  <c r="AS98" i="7"/>
  <c r="AS122" i="7"/>
  <c r="AS146" i="7"/>
  <c r="AS178" i="7"/>
  <c r="AS186" i="7"/>
  <c r="AS194" i="7"/>
  <c r="AS202" i="7"/>
  <c r="AS71" i="7"/>
  <c r="AS79" i="7"/>
  <c r="AS95" i="7"/>
  <c r="AS111" i="7"/>
  <c r="AS119" i="7"/>
  <c r="AS151" i="7"/>
  <c r="AS167" i="7"/>
  <c r="AS191" i="7"/>
  <c r="AS72" i="7"/>
  <c r="AS88" i="7"/>
  <c r="AS112" i="7"/>
  <c r="AS120" i="7"/>
  <c r="AS136" i="7"/>
  <c r="AS144" i="7"/>
  <c r="AS152" i="7"/>
  <c r="AS176" i="7"/>
  <c r="AS192" i="7"/>
  <c r="AS200" i="7"/>
  <c r="AS89" i="7"/>
  <c r="AS69" i="7"/>
  <c r="AS85" i="7"/>
  <c r="AS117" i="7"/>
  <c r="AS133" i="7"/>
  <c r="AS157" i="7"/>
  <c r="AS173" i="7"/>
  <c r="AS181" i="7"/>
  <c r="AS189" i="7"/>
  <c r="AS197" i="7"/>
  <c r="AS207" i="7"/>
  <c r="AS106" i="7"/>
  <c r="AS114" i="7"/>
  <c r="AS130" i="7"/>
  <c r="AS138" i="7"/>
  <c r="AS154" i="7"/>
  <c r="AS162" i="7"/>
  <c r="AS170" i="7"/>
  <c r="AS199" i="7"/>
  <c r="AS87" i="7"/>
  <c r="AS103" i="7"/>
  <c r="AS127" i="7"/>
  <c r="AS135" i="7"/>
  <c r="AS143" i="7"/>
  <c r="AS159" i="7"/>
  <c r="AS175" i="7"/>
  <c r="AS183" i="7"/>
  <c r="AS80" i="7"/>
  <c r="AS96" i="7"/>
  <c r="AS104" i="7"/>
  <c r="AS128" i="7"/>
  <c r="AS160" i="7"/>
  <c r="AS168" i="7"/>
  <c r="AS184" i="7"/>
  <c r="AS206" i="7"/>
  <c r="AS211" i="7"/>
  <c r="AQ64" i="7" l="1"/>
  <c r="AP16" i="7"/>
  <c r="AN17" i="7"/>
  <c r="AQ63" i="7" l="1"/>
  <c r="AP17" i="7"/>
  <c r="AN18" i="7"/>
  <c r="AQ62" i="7" l="1"/>
  <c r="AP18" i="7"/>
  <c r="AN19" i="7"/>
  <c r="AP19" i="7" l="1"/>
  <c r="AR19" i="7" s="1"/>
  <c r="AN20" i="7"/>
  <c r="AN21" i="7" l="1"/>
  <c r="AP20" i="7"/>
  <c r="AP21" i="7" l="1"/>
  <c r="AN22" i="7"/>
  <c r="AN23" i="7" l="1"/>
  <c r="AP22" i="7"/>
  <c r="AP23" i="7" l="1"/>
  <c r="AN24" i="7"/>
  <c r="AP24" i="7" l="1"/>
  <c r="AN25" i="7"/>
  <c r="AP25" i="7" l="1"/>
  <c r="AN26" i="7"/>
  <c r="AP26" i="7" l="1"/>
  <c r="AN27" i="7"/>
  <c r="AN28" i="7" l="1"/>
  <c r="AP27" i="7"/>
  <c r="AQ18" i="7"/>
  <c r="AN29" i="7" l="1"/>
  <c r="AP28" i="7"/>
  <c r="AR18" i="7"/>
  <c r="AP29" i="7" l="1"/>
  <c r="AN30" i="7"/>
  <c r="AP30" i="7" l="1"/>
  <c r="AN31" i="7"/>
  <c r="AP31" i="7" l="1"/>
  <c r="AN32" i="7"/>
  <c r="AN33" i="7" l="1"/>
  <c r="AP32" i="7"/>
  <c r="AQ32" i="7" l="1"/>
  <c r="AR32" i="7"/>
  <c r="AP33" i="7"/>
  <c r="AN34" i="7"/>
  <c r="AQ19" i="7"/>
  <c r="AP34" i="7" l="1"/>
  <c r="AN35" i="7"/>
  <c r="AN36" i="7" l="1"/>
  <c r="AP35" i="7"/>
  <c r="AP36" i="7" l="1"/>
  <c r="AN37" i="7"/>
  <c r="AP37" i="7" l="1"/>
  <c r="AN38" i="7"/>
  <c r="AP38" i="7" s="1"/>
  <c r="AN39" i="7" l="1"/>
  <c r="AP39" i="7" l="1"/>
  <c r="AN40" i="7"/>
  <c r="AN41" i="7" l="1"/>
  <c r="AP40" i="7"/>
  <c r="AP41" i="7" l="1"/>
  <c r="AN42" i="7"/>
  <c r="AP42" i="7" l="1"/>
  <c r="AN43" i="7"/>
  <c r="AP43" i="7" l="1"/>
  <c r="AN44" i="7"/>
  <c r="AP44" i="7" l="1"/>
  <c r="AN45" i="7"/>
  <c r="AP45" i="7" l="1"/>
  <c r="AN46" i="7"/>
  <c r="AP46" i="7" l="1"/>
  <c r="AN47" i="7"/>
  <c r="AP47" i="7" l="1"/>
  <c r="AN48" i="7"/>
  <c r="AP48" i="7" l="1"/>
  <c r="AN49" i="7"/>
  <c r="AP49" i="7" l="1"/>
  <c r="AN50" i="7"/>
  <c r="AN51" i="7" s="1"/>
  <c r="AP51" i="7" l="1"/>
  <c r="AN52" i="7"/>
  <c r="AP50" i="7"/>
  <c r="AP52" i="7" l="1"/>
  <c r="AN53" i="7"/>
  <c r="AN54" i="7" l="1"/>
  <c r="AP53" i="7"/>
  <c r="AQ50" i="7"/>
  <c r="AQ49" i="7" s="1"/>
  <c r="AP54" i="7" l="1"/>
  <c r="AN55" i="7"/>
  <c r="AR50" i="7"/>
  <c r="AR49" i="7"/>
  <c r="AQ48" i="7"/>
  <c r="AP55" i="7" l="1"/>
  <c r="AN56" i="7"/>
  <c r="AR48" i="7"/>
  <c r="AQ47" i="7"/>
  <c r="AP56" i="7" l="1"/>
  <c r="AN57" i="7"/>
  <c r="AR47" i="7"/>
  <c r="AP57" i="7" l="1"/>
  <c r="AN58" i="7"/>
  <c r="AP58" i="7" l="1"/>
  <c r="AN59" i="7"/>
  <c r="AP59" i="7" l="1"/>
  <c r="AN60" i="7"/>
  <c r="AQ58" i="7"/>
  <c r="AQ57" i="7" s="1"/>
  <c r="AR58" i="7"/>
  <c r="AP60" i="7" l="1"/>
  <c r="AQ60" i="7" s="1"/>
  <c r="AN61" i="7"/>
  <c r="AQ59" i="7"/>
  <c r="AR59" i="7"/>
  <c r="AR57" i="7"/>
  <c r="AR60" i="7" l="1"/>
  <c r="AP61" i="7"/>
  <c r="AR12" i="7"/>
  <c r="AR67" i="7" l="1"/>
  <c r="AS67" i="7" s="1"/>
  <c r="AR63" i="7"/>
  <c r="AR62" i="7"/>
  <c r="AR64" i="7"/>
  <c r="AR66" i="7"/>
  <c r="AR65" i="7"/>
  <c r="AQ61" i="7"/>
  <c r="AQ56" i="7" s="1"/>
  <c r="AR61" i="7"/>
  <c r="AQ17" i="7"/>
  <c r="AR17" i="7" s="1"/>
  <c r="AS66" i="7" l="1"/>
  <c r="AS62" i="7"/>
  <c r="AQ55" i="7"/>
  <c r="AR56" i="7"/>
  <c r="AS56" i="7" s="1"/>
  <c r="AS65" i="7"/>
  <c r="AS63" i="7"/>
  <c r="AS59" i="7"/>
  <c r="AS58" i="7"/>
  <c r="AS57" i="7"/>
  <c r="AS61" i="7"/>
  <c r="AS60" i="7"/>
  <c r="AS64" i="7"/>
  <c r="AQ16" i="7"/>
  <c r="AQ54" i="7" l="1"/>
  <c r="AR55" i="7"/>
  <c r="AS55" i="7" s="1"/>
  <c r="AR16" i="7"/>
  <c r="AQ53" i="7" l="1"/>
  <c r="AR54" i="7"/>
  <c r="AS54" i="7" s="1"/>
  <c r="AQ52" i="7" l="1"/>
  <c r="AR53" i="7"/>
  <c r="AS53" i="7" s="1"/>
  <c r="AR52" i="7" l="1"/>
  <c r="AS52" i="7" s="1"/>
  <c r="AQ51" i="7"/>
  <c r="AQ25" i="7"/>
  <c r="AQ46" i="7" l="1"/>
  <c r="AR46" i="7" s="1"/>
  <c r="AR51" i="7"/>
  <c r="AS49" i="7" s="1"/>
  <c r="AS50" i="7"/>
  <c r="AS47" i="7"/>
  <c r="AR25" i="7"/>
  <c r="AQ24" i="7"/>
  <c r="AS46" i="7" l="1"/>
  <c r="AQ45" i="7"/>
  <c r="AS51" i="7"/>
  <c r="AS48" i="7"/>
  <c r="AQ15" i="7"/>
  <c r="AR15" i="7" s="1"/>
  <c r="AQ23" i="7"/>
  <c r="AR24" i="7"/>
  <c r="AQ44" i="7" l="1"/>
  <c r="AR45" i="7"/>
  <c r="AS45" i="7" s="1"/>
  <c r="AR23" i="7"/>
  <c r="AQ22" i="7"/>
  <c r="AQ43" i="7" l="1"/>
  <c r="AR44" i="7"/>
  <c r="AS44" i="7" s="1"/>
  <c r="AQ21" i="7"/>
  <c r="AR22" i="7"/>
  <c r="AQ42" i="7" l="1"/>
  <c r="AR43" i="7"/>
  <c r="AS43" i="7" s="1"/>
  <c r="AR21" i="7"/>
  <c r="AQ41" i="7" l="1"/>
  <c r="AR42" i="7"/>
  <c r="AS42" i="7" s="1"/>
  <c r="AQ14" i="7"/>
  <c r="AR14" i="7" s="1"/>
  <c r="AR41" i="7" l="1"/>
  <c r="AS41" i="7" s="1"/>
  <c r="AQ40" i="7"/>
  <c r="AR40" i="7" l="1"/>
  <c r="AS40" i="7" s="1"/>
  <c r="AQ39" i="7"/>
  <c r="AR37" i="7"/>
  <c r="AQ36" i="7"/>
  <c r="AR39" i="7" l="1"/>
  <c r="AS39" i="7" s="1"/>
  <c r="AQ38" i="7"/>
  <c r="AQ35" i="7"/>
  <c r="AR36" i="7"/>
  <c r="AQ37" i="7" l="1"/>
  <c r="AR38" i="7"/>
  <c r="AR35" i="7"/>
  <c r="AS35" i="7" s="1"/>
  <c r="AQ34" i="7"/>
  <c r="AS37" i="7" l="1"/>
  <c r="AS38" i="7"/>
  <c r="AS36" i="7"/>
  <c r="AR34" i="7"/>
  <c r="AS34" i="7" s="1"/>
  <c r="AQ33" i="7"/>
  <c r="AR33" i="7" l="1"/>
  <c r="AQ31" i="7"/>
  <c r="AR31" i="7" l="1"/>
  <c r="AS31" i="7" s="1"/>
  <c r="AQ30" i="7"/>
  <c r="AS32" i="7"/>
  <c r="AS33" i="7"/>
  <c r="AR30" i="7" l="1"/>
  <c r="AS30" i="7" s="1"/>
  <c r="AQ29" i="7"/>
  <c r="AR29" i="7" l="1"/>
  <c r="AS29" i="7" s="1"/>
  <c r="AQ28" i="7"/>
  <c r="AR28" i="7" l="1"/>
  <c r="AS28" i="7" s="1"/>
  <c r="AQ27" i="7"/>
  <c r="AQ26" i="7" s="1"/>
  <c r="AR26" i="7" s="1"/>
  <c r="AR27" i="7" l="1"/>
  <c r="AQ20" i="7"/>
  <c r="AR20" i="7" s="1"/>
  <c r="BK78" i="7" l="1"/>
  <c r="AX27" i="7" s="1"/>
  <c r="BK73" i="7"/>
  <c r="AX22" i="7" s="1"/>
  <c r="BK66" i="7"/>
  <c r="AX15" i="7" s="1"/>
  <c r="BK65" i="7"/>
  <c r="AX14" i="7" s="1"/>
  <c r="BK70" i="7"/>
  <c r="AX19" i="7" s="1"/>
  <c r="BK72" i="7"/>
  <c r="AX21" i="7" s="1"/>
  <c r="BK68" i="7"/>
  <c r="AX17" i="7" s="1"/>
  <c r="BK93" i="7"/>
  <c r="BK84" i="7"/>
  <c r="AS16" i="7"/>
  <c r="AS20" i="7"/>
  <c r="BK87" i="7"/>
  <c r="AS15" i="7"/>
  <c r="BK89" i="7"/>
  <c r="BK58" i="7"/>
  <c r="AX7" i="7" s="1"/>
  <c r="BK67" i="7"/>
  <c r="AX16" i="7" s="1"/>
  <c r="BK83" i="7"/>
  <c r="AX32" i="7" s="1"/>
  <c r="BK79" i="7"/>
  <c r="AX28" i="7" s="1"/>
  <c r="BK86" i="7"/>
  <c r="BK63" i="7"/>
  <c r="AX12" i="7" s="1"/>
  <c r="BK76" i="7"/>
  <c r="AX25" i="7" s="1"/>
  <c r="BK69" i="7"/>
  <c r="AX18" i="7" s="1"/>
  <c r="BK82" i="7"/>
  <c r="AX31" i="7" s="1"/>
  <c r="BK62" i="7"/>
  <c r="AX11" i="7" s="1"/>
  <c r="BK90" i="7"/>
  <c r="BK60" i="7"/>
  <c r="AX9" i="7" s="1"/>
  <c r="BK77" i="7"/>
  <c r="AX26" i="7" s="1"/>
  <c r="BK92" i="7"/>
  <c r="AS14" i="7"/>
  <c r="AS19" i="7"/>
  <c r="BK74" i="7"/>
  <c r="AX23" i="7" s="1"/>
  <c r="BK80" i="7"/>
  <c r="AX29" i="7" s="1"/>
  <c r="BK85" i="7"/>
  <c r="BK75" i="7"/>
  <c r="AX24" i="7" s="1"/>
  <c r="AS18" i="7"/>
  <c r="BK71" i="7"/>
  <c r="AX20" i="7" s="1"/>
  <c r="BK81" i="7"/>
  <c r="AX30" i="7" s="1"/>
  <c r="AS17" i="7"/>
  <c r="BK91" i="7"/>
  <c r="BK64" i="7"/>
  <c r="AX13" i="7" s="1"/>
  <c r="BK54" i="7"/>
  <c r="BK88" i="7"/>
  <c r="BK55" i="7"/>
  <c r="AX4" i="7" s="1"/>
  <c r="BK61" i="7"/>
  <c r="AX10" i="7" s="1"/>
  <c r="AS26" i="7"/>
  <c r="AS25" i="7"/>
  <c r="AS23" i="7"/>
  <c r="AS24" i="7"/>
  <c r="AS27" i="7"/>
  <c r="AS21" i="7"/>
  <c r="BK57" i="7" s="1"/>
  <c r="AX6" i="7" s="1"/>
  <c r="AS22" i="7"/>
  <c r="BK59" i="7" l="1"/>
  <c r="AX8" i="7" s="1"/>
  <c r="BK56" i="7"/>
  <c r="AX5" i="7" s="1"/>
  <c r="AX3" i="7"/>
  <c r="BK97" i="7" l="1"/>
  <c r="BK99" i="7"/>
  <c r="BK95" i="7"/>
  <c r="BK96" i="7" s="1"/>
  <c r="BK98" i="7" s="1"/>
  <c r="BK100" i="7" s="1"/>
  <c r="BK101" i="7"/>
  <c r="AX34" i="7"/>
  <c r="BL105" i="7" l="1"/>
  <c r="BK102" i="7"/>
  <c r="BL113" i="7"/>
  <c r="BL112" i="7"/>
  <c r="BL115" i="7"/>
  <c r="BL114" i="7"/>
  <c r="BL110" i="7"/>
  <c r="BL111" i="7" s="1"/>
  <c r="BM110" i="7" l="1"/>
  <c r="BM111" i="7" s="1"/>
  <c r="BN112" i="7" s="1"/>
  <c r="AW6" i="7" l="1"/>
  <c r="AW31" i="7"/>
  <c r="AW11" i="7"/>
  <c r="AW23" i="7"/>
  <c r="AW24" i="7"/>
  <c r="AW15" i="7"/>
  <c r="AW9" i="7"/>
  <c r="AW8" i="7"/>
  <c r="AW16" i="7"/>
  <c r="AW21" i="7"/>
  <c r="AW22" i="7"/>
  <c r="AW17" i="7"/>
  <c r="AW19" i="7"/>
  <c r="AW28" i="7"/>
  <c r="AW13" i="7"/>
  <c r="AW29" i="7"/>
  <c r="AW3" i="7"/>
  <c r="AW4" i="7"/>
  <c r="AW7" i="7"/>
  <c r="AW25" i="7"/>
  <c r="AW30" i="7"/>
  <c r="AW10" i="7"/>
  <c r="AW18" i="7"/>
  <c r="AW20" i="7"/>
  <c r="AW12" i="7"/>
  <c r="AW32" i="7"/>
  <c r="AW27" i="7"/>
  <c r="AW26" i="7"/>
  <c r="AW14" i="7"/>
  <c r="AW5" i="7"/>
  <c r="BM112" i="7"/>
  <c r="BN113" i="7" s="1"/>
  <c r="BM115" i="7"/>
  <c r="BM113" i="7"/>
  <c r="BM114" i="7"/>
  <c r="AW55" i="7" l="1"/>
  <c r="BN114" i="7"/>
  <c r="AW88" i="7" s="1"/>
  <c r="AW98" i="7"/>
  <c r="AW89" i="7"/>
  <c r="AW91" i="7"/>
  <c r="AW106" i="7"/>
  <c r="AW102" i="7"/>
  <c r="AW56" i="7"/>
  <c r="AW65" i="7"/>
  <c r="AW51" i="7"/>
  <c r="AW66" i="7"/>
  <c r="AW63" i="7"/>
  <c r="AW58" i="7"/>
  <c r="AW72" i="7"/>
  <c r="AW60" i="7"/>
  <c r="AW53" i="7"/>
  <c r="AW67" i="7"/>
  <c r="AW49" i="7"/>
  <c r="AW45" i="7"/>
  <c r="AW64" i="7"/>
  <c r="AW62" i="7"/>
  <c r="AW59" i="7"/>
  <c r="AW47" i="7"/>
  <c r="AW57" i="7"/>
  <c r="AW54" i="7"/>
  <c r="AW68" i="7"/>
  <c r="AW52" i="7"/>
  <c r="AW61" i="7"/>
  <c r="AW48" i="7"/>
  <c r="AW43" i="7"/>
  <c r="AW44" i="7"/>
  <c r="AW70" i="7"/>
  <c r="AW71" i="7"/>
  <c r="AW46" i="7"/>
  <c r="AW50" i="7"/>
  <c r="AW69" i="7"/>
  <c r="AZ2" i="7"/>
  <c r="AX2" i="7"/>
  <c r="AW85" i="7" l="1"/>
  <c r="AW101" i="7"/>
  <c r="AW96" i="7"/>
  <c r="AW104" i="7"/>
  <c r="AW84" i="7"/>
  <c r="AW107" i="7"/>
  <c r="AW95" i="7"/>
  <c r="AW82" i="7"/>
  <c r="AW103" i="7"/>
  <c r="AW87" i="7"/>
  <c r="AW92" i="7"/>
  <c r="AW83" i="7"/>
  <c r="AW99" i="7"/>
  <c r="AW93" i="7"/>
  <c r="AW108" i="7"/>
  <c r="AW94" i="7"/>
  <c r="AY3" i="7"/>
  <c r="AY4" i="7" s="1"/>
  <c r="AY5" i="7" s="1"/>
  <c r="AY6" i="7" s="1"/>
  <c r="AY7" i="7" s="1"/>
  <c r="AW97" i="7"/>
  <c r="BN115" i="7"/>
  <c r="AW128" i="7" s="1"/>
  <c r="AW139" i="7"/>
  <c r="AW145" i="7"/>
  <c r="AW137" i="7"/>
  <c r="AW86" i="7"/>
  <c r="AW90" i="7"/>
  <c r="AW111" i="7"/>
  <c r="AW100" i="7"/>
  <c r="AW105" i="7"/>
  <c r="AW110" i="7"/>
  <c r="AW109" i="7"/>
  <c r="AW138" i="7" l="1"/>
  <c r="AW135" i="7"/>
  <c r="AW132" i="7"/>
  <c r="AW127" i="7"/>
  <c r="AW123" i="7"/>
  <c r="AW136" i="7"/>
  <c r="AW134" i="7"/>
  <c r="AW121" i="7"/>
  <c r="AW146" i="7"/>
  <c r="AW140" i="7"/>
  <c r="AW124" i="7"/>
  <c r="AW147" i="7"/>
  <c r="AW149" i="7"/>
  <c r="AW129" i="7"/>
  <c r="AW131" i="7"/>
  <c r="AW143" i="7"/>
  <c r="AW125" i="7"/>
  <c r="AW130" i="7"/>
  <c r="AW126" i="7"/>
  <c r="AW148" i="7"/>
  <c r="AW142" i="7"/>
  <c r="AW141" i="7"/>
  <c r="AW144" i="7"/>
  <c r="BN116" i="7"/>
  <c r="AW170" i="7" s="1"/>
  <c r="AW150" i="7"/>
  <c r="AW133" i="7"/>
  <c r="AW122" i="7"/>
  <c r="AZ3" i="7"/>
  <c r="BA3" i="7" s="1"/>
  <c r="BB3" i="7" s="1"/>
  <c r="BC3" i="7" s="1"/>
  <c r="BD3" i="7" s="1"/>
  <c r="BE3" i="7" s="1"/>
  <c r="BF3" i="7" s="1"/>
  <c r="BG3" i="7" s="1"/>
  <c r="AY8" i="7"/>
  <c r="AY9" i="7" s="1"/>
  <c r="AY10" i="7" s="1"/>
  <c r="AY11" i="7" s="1"/>
  <c r="AY12" i="7" s="1"/>
  <c r="AY13" i="7" s="1"/>
  <c r="AY14" i="7" s="1"/>
  <c r="AY15" i="7" s="1"/>
  <c r="AY16" i="7" s="1"/>
  <c r="AY17" i="7" s="1"/>
  <c r="AY18" i="7" s="1"/>
  <c r="AY19" i="7" s="1"/>
  <c r="AY20" i="7" s="1"/>
  <c r="AY21" i="7" s="1"/>
  <c r="AY22" i="7" s="1"/>
  <c r="AY23" i="7" s="1"/>
  <c r="AY24" i="7" s="1"/>
  <c r="AY25" i="7" s="1"/>
  <c r="AY26" i="7" s="1"/>
  <c r="AY27" i="7" s="1"/>
  <c r="AY28" i="7" s="1"/>
  <c r="AY29" i="7" s="1"/>
  <c r="AY30" i="7" s="1"/>
  <c r="AY31" i="7" s="1"/>
  <c r="AY32" i="7" s="1"/>
  <c r="AY33" i="7" s="1"/>
  <c r="AW179" i="7" l="1"/>
  <c r="AW163" i="7"/>
  <c r="AW166" i="7"/>
  <c r="AW177" i="7"/>
  <c r="AW180" i="7"/>
  <c r="AW182" i="7"/>
  <c r="AW178" i="7"/>
  <c r="AW168" i="7"/>
  <c r="AW173" i="7"/>
  <c r="AW187" i="7"/>
  <c r="AW169" i="7"/>
  <c r="AW185" i="7"/>
  <c r="AW161" i="7"/>
  <c r="AW164" i="7"/>
  <c r="AW165" i="7"/>
  <c r="AW171" i="7"/>
  <c r="AZ4" i="7"/>
  <c r="AZ5" i="7" s="1"/>
  <c r="AZ6" i="7" s="1"/>
  <c r="AW174" i="7"/>
  <c r="AW183" i="7"/>
  <c r="AW175" i="7"/>
  <c r="AW176" i="7"/>
  <c r="AW184" i="7"/>
  <c r="AW181" i="7"/>
  <c r="AW162" i="7"/>
  <c r="AW188" i="7"/>
  <c r="AW160" i="7"/>
  <c r="AW172" i="7"/>
  <c r="AW189" i="7"/>
  <c r="AW186" i="7"/>
  <c r="AW167" i="7"/>
  <c r="AY35" i="7"/>
  <c r="AY34" i="7"/>
  <c r="AY36" i="7" s="1"/>
  <c r="AZ7" i="7" l="1"/>
  <c r="AZ8" i="7" s="1"/>
  <c r="AZ9" i="7" s="1"/>
  <c r="AZ10" i="7" s="1"/>
  <c r="AZ11" i="7" s="1"/>
  <c r="AZ12" i="7" s="1"/>
  <c r="AZ13" i="7" s="1"/>
  <c r="AZ14" i="7" l="1"/>
  <c r="AZ15" i="7" s="1"/>
  <c r="AZ16" i="7" s="1"/>
  <c r="AZ17" i="7" s="1"/>
  <c r="AZ18" i="7" s="1"/>
  <c r="AZ19" i="7" s="1"/>
  <c r="AZ20" i="7" s="1"/>
  <c r="AZ21" i="7" s="1"/>
  <c r="AZ22" i="7" s="1"/>
  <c r="AZ23" i="7" s="1"/>
  <c r="AZ24" i="7" s="1"/>
  <c r="AZ25" i="7" s="1"/>
  <c r="AZ26" i="7" s="1"/>
  <c r="AZ27" i="7" s="1"/>
  <c r="AZ28" i="7" l="1"/>
  <c r="AZ29" i="7" s="1"/>
  <c r="AZ30" i="7" s="1"/>
  <c r="AZ31" i="7" s="1"/>
  <c r="AZ32" i="7" l="1"/>
  <c r="AZ33" i="7" s="1"/>
  <c r="AZ34" i="7" s="1"/>
  <c r="AZ35" i="7" l="1"/>
  <c r="AZ36" i="7"/>
  <c r="AZ38" i="7"/>
  <c r="BA4" i="7" s="1"/>
  <c r="BA5" i="7" l="1"/>
  <c r="BA6" i="7" s="1"/>
  <c r="BA7" i="7" l="1"/>
  <c r="BA8" i="7" s="1"/>
  <c r="BA9" i="7" s="1"/>
  <c r="BA10" i="7" s="1"/>
  <c r="BA11" i="7" s="1"/>
  <c r="BA12" i="7" s="1"/>
  <c r="BA13" i="7" s="1"/>
  <c r="BA14" i="7" s="1"/>
  <c r="BA15" i="7" s="1"/>
  <c r="BA16" i="7" s="1"/>
  <c r="BA17" i="7" s="1"/>
  <c r="BA18" i="7" s="1"/>
  <c r="BA19" i="7" s="1"/>
  <c r="BA20" i="7" s="1"/>
  <c r="BA21" i="7" s="1"/>
  <c r="BA22" i="7" s="1"/>
  <c r="BA23" i="7" s="1"/>
  <c r="BA24" i="7" s="1"/>
  <c r="BA25" i="7" s="1"/>
  <c r="BA26" i="7" s="1"/>
  <c r="BA27" i="7" l="1"/>
  <c r="BA28" i="7" s="1"/>
  <c r="BA29" i="7" s="1"/>
  <c r="BA30" i="7" s="1"/>
  <c r="BA31" i="7" l="1"/>
  <c r="BA32" i="7" s="1"/>
  <c r="BA33" i="7" s="1"/>
  <c r="BA37" i="7" l="1"/>
  <c r="BA34" i="7"/>
  <c r="BA38" i="7" s="1"/>
  <c r="BB4" i="7" s="1"/>
  <c r="BB5" i="7" s="1"/>
  <c r="BB6" i="7" s="1"/>
  <c r="BB7" i="7" s="1"/>
  <c r="BB8" i="7" s="1"/>
  <c r="BB9" i="7" s="1"/>
  <c r="BB10" i="7" s="1"/>
  <c r="BB11" i="7" s="1"/>
  <c r="BB12" i="7" s="1"/>
  <c r="BB13" i="7" s="1"/>
  <c r="BB14" i="7" s="1"/>
  <c r="BB15" i="7" s="1"/>
  <c r="BB16" i="7" s="1"/>
  <c r="BB17" i="7" s="1"/>
  <c r="BB18" i="7" s="1"/>
  <c r="BB19" i="7" s="1"/>
  <c r="BB20" i="7" s="1"/>
  <c r="BB21" i="7" s="1"/>
  <c r="BB22" i="7" s="1"/>
  <c r="BB23" i="7" s="1"/>
  <c r="BB24" i="7" s="1"/>
  <c r="BB25" i="7" s="1"/>
  <c r="BB26" i="7" s="1"/>
  <c r="BB27" i="7" s="1"/>
  <c r="BB28" i="7" s="1"/>
  <c r="BB29" i="7" s="1"/>
  <c r="BB30" i="7" s="1"/>
  <c r="BB31" i="7" s="1"/>
  <c r="BB32" i="7" s="1"/>
  <c r="BB33" i="7" s="1"/>
  <c r="BB37" i="7" l="1"/>
  <c r="BB34" i="7"/>
  <c r="BB38" i="7" s="1"/>
  <c r="BC4" i="7" s="1"/>
  <c r="BC5" i="7" s="1"/>
  <c r="BC6" i="7" s="1"/>
  <c r="BC7" i="7" s="1"/>
  <c r="BC8" i="7" s="1"/>
  <c r="BC9" i="7" s="1"/>
  <c r="BC10" i="7" s="1"/>
  <c r="BC11" i="7" s="1"/>
  <c r="BC12" i="7" s="1"/>
  <c r="BC13" i="7" s="1"/>
  <c r="BC14" i="7" s="1"/>
  <c r="BC15" i="7" s="1"/>
  <c r="BC16" i="7" s="1"/>
  <c r="BC17" i="7" s="1"/>
  <c r="BC18" i="7" s="1"/>
  <c r="BC19" i="7" s="1"/>
  <c r="BC20" i="7" s="1"/>
  <c r="BC21" i="7" s="1"/>
  <c r="BC22" i="7" s="1"/>
  <c r="BC23" i="7" s="1"/>
  <c r="BC24" i="7" s="1"/>
  <c r="BC25" i="7" s="1"/>
  <c r="BC26" i="7" s="1"/>
  <c r="BC27" i="7" s="1"/>
  <c r="BC28" i="7" s="1"/>
  <c r="BC29" i="7" s="1"/>
  <c r="BC30" i="7" s="1"/>
  <c r="BC31" i="7" s="1"/>
  <c r="BC32" i="7" s="1"/>
  <c r="BC33" i="7" s="1"/>
  <c r="BC34" i="7" l="1"/>
  <c r="BC38" i="7" s="1"/>
  <c r="BD4" i="7" s="1"/>
  <c r="BC37" i="7"/>
  <c r="BD5" i="7" l="1"/>
  <c r="BD6" i="7" s="1"/>
  <c r="BD7" i="7" s="1"/>
  <c r="BD8" i="7" s="1"/>
  <c r="BD9" i="7" l="1"/>
  <c r="BD10" i="7" s="1"/>
  <c r="BD11" i="7" s="1"/>
  <c r="BD12" i="7" s="1"/>
  <c r="BD13" i="7" s="1"/>
  <c r="BD14" i="7" s="1"/>
  <c r="BD15" i="7" s="1"/>
  <c r="BD16" i="7" s="1"/>
  <c r="BD17" i="7" s="1"/>
  <c r="BD18" i="7" s="1"/>
  <c r="BD19" i="7" s="1"/>
  <c r="BD20" i="7" s="1"/>
  <c r="BD21" i="7" s="1"/>
  <c r="BD22" i="7" s="1"/>
  <c r="BD23" i="7" s="1"/>
  <c r="BD24" i="7" s="1"/>
  <c r="BD25" i="7" s="1"/>
  <c r="BD26" i="7" s="1"/>
  <c r="BD27" i="7" s="1"/>
  <c r="BD28" i="7" s="1"/>
  <c r="BD29" i="7" s="1"/>
  <c r="BD30" i="7" s="1"/>
  <c r="BD31" i="7" s="1"/>
  <c r="BD32" i="7" s="1"/>
  <c r="BD33" i="7" s="1"/>
  <c r="BD34" i="7" l="1"/>
  <c r="BD38" i="7" s="1"/>
  <c r="BE4" i="7" s="1"/>
  <c r="BD37" i="7"/>
  <c r="BE5" i="7" l="1"/>
  <c r="BE6" i="7" s="1"/>
  <c r="BE7" i="7" l="1"/>
  <c r="BE8" i="7" s="1"/>
  <c r="BE9" i="7" l="1"/>
  <c r="BE10" i="7" s="1"/>
  <c r="BE11" i="7" l="1"/>
  <c r="BE12" i="7" s="1"/>
  <c r="BE13" i="7" s="1"/>
  <c r="BE14" i="7" s="1"/>
  <c r="BE15" i="7" s="1"/>
  <c r="BE16" i="7" s="1"/>
  <c r="BE17" i="7" s="1"/>
  <c r="BE18" i="7" s="1"/>
  <c r="BE19" i="7" s="1"/>
  <c r="BE20" i="7" s="1"/>
  <c r="BE21" i="7" s="1"/>
  <c r="BE22" i="7" s="1"/>
  <c r="BE23" i="7" s="1"/>
  <c r="BE24" i="7" s="1"/>
  <c r="BE25" i="7" s="1"/>
  <c r="BE26" i="7" s="1"/>
  <c r="BE27" i="7" s="1"/>
  <c r="BE28" i="7" s="1"/>
  <c r="BE29" i="7" s="1"/>
  <c r="BE30" i="7" s="1"/>
  <c r="BE31" i="7" s="1"/>
  <c r="BE32" i="7" s="1"/>
  <c r="BE33" i="7" s="1"/>
  <c r="BE37" i="7" l="1"/>
  <c r="BE34" i="7"/>
  <c r="BE38" i="7" s="1"/>
  <c r="BF4" i="7" s="1"/>
  <c r="BF5" i="7" l="1"/>
  <c r="BG5" i="7" s="1"/>
  <c r="BG4" i="7"/>
  <c r="BF6" i="7" l="1"/>
  <c r="BG6" i="7" l="1"/>
  <c r="BF7" i="7"/>
  <c r="BG7" i="7" s="1"/>
  <c r="BF8" i="7" l="1"/>
  <c r="BG8" i="7" l="1"/>
  <c r="BF9" i="7"/>
  <c r="BG9" i="7" s="1"/>
  <c r="BF10" i="7" l="1"/>
  <c r="BG10" i="7" l="1"/>
  <c r="BF11" i="7"/>
  <c r="BG11" i="7" l="1"/>
  <c r="BF12" i="7"/>
  <c r="BG12" i="7" l="1"/>
  <c r="BF13" i="7"/>
  <c r="BG13" i="7" l="1"/>
  <c r="BF14" i="7"/>
  <c r="BF15" i="7" l="1"/>
  <c r="BG14" i="7"/>
  <c r="BG15" i="7" l="1"/>
  <c r="BF16" i="7"/>
  <c r="BF17" i="7" l="1"/>
  <c r="BG17" i="7" s="1"/>
  <c r="BG16" i="7"/>
  <c r="BF18" i="7" l="1"/>
  <c r="BG18" i="7" s="1"/>
  <c r="BF19" i="7" l="1"/>
  <c r="BG19" i="7" s="1"/>
  <c r="BF20" i="7" l="1"/>
  <c r="BG20" i="7" s="1"/>
  <c r="BF21" i="7" l="1"/>
  <c r="BG21" i="7" s="1"/>
  <c r="BF22" i="7" l="1"/>
  <c r="BG22" i="7" s="1"/>
  <c r="BF23" i="7" l="1"/>
  <c r="BG23" i="7" s="1"/>
  <c r="BF24" i="7" l="1"/>
  <c r="BG24" i="7" s="1"/>
  <c r="BF25" i="7"/>
  <c r="BG25" i="7" l="1"/>
  <c r="BF26" i="7"/>
  <c r="BG26" i="7" l="1"/>
  <c r="BF27" i="7"/>
  <c r="BG27" i="7" l="1"/>
  <c r="BF28" i="7"/>
  <c r="BG28" i="7" l="1"/>
  <c r="BF29" i="7"/>
  <c r="BG29" i="7" l="1"/>
  <c r="BF30" i="7"/>
  <c r="BG30" i="7" l="1"/>
  <c r="BF31" i="7"/>
  <c r="BG31" i="7" l="1"/>
  <c r="BF32" i="7"/>
  <c r="BG32" i="7" l="1"/>
  <c r="BF33" i="7"/>
  <c r="BF37" i="7" l="1"/>
  <c r="AY37" i="7" s="1"/>
  <c r="BF34" i="7"/>
  <c r="BL4" i="7" l="1"/>
  <c r="AN45" i="1" s="1"/>
  <c r="BK11" i="7"/>
  <c r="BN11" i="7" s="1"/>
  <c r="AO52" i="1" s="1"/>
  <c r="BL9" i="7"/>
  <c r="BK4" i="7"/>
  <c r="BK10" i="7"/>
  <c r="BN10" i="7" s="1"/>
  <c r="AO51" i="1" s="1"/>
  <c r="BL10" i="7"/>
  <c r="BL11" i="7"/>
  <c r="BK9" i="7"/>
  <c r="BN9" i="7" s="1"/>
  <c r="AO50" i="1" s="1"/>
  <c r="BG34" i="7"/>
  <c r="BF38" i="7"/>
  <c r="BG35" i="7"/>
  <c r="BH32" i="7" l="1"/>
  <c r="BH31" i="7" s="1"/>
  <c r="BH30" i="7" s="1"/>
  <c r="BH29" i="7" s="1"/>
  <c r="BH28" i="7" s="1"/>
  <c r="BH27" i="7" s="1"/>
  <c r="BH26" i="7" s="1"/>
  <c r="BH25" i="7" s="1"/>
  <c r="BH24" i="7" s="1"/>
  <c r="BH23" i="7" s="1"/>
  <c r="BH22" i="7" s="1"/>
  <c r="BH21" i="7" s="1"/>
  <c r="BH20" i="7" s="1"/>
  <c r="BH19" i="7" s="1"/>
  <c r="BH18" i="7" s="1"/>
  <c r="BH17" i="7" s="1"/>
  <c r="BH16" i="7" s="1"/>
  <c r="BH15" i="7" s="1"/>
  <c r="BH14" i="7" s="1"/>
  <c r="BH13" i="7" s="1"/>
  <c r="BH12" i="7" s="1"/>
  <c r="BH11" i="7" s="1"/>
  <c r="BH10" i="7" s="1"/>
  <c r="BH9" i="7" s="1"/>
  <c r="BH8" i="7" s="1"/>
  <c r="BH7" i="7" s="1"/>
  <c r="BH6" i="7" s="1"/>
  <c r="BH5" i="7" s="1"/>
  <c r="BH4" i="7" s="1"/>
  <c r="BH3" i="7" s="1"/>
  <c r="BH34" i="7" s="1"/>
  <c r="BH35" i="7" s="1"/>
  <c r="BG36" i="7"/>
  <c r="BN4" i="7"/>
  <c r="AO45" i="1" s="1"/>
  <c r="BM11" i="7"/>
  <c r="AE9" i="8" s="1"/>
  <c r="AN52" i="1"/>
  <c r="AN50" i="1"/>
  <c r="AN51" i="1"/>
  <c r="BM10" i="7"/>
  <c r="AE8" i="8" s="1"/>
  <c r="BD36" i="7" l="1"/>
  <c r="BL8" i="7" s="1"/>
  <c r="BA35" i="7"/>
  <c r="BK5" i="7" s="1"/>
  <c r="BF36" i="7"/>
  <c r="BF35" i="7"/>
  <c r="BA36" i="7"/>
  <c r="BL5" i="7" s="1"/>
  <c r="AN46" i="1" s="1"/>
  <c r="BB35" i="7"/>
  <c r="BK6" i="7" s="1"/>
  <c r="BN6" i="7" s="1"/>
  <c r="AO47" i="1" s="1"/>
  <c r="BI27" i="7"/>
  <c r="AX67" i="7" s="1"/>
  <c r="BB36" i="7"/>
  <c r="BL6" i="7" s="1"/>
  <c r="AN47" i="1" s="1"/>
  <c r="BE35" i="7"/>
  <c r="BD35" i="7"/>
  <c r="BK8" i="7" s="1"/>
  <c r="BN8" i="7" s="1"/>
  <c r="AO49" i="1" s="1"/>
  <c r="BC35" i="7"/>
  <c r="BK7" i="7" s="1"/>
  <c r="BN7" i="7" s="1"/>
  <c r="AO48" i="1" s="1"/>
  <c r="BE36" i="7"/>
  <c r="BC36" i="7"/>
  <c r="BL7" i="7" s="1"/>
  <c r="AN49" i="1"/>
  <c r="AN48" i="1"/>
  <c r="BI28" i="7"/>
  <c r="AX68" i="7" s="1"/>
  <c r="BI26" i="7"/>
  <c r="AX66" i="7" s="1"/>
  <c r="BI25" i="7"/>
  <c r="AX65" i="7" s="1"/>
  <c r="BI12" i="7"/>
  <c r="AX52" i="7" s="1"/>
  <c r="BI4" i="7"/>
  <c r="AX44" i="7" s="1"/>
  <c r="BI20" i="7"/>
  <c r="AX60" i="7" s="1"/>
  <c r="BI10" i="7"/>
  <c r="AX50" i="7" s="1"/>
  <c r="BI5" i="7"/>
  <c r="AX45" i="7" s="1"/>
  <c r="BI29" i="7"/>
  <c r="AX69" i="7" s="1"/>
  <c r="BI14" i="7"/>
  <c r="AX54" i="7" s="1"/>
  <c r="BI9" i="7"/>
  <c r="AX49" i="7" s="1"/>
  <c r="BI31" i="7"/>
  <c r="AX71" i="7" s="1"/>
  <c r="BI30" i="7"/>
  <c r="AX70" i="7" s="1"/>
  <c r="BI3" i="7"/>
  <c r="AX43" i="7" s="1"/>
  <c r="BI11" i="7"/>
  <c r="AX51" i="7" s="1"/>
  <c r="BI17" i="7"/>
  <c r="AX57" i="7" s="1"/>
  <c r="BI21" i="7"/>
  <c r="AX61" i="7" s="1"/>
  <c r="BI24" i="7"/>
  <c r="AX64" i="7" s="1"/>
  <c r="BI13" i="7"/>
  <c r="AX53" i="7" s="1"/>
  <c r="BI18" i="7"/>
  <c r="AX58" i="7" s="1"/>
  <c r="BI22" i="7"/>
  <c r="AX62" i="7" s="1"/>
  <c r="BI16" i="7"/>
  <c r="AX56" i="7" s="1"/>
  <c r="BI7" i="7"/>
  <c r="AX47" i="7" s="1"/>
  <c r="BI6" i="7"/>
  <c r="AX46" i="7" s="1"/>
  <c r="BI15" i="7"/>
  <c r="AX55" i="7" s="1"/>
  <c r="BI23" i="7"/>
  <c r="AX63" i="7" s="1"/>
  <c r="BI8" i="7"/>
  <c r="AX48" i="7" s="1"/>
  <c r="BI19" i="7"/>
  <c r="AX59" i="7" s="1"/>
  <c r="BI32" i="7"/>
  <c r="AX72" i="7" s="1"/>
  <c r="BM5" i="7" l="1"/>
  <c r="AE3" i="8" s="1"/>
  <c r="BN5" i="7"/>
  <c r="AO46" i="1" s="1"/>
  <c r="AO43" i="1" s="1"/>
  <c r="AX74" i="7"/>
  <c r="AZ42" i="7"/>
  <c r="AX42" i="7"/>
  <c r="BM6" i="7"/>
  <c r="AY43" i="7" l="1"/>
  <c r="AY44" i="7" s="1"/>
  <c r="AY45" i="7" s="1"/>
  <c r="AY46" i="7" s="1"/>
  <c r="AY47" i="7" s="1"/>
  <c r="AY48" i="7" s="1"/>
  <c r="AZ43" i="7"/>
  <c r="AE4" i="8"/>
  <c r="BM7" i="7"/>
  <c r="AY49" i="7" l="1"/>
  <c r="AY50" i="7" s="1"/>
  <c r="AY51" i="7" s="1"/>
  <c r="BA43" i="7"/>
  <c r="BB43" i="7" s="1"/>
  <c r="BC43" i="7" s="1"/>
  <c r="AE5" i="8"/>
  <c r="BM8" i="7"/>
  <c r="AZ44" i="7"/>
  <c r="AY52" i="7" l="1"/>
  <c r="AY53" i="7" s="1"/>
  <c r="BD43" i="7"/>
  <c r="BE43" i="7" s="1"/>
  <c r="BF43" i="7" s="1"/>
  <c r="AZ45" i="7"/>
  <c r="AZ46" i="7" s="1"/>
  <c r="AE6" i="8"/>
  <c r="AE2" i="8" s="1"/>
  <c r="BM9" i="7"/>
  <c r="AE7" i="8" s="1"/>
  <c r="BG43" i="7" l="1"/>
  <c r="AY54" i="7"/>
  <c r="AZ47" i="7"/>
  <c r="AZ48" i="7" s="1"/>
  <c r="AZ49" i="7" l="1"/>
  <c r="AZ50" i="7" s="1"/>
  <c r="AY55" i="7"/>
  <c r="AY56" i="7" s="1"/>
  <c r="AZ51" i="7" l="1"/>
  <c r="AY57" i="7"/>
  <c r="AY58" i="7" s="1"/>
  <c r="AY59" i="7" s="1"/>
  <c r="AZ52" i="7" l="1"/>
  <c r="AY60" i="7"/>
  <c r="AZ53" i="7" l="1"/>
  <c r="AZ54" i="7" s="1"/>
  <c r="AY61" i="7"/>
  <c r="AZ55" i="7" l="1"/>
  <c r="AY62" i="7"/>
  <c r="AZ56" i="7" l="1"/>
  <c r="AY63" i="7"/>
  <c r="AZ57" i="7" l="1"/>
  <c r="AZ58" i="7" s="1"/>
  <c r="AZ59" i="7" s="1"/>
  <c r="AZ60" i="7" s="1"/>
  <c r="AY64" i="7"/>
  <c r="AZ61" i="7" l="1"/>
  <c r="AZ62" i="7" s="1"/>
  <c r="AY65" i="7"/>
  <c r="AY66" i="7" l="1"/>
  <c r="AZ63" i="7"/>
  <c r="AZ64" i="7" l="1"/>
  <c r="AY67" i="7"/>
  <c r="AY68" i="7" l="1"/>
  <c r="AZ65" i="7"/>
  <c r="AZ66" i="7" l="1"/>
  <c r="AY69" i="7"/>
  <c r="AY70" i="7" l="1"/>
  <c r="AZ67" i="7"/>
  <c r="AZ68" i="7" l="1"/>
  <c r="AY71" i="7"/>
  <c r="AY72" i="7" l="1"/>
  <c r="AZ69" i="7"/>
  <c r="AY73" i="7" l="1"/>
  <c r="AZ70" i="7"/>
  <c r="AZ71" i="7" l="1"/>
  <c r="AY74" i="7"/>
  <c r="AY76" i="7" s="1"/>
  <c r="AY75" i="7"/>
  <c r="AZ72" i="7" l="1"/>
  <c r="AZ73" i="7" l="1"/>
  <c r="AZ74" i="7" l="1"/>
  <c r="AZ75" i="7"/>
  <c r="AZ76" i="7" l="1"/>
  <c r="AZ78" i="7"/>
  <c r="BA44" i="7" l="1"/>
  <c r="BA45" i="7" l="1"/>
  <c r="BA46" i="7" l="1"/>
  <c r="BA47" i="7" l="1"/>
  <c r="BA48" i="7" l="1"/>
  <c r="BA49" i="7" s="1"/>
  <c r="BA50" i="7" l="1"/>
  <c r="BA51" i="7" l="1"/>
  <c r="BA52" i="7" l="1"/>
  <c r="BA53" i="7" l="1"/>
  <c r="BA54" i="7" l="1"/>
  <c r="BA55" i="7" l="1"/>
  <c r="BA56" i="7" l="1"/>
  <c r="BA57" i="7" l="1"/>
  <c r="BA58" i="7" l="1"/>
  <c r="BA59" i="7" l="1"/>
  <c r="BA60" i="7" l="1"/>
  <c r="BA61" i="7" l="1"/>
  <c r="BA62" i="7" l="1"/>
  <c r="BA63" i="7" l="1"/>
  <c r="BA64" i="7" l="1"/>
  <c r="BA65" i="7" l="1"/>
  <c r="BA66" i="7" l="1"/>
  <c r="BA67" i="7" l="1"/>
  <c r="BA68" i="7" l="1"/>
  <c r="BA69" i="7" l="1"/>
  <c r="BA70" i="7" l="1"/>
  <c r="BA71" i="7" l="1"/>
  <c r="BA72" i="7" l="1"/>
  <c r="BA73" i="7" l="1"/>
  <c r="BA74" i="7" l="1"/>
  <c r="BA78" i="7" s="1"/>
  <c r="BA77" i="7"/>
  <c r="BB44" i="7" l="1"/>
  <c r="BB45" i="7" l="1"/>
  <c r="BB46" i="7" l="1"/>
  <c r="BB47" i="7" l="1"/>
  <c r="BB48" i="7" l="1"/>
  <c r="BB49" i="7" l="1"/>
  <c r="BB50" i="7" l="1"/>
  <c r="BB51" i="7" l="1"/>
  <c r="BB52" i="7" l="1"/>
  <c r="BB53" i="7" l="1"/>
  <c r="BB54" i="7" l="1"/>
  <c r="BB55" i="7" l="1"/>
  <c r="BB56" i="7" l="1"/>
  <c r="BB57" i="7" l="1"/>
  <c r="BB58" i="7" l="1"/>
  <c r="BB59" i="7" l="1"/>
  <c r="BB60" i="7" l="1"/>
  <c r="BB61" i="7" l="1"/>
  <c r="BB62" i="7" l="1"/>
  <c r="BB63" i="7" l="1"/>
  <c r="BB64" i="7" l="1"/>
  <c r="BB65" i="7" l="1"/>
  <c r="BB66" i="7" l="1"/>
  <c r="BB67" i="7" l="1"/>
  <c r="BB68" i="7" l="1"/>
  <c r="BB69" i="7" l="1"/>
  <c r="BB70" i="7" l="1"/>
  <c r="BB71" i="7" l="1"/>
  <c r="BB72" i="7" l="1"/>
  <c r="BB73" i="7" l="1"/>
  <c r="BB74" i="7" l="1"/>
  <c r="BB78" i="7" s="1"/>
  <c r="BB77" i="7"/>
  <c r="BC44" i="7" l="1"/>
  <c r="BC45" i="7" s="1"/>
  <c r="BC46" i="7" l="1"/>
  <c r="BC47" i="7" l="1"/>
  <c r="BC48" i="7" l="1"/>
  <c r="BC49" i="7" l="1"/>
  <c r="BC50" i="7" l="1"/>
  <c r="BC51" i="7" s="1"/>
  <c r="BC52" i="7" s="1"/>
  <c r="BC53" i="7" s="1"/>
  <c r="BC54" i="7" s="1"/>
  <c r="BC55" i="7" s="1"/>
  <c r="BC56" i="7" s="1"/>
  <c r="BC57" i="7" s="1"/>
  <c r="BC58" i="7" s="1"/>
  <c r="BC59" i="7" s="1"/>
  <c r="BC60" i="7" s="1"/>
  <c r="BC61" i="7" s="1"/>
  <c r="BC62" i="7" s="1"/>
  <c r="BC63" i="7" s="1"/>
  <c r="BC64" i="7" s="1"/>
  <c r="BC65" i="7" s="1"/>
  <c r="BC66" i="7" s="1"/>
  <c r="BC67" i="7" s="1"/>
  <c r="BC68" i="7" s="1"/>
  <c r="BC69" i="7" s="1"/>
  <c r="BC70" i="7" s="1"/>
  <c r="BC71" i="7" s="1"/>
  <c r="BC72" i="7" s="1"/>
  <c r="BC73" i="7" s="1"/>
  <c r="BC77" i="7" l="1"/>
  <c r="BC74" i="7"/>
  <c r="BC78" i="7" s="1"/>
  <c r="BD44" i="7" l="1"/>
  <c r="BD45" i="7" s="1"/>
  <c r="BD46" i="7" l="1"/>
  <c r="BD47" i="7" l="1"/>
  <c r="BD48" i="7" l="1"/>
  <c r="BD49" i="7" l="1"/>
  <c r="BD50" i="7" l="1"/>
  <c r="BD51" i="7" s="1"/>
  <c r="BD52" i="7" s="1"/>
  <c r="BD53" i="7" s="1"/>
  <c r="BD54" i="7" s="1"/>
  <c r="BD55" i="7" s="1"/>
  <c r="BD56" i="7" s="1"/>
  <c r="BD57" i="7" s="1"/>
  <c r="BD58" i="7" s="1"/>
  <c r="BD59" i="7" s="1"/>
  <c r="BD60" i="7" s="1"/>
  <c r="BD61" i="7" s="1"/>
  <c r="BD62" i="7" s="1"/>
  <c r="BD63" i="7" s="1"/>
  <c r="BD64" i="7" s="1"/>
  <c r="BD65" i="7" s="1"/>
  <c r="BD66" i="7" s="1"/>
  <c r="BD67" i="7" s="1"/>
  <c r="BD68" i="7" s="1"/>
  <c r="BD69" i="7" s="1"/>
  <c r="BD70" i="7" s="1"/>
  <c r="BD71" i="7" s="1"/>
  <c r="BD72" i="7" s="1"/>
  <c r="BD73" i="7" s="1"/>
  <c r="BD77" i="7" l="1"/>
  <c r="BD74" i="7"/>
  <c r="BD78" i="7" s="1"/>
  <c r="BE44" i="7" l="1"/>
  <c r="BE45" i="7" s="1"/>
  <c r="BE46" i="7" l="1"/>
  <c r="BE47" i="7" l="1"/>
  <c r="BE48" i="7" l="1"/>
  <c r="BE49" i="7" s="1"/>
  <c r="BE50" i="7" l="1"/>
  <c r="BE51" i="7" s="1"/>
  <c r="BE52" i="7" s="1"/>
  <c r="BE53" i="7" s="1"/>
  <c r="BE54" i="7" s="1"/>
  <c r="BE55" i="7" s="1"/>
  <c r="BE56" i="7" s="1"/>
  <c r="BE57" i="7" s="1"/>
  <c r="BE58" i="7" s="1"/>
  <c r="BE59" i="7" s="1"/>
  <c r="BE60" i="7" s="1"/>
  <c r="BE61" i="7" s="1"/>
  <c r="BE62" i="7" s="1"/>
  <c r="BE63" i="7" s="1"/>
  <c r="BE64" i="7" s="1"/>
  <c r="BE65" i="7" s="1"/>
  <c r="BE66" i="7" s="1"/>
  <c r="BE67" i="7" s="1"/>
  <c r="BE68" i="7" s="1"/>
  <c r="BE69" i="7" s="1"/>
  <c r="BE70" i="7" s="1"/>
  <c r="BE71" i="7" s="1"/>
  <c r="BE72" i="7" s="1"/>
  <c r="BE73" i="7" s="1"/>
  <c r="BE74" i="7" s="1"/>
  <c r="BE78" i="7" s="1"/>
  <c r="BE77" i="7" l="1"/>
  <c r="BF44" i="7"/>
  <c r="BF45" i="7" s="1"/>
  <c r="BG45" i="7" s="1"/>
  <c r="BG44" i="7" l="1"/>
  <c r="BF46" i="7"/>
  <c r="BG46" i="7" s="1"/>
  <c r="BF47" i="7" l="1"/>
  <c r="BG47" i="7" s="1"/>
  <c r="BF48" i="7" l="1"/>
  <c r="BG48" i="7" s="1"/>
  <c r="BF49" i="7" l="1"/>
  <c r="BG49" i="7" s="1"/>
  <c r="BF50" i="7" l="1"/>
  <c r="BG50" i="7" s="1"/>
  <c r="BF51" i="7" l="1"/>
  <c r="BG51" i="7" s="1"/>
  <c r="BF52" i="7" l="1"/>
  <c r="BG52" i="7" s="1"/>
  <c r="BF53" i="7" l="1"/>
  <c r="BG53" i="7" s="1"/>
  <c r="BF54" i="7" l="1"/>
  <c r="BG54" i="7" s="1"/>
  <c r="BF55" i="7" l="1"/>
  <c r="BG55" i="7" s="1"/>
  <c r="BF56" i="7" l="1"/>
  <c r="BG56" i="7" s="1"/>
  <c r="BF57" i="7" l="1"/>
  <c r="BG57" i="7" s="1"/>
  <c r="BF58" i="7" l="1"/>
  <c r="BG58" i="7" s="1"/>
  <c r="BF59" i="7" l="1"/>
  <c r="BG59" i="7" s="1"/>
  <c r="BF60" i="7" l="1"/>
  <c r="BG60" i="7" s="1"/>
  <c r="BF61" i="7" l="1"/>
  <c r="BG61" i="7" s="1"/>
  <c r="BF62" i="7" l="1"/>
  <c r="BG62" i="7" s="1"/>
  <c r="BF63" i="7" l="1"/>
  <c r="BG63" i="7" s="1"/>
  <c r="BF64" i="7" l="1"/>
  <c r="BG64" i="7" s="1"/>
  <c r="BF65" i="7" l="1"/>
  <c r="BG65" i="7" s="1"/>
  <c r="BF66" i="7" l="1"/>
  <c r="BG66" i="7" s="1"/>
  <c r="BF67" i="7" l="1"/>
  <c r="BG67" i="7" s="1"/>
  <c r="BF68" i="7" l="1"/>
  <c r="BG68" i="7" s="1"/>
  <c r="BF69" i="7" l="1"/>
  <c r="BG69" i="7" s="1"/>
  <c r="BF70" i="7" l="1"/>
  <c r="BG70" i="7" s="1"/>
  <c r="BF71" i="7" l="1"/>
  <c r="BG71" i="7" s="1"/>
  <c r="BF72" i="7" l="1"/>
  <c r="BG72" i="7" s="1"/>
  <c r="BF73" i="7" l="1"/>
  <c r="BF74" i="7" s="1"/>
  <c r="BG74" i="7"/>
  <c r="BF77" i="7" l="1"/>
  <c r="AY77" i="7" s="1"/>
  <c r="BK17" i="7" s="1"/>
  <c r="BN17" i="7" s="1"/>
  <c r="AQ48" i="1" s="1"/>
  <c r="BL17" i="7"/>
  <c r="BK19" i="7"/>
  <c r="BN19" i="7" s="1"/>
  <c r="AQ50" i="1" s="1"/>
  <c r="BG76" i="7"/>
  <c r="BG75" i="7"/>
  <c r="BF78" i="7"/>
  <c r="BK14" i="7" l="1"/>
  <c r="BL16" i="7"/>
  <c r="BL21" i="7"/>
  <c r="BL20" i="7"/>
  <c r="AP51" i="1" s="1"/>
  <c r="BK21" i="7"/>
  <c r="BN21" i="7" s="1"/>
  <c r="AQ52" i="1" s="1"/>
  <c r="BL18" i="7"/>
  <c r="AP49" i="1" s="1"/>
  <c r="BK18" i="7"/>
  <c r="BN18" i="7" s="1"/>
  <c r="AQ49" i="1" s="1"/>
  <c r="BK20" i="7"/>
  <c r="BN20" i="7" s="1"/>
  <c r="AQ51" i="1" s="1"/>
  <c r="BL14" i="7"/>
  <c r="AP45" i="1" s="1"/>
  <c r="BK16" i="7"/>
  <c r="BN16" i="7" s="1"/>
  <c r="AQ47" i="1" s="1"/>
  <c r="BL19" i="7"/>
  <c r="BM19" i="7" s="1"/>
  <c r="AF7" i="8" s="1"/>
  <c r="BN14" i="7"/>
  <c r="AQ45" i="1" s="1"/>
  <c r="AT29" i="7"/>
  <c r="C27" i="8" s="1"/>
  <c r="K27" i="8" s="1"/>
  <c r="AT33" i="7"/>
  <c r="C31" i="8" s="1"/>
  <c r="K31" i="8" s="1"/>
  <c r="AT35" i="7"/>
  <c r="C33" i="8" s="1"/>
  <c r="K33" i="8" s="1"/>
  <c r="AT56" i="7"/>
  <c r="C54" i="8" s="1"/>
  <c r="K54" i="8" s="1"/>
  <c r="AT41" i="7"/>
  <c r="C39" i="8" s="1"/>
  <c r="K39" i="8" s="1"/>
  <c r="AT36" i="7"/>
  <c r="C34" i="8" s="1"/>
  <c r="K34" i="8" s="1"/>
  <c r="AT26" i="7"/>
  <c r="C24" i="8" s="1"/>
  <c r="K24" i="8" s="1"/>
  <c r="AT30" i="7"/>
  <c r="C28" i="8" s="1"/>
  <c r="K28" i="8" s="1"/>
  <c r="AT34" i="7"/>
  <c r="C32" i="8" s="1"/>
  <c r="K32" i="8" s="1"/>
  <c r="AT37" i="7"/>
  <c r="C35" i="8" s="1"/>
  <c r="K35" i="8" s="1"/>
  <c r="AT42" i="7"/>
  <c r="C40" i="8" s="1"/>
  <c r="K40" i="8" s="1"/>
  <c r="AT25" i="7"/>
  <c r="C23" i="8" s="1"/>
  <c r="K23" i="8" s="1"/>
  <c r="AT28" i="7"/>
  <c r="C26" i="8" s="1"/>
  <c r="K26" i="8" s="1"/>
  <c r="AT40" i="7"/>
  <c r="C38" i="8" s="1"/>
  <c r="K38" i="8" s="1"/>
  <c r="AT27" i="7"/>
  <c r="C25" i="8" s="1"/>
  <c r="K25" i="8" s="1"/>
  <c r="AT39" i="7"/>
  <c r="C37" i="8" s="1"/>
  <c r="K37" i="8" s="1"/>
  <c r="AT32" i="7"/>
  <c r="C30" i="8" s="1"/>
  <c r="K30" i="8" s="1"/>
  <c r="AT43" i="7"/>
  <c r="C41" i="8" s="1"/>
  <c r="K41" i="8" s="1"/>
  <c r="AT38" i="7"/>
  <c r="C36" i="8" s="1"/>
  <c r="K36" i="8" s="1"/>
  <c r="AT31" i="7"/>
  <c r="C29" i="8" s="1"/>
  <c r="K29" i="8" s="1"/>
  <c r="AP47" i="1"/>
  <c r="BH43" i="7"/>
  <c r="BH45" i="7"/>
  <c r="BH47" i="7"/>
  <c r="BH44" i="7"/>
  <c r="BH46" i="7"/>
  <c r="BH48" i="7"/>
  <c r="BH49" i="7"/>
  <c r="BH50" i="7"/>
  <c r="BH51" i="7"/>
  <c r="BH52" i="7"/>
  <c r="BH53" i="7"/>
  <c r="BH54" i="7"/>
  <c r="BH55" i="7"/>
  <c r="BH56" i="7"/>
  <c r="BH57" i="7"/>
  <c r="BH58" i="7"/>
  <c r="BH59" i="7"/>
  <c r="BH60" i="7"/>
  <c r="BH61" i="7"/>
  <c r="BH62" i="7"/>
  <c r="BH63" i="7"/>
  <c r="BH64" i="7"/>
  <c r="BH65" i="7"/>
  <c r="BH66" i="7"/>
  <c r="BH67" i="7"/>
  <c r="BH68" i="7"/>
  <c r="BH69" i="7"/>
  <c r="BH70" i="7"/>
  <c r="BH71" i="7"/>
  <c r="BH72" i="7"/>
  <c r="AP48" i="1"/>
  <c r="BM17" i="7"/>
  <c r="AF5" i="8" s="1"/>
  <c r="BM21" i="7"/>
  <c r="AF9" i="8" s="1"/>
  <c r="AP52" i="1"/>
  <c r="AP50" i="1" l="1"/>
  <c r="BM20" i="7"/>
  <c r="AF8" i="8" s="1"/>
  <c r="BM18" i="7"/>
  <c r="AF6" i="8" s="1"/>
  <c r="L33" i="8"/>
  <c r="L41" i="8"/>
  <c r="L40" i="8"/>
  <c r="L35" i="8"/>
  <c r="L39" i="8"/>
  <c r="L38" i="8"/>
  <c r="L30" i="8"/>
  <c r="L36" i="8"/>
  <c r="L37" i="8"/>
  <c r="L25" i="8"/>
  <c r="L34" i="8"/>
  <c r="L31" i="8"/>
  <c r="L32" i="8"/>
  <c r="L28" i="8"/>
  <c r="L29" i="8"/>
  <c r="L26" i="8"/>
  <c r="L27" i="8"/>
  <c r="L24" i="8"/>
  <c r="E31" i="8"/>
  <c r="F31" i="8" s="1"/>
  <c r="E28" i="8"/>
  <c r="F28" i="8" s="1"/>
  <c r="E37" i="8"/>
  <c r="F37" i="8" s="1"/>
  <c r="E26" i="8"/>
  <c r="F26" i="8" s="1"/>
  <c r="E23" i="8"/>
  <c r="F23" i="8" s="1"/>
  <c r="E39" i="8"/>
  <c r="F39" i="8" s="1"/>
  <c r="E27" i="8"/>
  <c r="F27" i="8" s="1"/>
  <c r="E29" i="8"/>
  <c r="F29" i="8" s="1"/>
  <c r="E30" i="8"/>
  <c r="F30" i="8" s="1"/>
  <c r="E40" i="8"/>
  <c r="F40" i="8" s="1"/>
  <c r="E24" i="8"/>
  <c r="F24" i="8" s="1"/>
  <c r="E34" i="8"/>
  <c r="F34" i="8" s="1"/>
  <c r="E54" i="8"/>
  <c r="F54" i="8" s="1"/>
  <c r="E36" i="8"/>
  <c r="F36" i="8" s="1"/>
  <c r="E41" i="8"/>
  <c r="F41" i="8" s="1"/>
  <c r="E25" i="8"/>
  <c r="F25" i="8" s="1"/>
  <c r="E38" i="8"/>
  <c r="F38" i="8" s="1"/>
  <c r="E35" i="8"/>
  <c r="F35" i="8" s="1"/>
  <c r="E32" i="8"/>
  <c r="F32" i="8" s="1"/>
  <c r="E33" i="8"/>
  <c r="F33" i="8" s="1"/>
  <c r="BH74" i="7"/>
  <c r="BH75" i="7" l="1"/>
  <c r="BI66" i="7" s="1"/>
  <c r="AX105" i="7" s="1"/>
  <c r="BB76" i="7"/>
  <c r="BE76" i="7"/>
  <c r="BC75" i="7"/>
  <c r="BD76" i="7"/>
  <c r="BF75" i="7"/>
  <c r="BC76" i="7"/>
  <c r="BA76" i="7"/>
  <c r="BL15" i="7" s="1"/>
  <c r="BB75" i="7"/>
  <c r="BD75" i="7"/>
  <c r="BF76" i="7"/>
  <c r="BA75" i="7"/>
  <c r="BK15" i="7" s="1"/>
  <c r="BE75" i="7"/>
  <c r="AT57" i="7" l="1"/>
  <c r="C55" i="8" s="1"/>
  <c r="AT63" i="7"/>
  <c r="C61" i="8" s="1"/>
  <c r="AT58" i="7"/>
  <c r="C56" i="8" s="1"/>
  <c r="AT61" i="7"/>
  <c r="C59" i="8" s="1"/>
  <c r="AT59" i="7"/>
  <c r="C57" i="8" s="1"/>
  <c r="AT64" i="7"/>
  <c r="C62" i="8" s="1"/>
  <c r="AT60" i="7"/>
  <c r="C58" i="8" s="1"/>
  <c r="AT66" i="7"/>
  <c r="C64" i="8" s="1"/>
  <c r="AT65" i="7"/>
  <c r="C63" i="8" s="1"/>
  <c r="AT62" i="7"/>
  <c r="C60" i="8" s="1"/>
  <c r="AT44" i="7"/>
  <c r="C42" i="8" s="1"/>
  <c r="AT47" i="7"/>
  <c r="C45" i="8" s="1"/>
  <c r="AT45" i="7"/>
  <c r="C43" i="8" s="1"/>
  <c r="AT55" i="7"/>
  <c r="C53" i="8" s="1"/>
  <c r="AT46" i="7"/>
  <c r="C44" i="8" s="1"/>
  <c r="AT48" i="7"/>
  <c r="C46" i="8" s="1"/>
  <c r="BN15" i="7"/>
  <c r="AQ46" i="1" s="1"/>
  <c r="AQ43" i="1" s="1"/>
  <c r="AT22" i="7"/>
  <c r="C20" i="8" s="1"/>
  <c r="AT100" i="7"/>
  <c r="C98" i="8" s="1"/>
  <c r="AT125" i="7"/>
  <c r="C123" i="8" s="1"/>
  <c r="AT153" i="7"/>
  <c r="C151" i="8" s="1"/>
  <c r="AT186" i="7"/>
  <c r="C184" i="8" s="1"/>
  <c r="AT162" i="7"/>
  <c r="C160" i="8" s="1"/>
  <c r="AT104" i="7"/>
  <c r="C102" i="8" s="1"/>
  <c r="AT118" i="7"/>
  <c r="C116" i="8" s="1"/>
  <c r="AT78" i="7"/>
  <c r="C76" i="8" s="1"/>
  <c r="AT51" i="7"/>
  <c r="C49" i="8" s="1"/>
  <c r="AT89" i="7"/>
  <c r="C87" i="8" s="1"/>
  <c r="AT179" i="7"/>
  <c r="C177" i="8" s="1"/>
  <c r="AT208" i="7"/>
  <c r="C206" i="8" s="1"/>
  <c r="AT134" i="7"/>
  <c r="C132" i="8" s="1"/>
  <c r="AT70" i="7"/>
  <c r="C68" i="8" s="1"/>
  <c r="AT161" i="7"/>
  <c r="C159" i="8" s="1"/>
  <c r="AT136" i="7"/>
  <c r="C134" i="8" s="1"/>
  <c r="AT143" i="7"/>
  <c r="C141" i="8" s="1"/>
  <c r="AT119" i="7"/>
  <c r="C117" i="8" s="1"/>
  <c r="AT142" i="7"/>
  <c r="C140" i="8" s="1"/>
  <c r="AT174" i="7"/>
  <c r="C172" i="8" s="1"/>
  <c r="AT144" i="7"/>
  <c r="C142" i="8" s="1"/>
  <c r="AT196" i="7"/>
  <c r="C194" i="8" s="1"/>
  <c r="AT193" i="7"/>
  <c r="C191" i="8" s="1"/>
  <c r="AT152" i="7"/>
  <c r="C150" i="8" s="1"/>
  <c r="AT123" i="7"/>
  <c r="C121" i="8" s="1"/>
  <c r="AT52" i="7"/>
  <c r="C50" i="8" s="1"/>
  <c r="AT192" i="7"/>
  <c r="C190" i="8" s="1"/>
  <c r="AT175" i="7"/>
  <c r="C173" i="8" s="1"/>
  <c r="AT102" i="7"/>
  <c r="C100" i="8" s="1"/>
  <c r="AT122" i="7"/>
  <c r="C120" i="8" s="1"/>
  <c r="AT201" i="7"/>
  <c r="C199" i="8" s="1"/>
  <c r="AT205" i="7"/>
  <c r="C203" i="8" s="1"/>
  <c r="AT167" i="7"/>
  <c r="C165" i="8" s="1"/>
  <c r="AT96" i="7"/>
  <c r="C94" i="8" s="1"/>
  <c r="AT182" i="7"/>
  <c r="C180" i="8" s="1"/>
  <c r="AT111" i="7"/>
  <c r="C109" i="8" s="1"/>
  <c r="AT166" i="7"/>
  <c r="C164" i="8" s="1"/>
  <c r="AT135" i="7"/>
  <c r="C133" i="8" s="1"/>
  <c r="AT203" i="7"/>
  <c r="C201" i="8" s="1"/>
  <c r="AT209" i="7"/>
  <c r="C207" i="8" s="1"/>
  <c r="AT189" i="7"/>
  <c r="C187" i="8" s="1"/>
  <c r="AT172" i="7"/>
  <c r="C170" i="8" s="1"/>
  <c r="AT20" i="7"/>
  <c r="C18" i="8" s="1"/>
  <c r="AT24" i="7"/>
  <c r="C22" i="8" s="1"/>
  <c r="AT54" i="7"/>
  <c r="C52" i="8" s="1"/>
  <c r="AT202" i="7"/>
  <c r="C200" i="8" s="1"/>
  <c r="AT99" i="7"/>
  <c r="C97" i="8" s="1"/>
  <c r="AT72" i="7"/>
  <c r="C70" i="8" s="1"/>
  <c r="AT127" i="7"/>
  <c r="C125" i="8" s="1"/>
  <c r="AT185" i="7"/>
  <c r="C183" i="8" s="1"/>
  <c r="AT93" i="7"/>
  <c r="C91" i="8" s="1"/>
  <c r="AT107" i="7"/>
  <c r="C105" i="8" s="1"/>
  <c r="AT74" i="7"/>
  <c r="C72" i="8" s="1"/>
  <c r="AT181" i="7"/>
  <c r="C179" i="8" s="1"/>
  <c r="AT92" i="7"/>
  <c r="C90" i="8" s="1"/>
  <c r="AT204" i="7"/>
  <c r="C202" i="8" s="1"/>
  <c r="AT163" i="7"/>
  <c r="C161" i="8" s="1"/>
  <c r="AT112" i="7"/>
  <c r="C110" i="8" s="1"/>
  <c r="AT75" i="7"/>
  <c r="C73" i="8" s="1"/>
  <c r="AT147" i="7"/>
  <c r="C145" i="8" s="1"/>
  <c r="AT85" i="7"/>
  <c r="C83" i="8" s="1"/>
  <c r="AT120" i="7"/>
  <c r="C118" i="8" s="1"/>
  <c r="AT106" i="7"/>
  <c r="C104" i="8" s="1"/>
  <c r="AT131" i="7"/>
  <c r="C129" i="8" s="1"/>
  <c r="AT213" i="7"/>
  <c r="C211" i="8" s="1"/>
  <c r="AT69" i="7"/>
  <c r="C67" i="8" s="1"/>
  <c r="AT200" i="7"/>
  <c r="C198" i="8" s="1"/>
  <c r="AT91" i="7"/>
  <c r="C89" i="8" s="1"/>
  <c r="AT81" i="7"/>
  <c r="C79" i="8" s="1"/>
  <c r="AT138" i="7"/>
  <c r="C136" i="8" s="1"/>
  <c r="AT68" i="7"/>
  <c r="C66" i="8" s="1"/>
  <c r="AT133" i="7"/>
  <c r="C131" i="8" s="1"/>
  <c r="AT157" i="7"/>
  <c r="C155" i="8" s="1"/>
  <c r="AT76" i="7"/>
  <c r="C74" i="8" s="1"/>
  <c r="AT190" i="7"/>
  <c r="C188" i="8" s="1"/>
  <c r="AT176" i="7"/>
  <c r="C174" i="8" s="1"/>
  <c r="AT210" i="7"/>
  <c r="C208" i="8" s="1"/>
  <c r="AT116" i="7"/>
  <c r="C114" i="8" s="1"/>
  <c r="AT49" i="7"/>
  <c r="C47" i="8" s="1"/>
  <c r="AT139" i="7"/>
  <c r="C137" i="8" s="1"/>
  <c r="AT148" i="7"/>
  <c r="C146" i="8" s="1"/>
  <c r="AT173" i="7"/>
  <c r="C171" i="8" s="1"/>
  <c r="AT154" i="7"/>
  <c r="C152" i="8" s="1"/>
  <c r="AT103" i="7"/>
  <c r="C101" i="8" s="1"/>
  <c r="AT23" i="7"/>
  <c r="C21" i="8" s="1"/>
  <c r="AT212" i="7"/>
  <c r="C210" i="8" s="1"/>
  <c r="AT115" i="7"/>
  <c r="C113" i="8" s="1"/>
  <c r="AT151" i="7"/>
  <c r="C149" i="8" s="1"/>
  <c r="AT187" i="7"/>
  <c r="C185" i="8" s="1"/>
  <c r="AT53" i="7"/>
  <c r="C51" i="8" s="1"/>
  <c r="AT80" i="7"/>
  <c r="C78" i="8" s="1"/>
  <c r="AT67" i="7"/>
  <c r="C65" i="8" s="1"/>
  <c r="K65" i="8" s="1"/>
  <c r="AT170" i="7"/>
  <c r="C168" i="8" s="1"/>
  <c r="AT137" i="7"/>
  <c r="C135" i="8" s="1"/>
  <c r="AT71" i="7"/>
  <c r="C69" i="8" s="1"/>
  <c r="AT194" i="7"/>
  <c r="C192" i="8" s="1"/>
  <c r="AT97" i="7"/>
  <c r="C95" i="8" s="1"/>
  <c r="AT159" i="7"/>
  <c r="C157" i="8" s="1"/>
  <c r="AT132" i="7"/>
  <c r="C130" i="8" s="1"/>
  <c r="AT168" i="7"/>
  <c r="C166" i="8" s="1"/>
  <c r="AT90" i="7"/>
  <c r="C88" i="8" s="1"/>
  <c r="AT114" i="7"/>
  <c r="C112" i="8" s="1"/>
  <c r="AT128" i="7"/>
  <c r="C126" i="8" s="1"/>
  <c r="AT177" i="7"/>
  <c r="C175" i="8" s="1"/>
  <c r="AT82" i="7"/>
  <c r="C80" i="8" s="1"/>
  <c r="AT113" i="7"/>
  <c r="C111" i="8" s="1"/>
  <c r="AT164" i="7"/>
  <c r="C162" i="8" s="1"/>
  <c r="AT183" i="7"/>
  <c r="C181" i="8" s="1"/>
  <c r="AT156" i="7"/>
  <c r="C154" i="8" s="1"/>
  <c r="AT130" i="7"/>
  <c r="C128" i="8" s="1"/>
  <c r="AT155" i="7"/>
  <c r="C153" i="8" s="1"/>
  <c r="AT101" i="7"/>
  <c r="C99" i="8" s="1"/>
  <c r="AT77" i="7"/>
  <c r="C75" i="8" s="1"/>
  <c r="AT84" i="7"/>
  <c r="C82" i="8" s="1"/>
  <c r="AT109" i="7"/>
  <c r="C107" i="8" s="1"/>
  <c r="AT87" i="7"/>
  <c r="C85" i="8" s="1"/>
  <c r="AT83" i="7"/>
  <c r="C81" i="8" s="1"/>
  <c r="AT145" i="7"/>
  <c r="C143" i="8" s="1"/>
  <c r="AT21" i="7"/>
  <c r="C19" i="8" s="1"/>
  <c r="AT141" i="7"/>
  <c r="C139" i="8" s="1"/>
  <c r="AT117" i="7"/>
  <c r="C115" i="8" s="1"/>
  <c r="AT95" i="7"/>
  <c r="C93" i="8" s="1"/>
  <c r="AT73" i="7"/>
  <c r="C71" i="8" s="1"/>
  <c r="AT160" i="7"/>
  <c r="C158" i="8" s="1"/>
  <c r="AT98" i="7"/>
  <c r="C96" i="8" s="1"/>
  <c r="AT140" i="7"/>
  <c r="C138" i="8" s="1"/>
  <c r="AT198" i="7"/>
  <c r="C196" i="8" s="1"/>
  <c r="AT126" i="7"/>
  <c r="C124" i="8" s="1"/>
  <c r="AT50" i="7"/>
  <c r="C48" i="8" s="1"/>
  <c r="AT171" i="7"/>
  <c r="C169" i="8" s="1"/>
  <c r="AT86" i="7"/>
  <c r="C84" i="8" s="1"/>
  <c r="AT124" i="7"/>
  <c r="C122" i="8" s="1"/>
  <c r="AT207" i="7"/>
  <c r="C205" i="8" s="1"/>
  <c r="AT150" i="7"/>
  <c r="C148" i="8" s="1"/>
  <c r="AT211" i="7"/>
  <c r="C209" i="8" s="1"/>
  <c r="AT105" i="7"/>
  <c r="C103" i="8" s="1"/>
  <c r="AT199" i="7"/>
  <c r="C197" i="8" s="1"/>
  <c r="AT165" i="7"/>
  <c r="C163" i="8" s="1"/>
  <c r="AT79" i="7"/>
  <c r="C77" i="8" s="1"/>
  <c r="AT146" i="7"/>
  <c r="C144" i="8" s="1"/>
  <c r="AT94" i="7"/>
  <c r="C92" i="8" s="1"/>
  <c r="AT188" i="7"/>
  <c r="C186" i="8" s="1"/>
  <c r="AT88" i="7"/>
  <c r="C86" i="8" s="1"/>
  <c r="AT149" i="7"/>
  <c r="C147" i="8" s="1"/>
  <c r="AT184" i="7"/>
  <c r="C182" i="8" s="1"/>
  <c r="AT121" i="7"/>
  <c r="C119" i="8" s="1"/>
  <c r="AT206" i="7"/>
  <c r="C204" i="8" s="1"/>
  <c r="AT191" i="7"/>
  <c r="C189" i="8" s="1"/>
  <c r="AT195" i="7"/>
  <c r="C193" i="8" s="1"/>
  <c r="AT129" i="7"/>
  <c r="C127" i="8" s="1"/>
  <c r="AT108" i="7"/>
  <c r="C106" i="8" s="1"/>
  <c r="AT169" i="7"/>
  <c r="C167" i="8" s="1"/>
  <c r="AT158" i="7"/>
  <c r="C156" i="8" s="1"/>
  <c r="AT110" i="7"/>
  <c r="C108" i="8" s="1"/>
  <c r="AT178" i="7"/>
  <c r="C176" i="8" s="1"/>
  <c r="AT180" i="7"/>
  <c r="C178" i="8" s="1"/>
  <c r="AT197" i="7"/>
  <c r="C195" i="8" s="1"/>
  <c r="AP46" i="1"/>
  <c r="BM15" i="7"/>
  <c r="AF3" i="8" s="1"/>
  <c r="BI45" i="7"/>
  <c r="AX84" i="7" s="1"/>
  <c r="BI72" i="7"/>
  <c r="AX111" i="7" s="1"/>
  <c r="BI49" i="7"/>
  <c r="AX88" i="7" s="1"/>
  <c r="BI69" i="7"/>
  <c r="AX108" i="7" s="1"/>
  <c r="BI47" i="7"/>
  <c r="AX86" i="7" s="1"/>
  <c r="BI46" i="7"/>
  <c r="AX85" i="7" s="1"/>
  <c r="BI71" i="7"/>
  <c r="AX110" i="7" s="1"/>
  <c r="BI64" i="7"/>
  <c r="AX103" i="7" s="1"/>
  <c r="BI68" i="7"/>
  <c r="AX107" i="7" s="1"/>
  <c r="BI61" i="7"/>
  <c r="AX100" i="7" s="1"/>
  <c r="BI52" i="7"/>
  <c r="AX91" i="7" s="1"/>
  <c r="BI60" i="7"/>
  <c r="AX99" i="7" s="1"/>
  <c r="BI43" i="7"/>
  <c r="AX82" i="7" s="1"/>
  <c r="BI53" i="7"/>
  <c r="AX92" i="7" s="1"/>
  <c r="BI62" i="7"/>
  <c r="AX101" i="7" s="1"/>
  <c r="BI57" i="7"/>
  <c r="AX96" i="7" s="1"/>
  <c r="BI48" i="7"/>
  <c r="AX87" i="7" s="1"/>
  <c r="BI67" i="7"/>
  <c r="AX106" i="7" s="1"/>
  <c r="BI55" i="7"/>
  <c r="AX94" i="7" s="1"/>
  <c r="BI51" i="7"/>
  <c r="AX90" i="7" s="1"/>
  <c r="BI70" i="7"/>
  <c r="AX109" i="7" s="1"/>
  <c r="BI65" i="7"/>
  <c r="AX104" i="7" s="1"/>
  <c r="BI63" i="7"/>
  <c r="AX102" i="7" s="1"/>
  <c r="BI50" i="7"/>
  <c r="AX89" i="7" s="1"/>
  <c r="BI56" i="7"/>
  <c r="AX95" i="7" s="1"/>
  <c r="BI59" i="7"/>
  <c r="AX98" i="7" s="1"/>
  <c r="BI58" i="7"/>
  <c r="AX97" i="7" s="1"/>
  <c r="BI54" i="7"/>
  <c r="AX93" i="7" s="1"/>
  <c r="BI44" i="7"/>
  <c r="AX83" i="7" s="1"/>
  <c r="K64" i="8" l="1"/>
  <c r="L65" i="8" s="1"/>
  <c r="E64" i="8"/>
  <c r="F64" i="8" s="1"/>
  <c r="K59" i="8"/>
  <c r="E59" i="8"/>
  <c r="F59" i="8" s="1"/>
  <c r="K58" i="8"/>
  <c r="E58" i="8"/>
  <c r="F58" i="8" s="1"/>
  <c r="K56" i="8"/>
  <c r="E56" i="8"/>
  <c r="F56" i="8" s="1"/>
  <c r="K60" i="8"/>
  <c r="E60" i="8"/>
  <c r="F60" i="8" s="1"/>
  <c r="K62" i="8"/>
  <c r="E62" i="8"/>
  <c r="F62" i="8" s="1"/>
  <c r="K61" i="8"/>
  <c r="E61" i="8"/>
  <c r="F61" i="8" s="1"/>
  <c r="K63" i="8"/>
  <c r="E63" i="8"/>
  <c r="F63" i="8" s="1"/>
  <c r="K57" i="8"/>
  <c r="E57" i="8"/>
  <c r="F57" i="8" s="1"/>
  <c r="K55" i="8"/>
  <c r="L55" i="8" s="1"/>
  <c r="E55" i="8"/>
  <c r="F55" i="8" s="1"/>
  <c r="K53" i="8"/>
  <c r="L54" i="8" s="1"/>
  <c r="E53" i="8"/>
  <c r="F53" i="8" s="1"/>
  <c r="K43" i="8"/>
  <c r="E43" i="8"/>
  <c r="F43" i="8" s="1"/>
  <c r="K46" i="8"/>
  <c r="E46" i="8"/>
  <c r="F46" i="8" s="1"/>
  <c r="K45" i="8"/>
  <c r="E45" i="8"/>
  <c r="F45" i="8" s="1"/>
  <c r="BM16" i="7"/>
  <c r="AF4" i="8" s="1"/>
  <c r="L66" i="8"/>
  <c r="M66" i="8" s="1"/>
  <c r="K44" i="8"/>
  <c r="E44" i="8"/>
  <c r="F44" i="8" s="1"/>
  <c r="K42" i="8"/>
  <c r="L42" i="8" s="1"/>
  <c r="E42" i="8"/>
  <c r="F42" i="8" s="1"/>
  <c r="E178" i="8"/>
  <c r="F178" i="8" s="1"/>
  <c r="E147" i="8"/>
  <c r="F147" i="8" s="1"/>
  <c r="E122" i="8"/>
  <c r="F122" i="8" s="1"/>
  <c r="E139" i="8"/>
  <c r="F139" i="8" s="1"/>
  <c r="E99" i="8"/>
  <c r="F99" i="8" s="1"/>
  <c r="E166" i="8"/>
  <c r="F166" i="8" s="1"/>
  <c r="E149" i="8"/>
  <c r="F149" i="8" s="1"/>
  <c r="E174" i="8"/>
  <c r="F174" i="8" s="1"/>
  <c r="E129" i="8"/>
  <c r="F129" i="8" s="1"/>
  <c r="E105" i="8"/>
  <c r="F105" i="8" s="1"/>
  <c r="K22" i="8"/>
  <c r="L23" i="8" s="1"/>
  <c r="E22" i="8"/>
  <c r="F22" i="8" s="1"/>
  <c r="E203" i="8"/>
  <c r="F203" i="8" s="1"/>
  <c r="E150" i="8"/>
  <c r="F150" i="8" s="1"/>
  <c r="E76" i="8"/>
  <c r="F76" i="8" s="1"/>
  <c r="E20" i="8"/>
  <c r="F20" i="8" s="1"/>
  <c r="K20" i="8"/>
  <c r="E176" i="8"/>
  <c r="F176" i="8" s="1"/>
  <c r="E106" i="8"/>
  <c r="F106" i="8" s="1"/>
  <c r="E204" i="8"/>
  <c r="F204" i="8" s="1"/>
  <c r="E86" i="8"/>
  <c r="F86" i="8" s="1"/>
  <c r="E77" i="8"/>
  <c r="F77" i="8" s="1"/>
  <c r="E209" i="8"/>
  <c r="F209" i="8" s="1"/>
  <c r="E84" i="8"/>
  <c r="F84" i="8" s="1"/>
  <c r="E196" i="8"/>
  <c r="F196" i="8" s="1"/>
  <c r="E71" i="8"/>
  <c r="F71" i="8" s="1"/>
  <c r="E19" i="8"/>
  <c r="F19" i="8" s="1"/>
  <c r="K19" i="8"/>
  <c r="E107" i="8"/>
  <c r="F107" i="8" s="1"/>
  <c r="E153" i="8"/>
  <c r="F153" i="8" s="1"/>
  <c r="E162" i="8"/>
  <c r="F162" i="8" s="1"/>
  <c r="E126" i="8"/>
  <c r="F126" i="8" s="1"/>
  <c r="E130" i="8"/>
  <c r="F130" i="8" s="1"/>
  <c r="E69" i="8"/>
  <c r="F69" i="8" s="1"/>
  <c r="E78" i="8"/>
  <c r="F78" i="8" s="1"/>
  <c r="E113" i="8"/>
  <c r="F113" i="8" s="1"/>
  <c r="E152" i="8"/>
  <c r="F152" i="8" s="1"/>
  <c r="K47" i="8"/>
  <c r="E47" i="8"/>
  <c r="F47" i="8" s="1"/>
  <c r="E188" i="8"/>
  <c r="F188" i="8" s="1"/>
  <c r="E66" i="8"/>
  <c r="F66" i="8" s="1"/>
  <c r="E198" i="8"/>
  <c r="F198" i="8" s="1"/>
  <c r="E104" i="8"/>
  <c r="F104" i="8" s="1"/>
  <c r="E73" i="8"/>
  <c r="F73" i="8" s="1"/>
  <c r="E90" i="8"/>
  <c r="F90" i="8" s="1"/>
  <c r="E91" i="8"/>
  <c r="F91" i="8" s="1"/>
  <c r="E97" i="8"/>
  <c r="F97" i="8" s="1"/>
  <c r="E18" i="8"/>
  <c r="F18" i="8" s="1"/>
  <c r="K18" i="8"/>
  <c r="E201" i="8"/>
  <c r="F201" i="8" s="1"/>
  <c r="E180" i="8"/>
  <c r="F180" i="8" s="1"/>
  <c r="E199" i="8"/>
  <c r="F199" i="8" s="1"/>
  <c r="E190" i="8"/>
  <c r="F190" i="8" s="1"/>
  <c r="E191" i="8"/>
  <c r="F191" i="8" s="1"/>
  <c r="E140" i="8"/>
  <c r="F140" i="8" s="1"/>
  <c r="E159" i="8"/>
  <c r="F159" i="8" s="1"/>
  <c r="E177" i="8"/>
  <c r="F177" i="8" s="1"/>
  <c r="E116" i="8"/>
  <c r="F116" i="8" s="1"/>
  <c r="E151" i="8"/>
  <c r="F151" i="8" s="1"/>
  <c r="E189" i="8"/>
  <c r="F189" i="8" s="1"/>
  <c r="E103" i="8"/>
  <c r="F103" i="8" s="1"/>
  <c r="E124" i="8"/>
  <c r="F124" i="8" s="1"/>
  <c r="E175" i="8"/>
  <c r="F175" i="8" s="1"/>
  <c r="E192" i="8"/>
  <c r="F192" i="8" s="1"/>
  <c r="E101" i="8"/>
  <c r="F101" i="8" s="1"/>
  <c r="E89" i="8"/>
  <c r="F89" i="8" s="1"/>
  <c r="E202" i="8"/>
  <c r="F202" i="8" s="1"/>
  <c r="E207" i="8"/>
  <c r="F207" i="8" s="1"/>
  <c r="E173" i="8"/>
  <c r="F173" i="8" s="1"/>
  <c r="E134" i="8"/>
  <c r="F134" i="8" s="1"/>
  <c r="E206" i="8"/>
  <c r="F206" i="8" s="1"/>
  <c r="E108" i="8"/>
  <c r="F108" i="8" s="1"/>
  <c r="E127" i="8"/>
  <c r="F127" i="8" s="1"/>
  <c r="E119" i="8"/>
  <c r="F119" i="8" s="1"/>
  <c r="E186" i="8"/>
  <c r="F186" i="8" s="1"/>
  <c r="E163" i="8"/>
  <c r="F163" i="8" s="1"/>
  <c r="E148" i="8"/>
  <c r="F148" i="8" s="1"/>
  <c r="E169" i="8"/>
  <c r="F169" i="8" s="1"/>
  <c r="E138" i="8"/>
  <c r="F138" i="8" s="1"/>
  <c r="E93" i="8"/>
  <c r="F93" i="8" s="1"/>
  <c r="E143" i="8"/>
  <c r="F143" i="8" s="1"/>
  <c r="E82" i="8"/>
  <c r="F82" i="8" s="1"/>
  <c r="E128" i="8"/>
  <c r="F128" i="8" s="1"/>
  <c r="E111" i="8"/>
  <c r="F111" i="8" s="1"/>
  <c r="E112" i="8"/>
  <c r="F112" i="8" s="1"/>
  <c r="E157" i="8"/>
  <c r="F157" i="8" s="1"/>
  <c r="E135" i="8"/>
  <c r="F135" i="8" s="1"/>
  <c r="K51" i="8"/>
  <c r="E51" i="8"/>
  <c r="F51" i="8" s="1"/>
  <c r="E210" i="8"/>
  <c r="F210" i="8" s="1"/>
  <c r="E171" i="8"/>
  <c r="F171" i="8" s="1"/>
  <c r="E114" i="8"/>
  <c r="F114" i="8" s="1"/>
  <c r="E74" i="8"/>
  <c r="F74" i="8" s="1"/>
  <c r="E136" i="8"/>
  <c r="F136" i="8" s="1"/>
  <c r="E67" i="8"/>
  <c r="F67" i="8" s="1"/>
  <c r="E118" i="8"/>
  <c r="F118" i="8" s="1"/>
  <c r="E110" i="8"/>
  <c r="F110" i="8" s="1"/>
  <c r="E179" i="8"/>
  <c r="F179" i="8" s="1"/>
  <c r="E183" i="8"/>
  <c r="F183" i="8" s="1"/>
  <c r="E200" i="8"/>
  <c r="F200" i="8" s="1"/>
  <c r="E170" i="8"/>
  <c r="F170" i="8" s="1"/>
  <c r="E133" i="8"/>
  <c r="F133" i="8" s="1"/>
  <c r="E94" i="8"/>
  <c r="F94" i="8" s="1"/>
  <c r="E120" i="8"/>
  <c r="F120" i="8" s="1"/>
  <c r="K50" i="8"/>
  <c r="E50" i="8"/>
  <c r="F50" i="8" s="1"/>
  <c r="E194" i="8"/>
  <c r="F194" i="8" s="1"/>
  <c r="E117" i="8"/>
  <c r="F117" i="8" s="1"/>
  <c r="E68" i="8"/>
  <c r="F68" i="8" s="1"/>
  <c r="E87" i="8"/>
  <c r="F87" i="8" s="1"/>
  <c r="E102" i="8"/>
  <c r="F102" i="8" s="1"/>
  <c r="E123" i="8"/>
  <c r="F123" i="8" s="1"/>
  <c r="E167" i="8"/>
  <c r="F167" i="8" s="1"/>
  <c r="E144" i="8"/>
  <c r="F144" i="8" s="1"/>
  <c r="E158" i="8"/>
  <c r="F158" i="8" s="1"/>
  <c r="E85" i="8"/>
  <c r="F85" i="8" s="1"/>
  <c r="E181" i="8"/>
  <c r="F181" i="8" s="1"/>
  <c r="E65" i="8"/>
  <c r="F65" i="8" s="1"/>
  <c r="E137" i="8"/>
  <c r="F137" i="8" s="1"/>
  <c r="E131" i="8"/>
  <c r="F131" i="8" s="1"/>
  <c r="E145" i="8"/>
  <c r="F145" i="8" s="1"/>
  <c r="E70" i="8"/>
  <c r="F70" i="8" s="1"/>
  <c r="E109" i="8"/>
  <c r="F109" i="8" s="1"/>
  <c r="E172" i="8"/>
  <c r="F172" i="8" s="1"/>
  <c r="E184" i="8"/>
  <c r="F184" i="8" s="1"/>
  <c r="E195" i="8"/>
  <c r="F195" i="8" s="1"/>
  <c r="E156" i="8"/>
  <c r="F156" i="8" s="1"/>
  <c r="E193" i="8"/>
  <c r="F193" i="8" s="1"/>
  <c r="E182" i="8"/>
  <c r="F182" i="8" s="1"/>
  <c r="E92" i="8"/>
  <c r="F92" i="8" s="1"/>
  <c r="E197" i="8"/>
  <c r="F197" i="8" s="1"/>
  <c r="E205" i="8"/>
  <c r="F205" i="8" s="1"/>
  <c r="K48" i="8"/>
  <c r="E48" i="8"/>
  <c r="F48" i="8" s="1"/>
  <c r="E96" i="8"/>
  <c r="F96" i="8" s="1"/>
  <c r="E115" i="8"/>
  <c r="F115" i="8" s="1"/>
  <c r="E81" i="8"/>
  <c r="F81" i="8" s="1"/>
  <c r="E75" i="8"/>
  <c r="F75" i="8" s="1"/>
  <c r="E154" i="8"/>
  <c r="F154" i="8" s="1"/>
  <c r="E80" i="8"/>
  <c r="F80" i="8" s="1"/>
  <c r="E88" i="8"/>
  <c r="F88" i="8" s="1"/>
  <c r="E95" i="8"/>
  <c r="F95" i="8" s="1"/>
  <c r="E168" i="8"/>
  <c r="F168" i="8" s="1"/>
  <c r="E185" i="8"/>
  <c r="F185" i="8" s="1"/>
  <c r="E21" i="8"/>
  <c r="F21" i="8" s="1"/>
  <c r="K21" i="8"/>
  <c r="E146" i="8"/>
  <c r="F146" i="8" s="1"/>
  <c r="E208" i="8"/>
  <c r="F208" i="8" s="1"/>
  <c r="E155" i="8"/>
  <c r="F155" i="8" s="1"/>
  <c r="E79" i="8"/>
  <c r="F79" i="8" s="1"/>
  <c r="E211" i="8"/>
  <c r="F211" i="8" s="1"/>
  <c r="E83" i="8"/>
  <c r="F83" i="8" s="1"/>
  <c r="E161" i="8"/>
  <c r="F161" i="8" s="1"/>
  <c r="E72" i="8"/>
  <c r="F72" i="8" s="1"/>
  <c r="E125" i="8"/>
  <c r="F125" i="8" s="1"/>
  <c r="K52" i="8"/>
  <c r="E52" i="8"/>
  <c r="F52" i="8" s="1"/>
  <c r="E187" i="8"/>
  <c r="F187" i="8" s="1"/>
  <c r="E164" i="8"/>
  <c r="F164" i="8" s="1"/>
  <c r="E165" i="8"/>
  <c r="F165" i="8" s="1"/>
  <c r="E100" i="8"/>
  <c r="F100" i="8" s="1"/>
  <c r="E121" i="8"/>
  <c r="F121" i="8" s="1"/>
  <c r="E142" i="8"/>
  <c r="F142" i="8" s="1"/>
  <c r="E141" i="8"/>
  <c r="F141" i="8" s="1"/>
  <c r="E132" i="8"/>
  <c r="F132" i="8" s="1"/>
  <c r="K49" i="8"/>
  <c r="E49" i="8"/>
  <c r="F49" i="8" s="1"/>
  <c r="E160" i="8"/>
  <c r="F160" i="8" s="1"/>
  <c r="E98" i="8"/>
  <c r="F98" i="8" s="1"/>
  <c r="AX113" i="7"/>
  <c r="AZ81" i="7"/>
  <c r="AX81" i="7"/>
  <c r="L57" i="8" l="1"/>
  <c r="L47" i="8"/>
  <c r="L48" i="8"/>
  <c r="L61" i="8"/>
  <c r="L44" i="8"/>
  <c r="L63" i="8"/>
  <c r="L62" i="8"/>
  <c r="L59" i="8"/>
  <c r="L58" i="8"/>
  <c r="L56" i="8"/>
  <c r="L60" i="8"/>
  <c r="L64" i="8"/>
  <c r="L43" i="8"/>
  <c r="L49" i="8"/>
  <c r="L51" i="8"/>
  <c r="L46" i="8"/>
  <c r="O66" i="8"/>
  <c r="N66" i="8"/>
  <c r="T66" i="8"/>
  <c r="U66" i="8" s="1"/>
  <c r="Q66" i="8"/>
  <c r="P66" i="8"/>
  <c r="R66" i="8"/>
  <c r="S66" i="8"/>
  <c r="L45" i="8"/>
  <c r="L19" i="8"/>
  <c r="L53" i="8"/>
  <c r="L52" i="8"/>
  <c r="L22" i="8"/>
  <c r="L21" i="8"/>
  <c r="L50" i="8"/>
  <c r="L20" i="8"/>
  <c r="AY82" i="7"/>
  <c r="AY83" i="7" s="1"/>
  <c r="V66" i="8" l="1"/>
  <c r="AY84" i="7"/>
  <c r="AY85" i="7" s="1"/>
  <c r="AY86" i="7" s="1"/>
  <c r="AZ82" i="7"/>
  <c r="BA82" i="7" s="1"/>
  <c r="BB82" i="7" l="1"/>
  <c r="BC82" i="7" s="1"/>
  <c r="AZ83" i="7"/>
  <c r="AZ84" i="7" s="1"/>
  <c r="AZ85" i="7" s="1"/>
  <c r="AY87" i="7"/>
  <c r="BD82" i="7" l="1"/>
  <c r="BE82" i="7" s="1"/>
  <c r="AZ86" i="7"/>
  <c r="AY88" i="7"/>
  <c r="BF82" i="7" l="1"/>
  <c r="AY89" i="7"/>
  <c r="AY90" i="7" s="1"/>
  <c r="AZ87" i="7"/>
  <c r="AZ88" i="7" l="1"/>
  <c r="AZ89" i="7" s="1"/>
  <c r="BG82" i="7"/>
  <c r="AY91" i="7"/>
  <c r="AZ90" i="7" l="1"/>
  <c r="AY92" i="7"/>
  <c r="AY93" i="7" l="1"/>
  <c r="AZ91" i="7"/>
  <c r="AZ92" i="7" l="1"/>
  <c r="AY94" i="7"/>
  <c r="AY95" i="7" l="1"/>
  <c r="AZ93" i="7"/>
  <c r="AZ94" i="7" l="1"/>
  <c r="AY96" i="7"/>
  <c r="AY97" i="7" l="1"/>
  <c r="AZ95" i="7"/>
  <c r="AZ96" i="7" l="1"/>
  <c r="AY98" i="7"/>
  <c r="AY99" i="7" l="1"/>
  <c r="AZ97" i="7"/>
  <c r="AZ98" i="7" l="1"/>
  <c r="AY100" i="7"/>
  <c r="AY101" i="7" l="1"/>
  <c r="AZ99" i="7"/>
  <c r="AZ100" i="7" l="1"/>
  <c r="AY102" i="7"/>
  <c r="AY103" i="7" l="1"/>
  <c r="AZ101" i="7"/>
  <c r="AY104" i="7" l="1"/>
  <c r="AZ102" i="7"/>
  <c r="AZ103" i="7" l="1"/>
  <c r="AY105" i="7"/>
  <c r="M39" i="8" l="1"/>
  <c r="AY106" i="7"/>
  <c r="AZ104" i="7"/>
  <c r="S39" i="8" l="1"/>
  <c r="P39" i="8"/>
  <c r="Q39" i="8"/>
  <c r="N39" i="8"/>
  <c r="R39" i="8"/>
  <c r="T39" i="8"/>
  <c r="U39" i="8" s="1"/>
  <c r="O39" i="8"/>
  <c r="AZ105" i="7"/>
  <c r="AY107" i="7"/>
  <c r="V39" i="8" l="1"/>
  <c r="AY108" i="7"/>
  <c r="AZ106" i="7"/>
  <c r="AZ107" i="7" l="1"/>
  <c r="AY109" i="7"/>
  <c r="AY110" i="7" l="1"/>
  <c r="AZ108" i="7"/>
  <c r="AZ109" i="7" l="1"/>
  <c r="AY111" i="7"/>
  <c r="AY112" i="7" l="1"/>
  <c r="AZ110" i="7"/>
  <c r="AZ111" i="7" l="1"/>
  <c r="AY114" i="7"/>
  <c r="AY113" i="7"/>
  <c r="AY115" i="7" s="1"/>
  <c r="AZ112" i="7" l="1"/>
  <c r="AZ113" i="7" l="1"/>
  <c r="AZ114" i="7"/>
  <c r="M57" i="8" l="1"/>
  <c r="AZ117" i="7"/>
  <c r="AZ115" i="7"/>
  <c r="N57" i="8" l="1"/>
  <c r="R57" i="8"/>
  <c r="T57" i="8"/>
  <c r="U57" i="8" s="1"/>
  <c r="Q57" i="8"/>
  <c r="S57" i="8"/>
  <c r="O57" i="8"/>
  <c r="P57" i="8"/>
  <c r="M58" i="8"/>
  <c r="BA83" i="7"/>
  <c r="BA84" i="7" s="1"/>
  <c r="Q58" i="8" l="1"/>
  <c r="T58" i="8"/>
  <c r="U58" i="8" s="1"/>
  <c r="S58" i="8"/>
  <c r="O58" i="8"/>
  <c r="N58" i="8"/>
  <c r="R58" i="8"/>
  <c r="P58" i="8"/>
  <c r="M59" i="8"/>
  <c r="V57" i="8"/>
  <c r="BA85" i="7"/>
  <c r="V58" i="8" l="1"/>
  <c r="T59" i="8"/>
  <c r="U59" i="8" s="1"/>
  <c r="O59" i="8"/>
  <c r="Q59" i="8"/>
  <c r="N59" i="8"/>
  <c r="S59" i="8"/>
  <c r="R59" i="8"/>
  <c r="P59" i="8"/>
  <c r="M60" i="8"/>
  <c r="BA86" i="7"/>
  <c r="P60" i="8" l="1"/>
  <c r="R60" i="8"/>
  <c r="S60" i="8"/>
  <c r="Q60" i="8"/>
  <c r="N60" i="8"/>
  <c r="O60" i="8"/>
  <c r="T60" i="8"/>
  <c r="U60" i="8" s="1"/>
  <c r="M61" i="8"/>
  <c r="V59" i="8"/>
  <c r="BA87" i="7"/>
  <c r="Q61" i="8" l="1"/>
  <c r="N61" i="8"/>
  <c r="O61" i="8"/>
  <c r="T61" i="8"/>
  <c r="U61" i="8" s="1"/>
  <c r="R61" i="8"/>
  <c r="P61" i="8"/>
  <c r="S61" i="8"/>
  <c r="M62" i="8"/>
  <c r="V60" i="8"/>
  <c r="BA88" i="7"/>
  <c r="BA89" i="7" s="1"/>
  <c r="R62" i="8" l="1"/>
  <c r="S62" i="8"/>
  <c r="Q62" i="8"/>
  <c r="N62" i="8"/>
  <c r="P62" i="8"/>
  <c r="O62" i="8"/>
  <c r="T62" i="8"/>
  <c r="U62" i="8" s="1"/>
  <c r="M63" i="8"/>
  <c r="V61" i="8"/>
  <c r="BA90" i="7"/>
  <c r="R63" i="8" l="1"/>
  <c r="S63" i="8"/>
  <c r="Q63" i="8"/>
  <c r="O63" i="8"/>
  <c r="N63" i="8"/>
  <c r="T63" i="8"/>
  <c r="U63" i="8" s="1"/>
  <c r="P63" i="8"/>
  <c r="M64" i="8"/>
  <c r="M65" i="8" s="1"/>
  <c r="V62" i="8"/>
  <c r="BA91" i="7"/>
  <c r="V63" i="8" l="1"/>
  <c r="P65" i="8"/>
  <c r="N65" i="8"/>
  <c r="S65" i="8"/>
  <c r="T65" i="8"/>
  <c r="U65" i="8" s="1"/>
  <c r="R65" i="8"/>
  <c r="Q65" i="8"/>
  <c r="O65" i="8"/>
  <c r="R64" i="8"/>
  <c r="O64" i="8"/>
  <c r="S64" i="8"/>
  <c r="Q64" i="8"/>
  <c r="P64" i="8"/>
  <c r="N64" i="8"/>
  <c r="T64" i="8"/>
  <c r="U64" i="8" s="1"/>
  <c r="BA92" i="7"/>
  <c r="V65" i="8" l="1"/>
  <c r="V64" i="8"/>
  <c r="BA93" i="7"/>
  <c r="BA94" i="7" l="1"/>
  <c r="BA95" i="7" l="1"/>
  <c r="BA96" i="7" l="1"/>
  <c r="BA97" i="7" l="1"/>
  <c r="BA98" i="7" l="1"/>
  <c r="BA99" i="7" l="1"/>
  <c r="BA100" i="7" l="1"/>
  <c r="BA101" i="7" l="1"/>
  <c r="BA102" i="7" l="1"/>
  <c r="BA103" i="7" l="1"/>
  <c r="BA104" i="7" l="1"/>
  <c r="BA105" i="7" l="1"/>
  <c r="BA106" i="7" l="1"/>
  <c r="BA107" i="7" l="1"/>
  <c r="BA108" i="7" l="1"/>
  <c r="BA109" i="7" l="1"/>
  <c r="BA110" i="7" l="1"/>
  <c r="BA111" i="7" l="1"/>
  <c r="BA112" i="7" l="1"/>
  <c r="BA113" i="7" l="1"/>
  <c r="BA117" i="7" s="1"/>
  <c r="BA116" i="7"/>
  <c r="BB83" i="7" l="1"/>
  <c r="BB84" i="7" l="1"/>
  <c r="BB85" i="7" s="1"/>
  <c r="BB86" i="7" l="1"/>
  <c r="BB87" i="7" s="1"/>
  <c r="BB88" i="7" s="1"/>
  <c r="BB89" i="7" l="1"/>
  <c r="BB90" i="7" l="1"/>
  <c r="BB91" i="7" l="1"/>
  <c r="BB92" i="7" l="1"/>
  <c r="BB93" i="7" l="1"/>
  <c r="BB94" i="7" l="1"/>
  <c r="BB95" i="7" l="1"/>
  <c r="BB96" i="7" l="1"/>
  <c r="BB97" i="7" l="1"/>
  <c r="BB98" i="7" l="1"/>
  <c r="BB99" i="7" l="1"/>
  <c r="BB100" i="7" l="1"/>
  <c r="BB101" i="7" l="1"/>
  <c r="BB102" i="7" l="1"/>
  <c r="BB103" i="7" l="1"/>
  <c r="BB104" i="7" l="1"/>
  <c r="BB105" i="7" l="1"/>
  <c r="BB106" i="7" l="1"/>
  <c r="BB107" i="7" l="1"/>
  <c r="BB108" i="7" l="1"/>
  <c r="BB109" i="7" l="1"/>
  <c r="BB110" i="7" l="1"/>
  <c r="BB111" i="7" l="1"/>
  <c r="BB112" i="7" l="1"/>
  <c r="BB116" i="7" l="1"/>
  <c r="BB113" i="7"/>
  <c r="BB117" i="7" s="1"/>
  <c r="BC83" i="7" l="1"/>
  <c r="BC84" i="7" l="1"/>
  <c r="BC85" i="7" s="1"/>
  <c r="BC86" i="7" l="1"/>
  <c r="BC87" i="7" l="1"/>
  <c r="BC88" i="7" l="1"/>
  <c r="BC89" i="7" l="1"/>
  <c r="BC90" i="7" s="1"/>
  <c r="BC91" i="7" s="1"/>
  <c r="BC92" i="7" s="1"/>
  <c r="BC93" i="7" s="1"/>
  <c r="BC94" i="7" s="1"/>
  <c r="BC95" i="7" s="1"/>
  <c r="BC96" i="7" s="1"/>
  <c r="BC97" i="7" s="1"/>
  <c r="BC98" i="7" s="1"/>
  <c r="BC99" i="7" s="1"/>
  <c r="BC100" i="7" s="1"/>
  <c r="BC101" i="7" s="1"/>
  <c r="BC102" i="7" s="1"/>
  <c r="BC103" i="7" s="1"/>
  <c r="BC104" i="7" s="1"/>
  <c r="BC105" i="7" s="1"/>
  <c r="BC106" i="7" s="1"/>
  <c r="BC107" i="7" s="1"/>
  <c r="BC108" i="7" s="1"/>
  <c r="BC109" i="7" s="1"/>
  <c r="BC110" i="7" s="1"/>
  <c r="BC111" i="7" s="1"/>
  <c r="BC112" i="7" s="1"/>
  <c r="BC116" i="7" l="1"/>
  <c r="BC113" i="7"/>
  <c r="BC117" i="7" s="1"/>
  <c r="BD83" i="7" l="1"/>
  <c r="BD84" i="7" l="1"/>
  <c r="BD85" i="7" l="1"/>
  <c r="BD86" i="7" l="1"/>
  <c r="BD87" i="7" l="1"/>
  <c r="BD88" i="7" s="1"/>
  <c r="BD89" i="7" s="1"/>
  <c r="BD90" i="7" s="1"/>
  <c r="BD91" i="7" s="1"/>
  <c r="BD92" i="7" s="1"/>
  <c r="BD93" i="7" s="1"/>
  <c r="BD94" i="7" s="1"/>
  <c r="BD95" i="7" s="1"/>
  <c r="BD96" i="7" s="1"/>
  <c r="BD97" i="7" s="1"/>
  <c r="BD98" i="7" s="1"/>
  <c r="BD99" i="7" s="1"/>
  <c r="BD100" i="7" s="1"/>
  <c r="BD101" i="7" s="1"/>
  <c r="BD102" i="7" s="1"/>
  <c r="BD103" i="7" s="1"/>
  <c r="BD104" i="7" s="1"/>
  <c r="BD105" i="7" s="1"/>
  <c r="BD106" i="7" s="1"/>
  <c r="BD107" i="7" s="1"/>
  <c r="BD108" i="7" s="1"/>
  <c r="BD109" i="7" s="1"/>
  <c r="BD110" i="7" s="1"/>
  <c r="BD111" i="7" s="1"/>
  <c r="BD112" i="7" s="1"/>
  <c r="BD116" i="7" l="1"/>
  <c r="BD113" i="7"/>
  <c r="BD117" i="7" s="1"/>
  <c r="BE83" i="7" l="1"/>
  <c r="BE84" i="7" l="1"/>
  <c r="BE85" i="7" l="1"/>
  <c r="BE86" i="7" l="1"/>
  <c r="BE87" i="7" l="1"/>
  <c r="BE88" i="7" s="1"/>
  <c r="BE89" i="7" s="1"/>
  <c r="BE90" i="7" s="1"/>
  <c r="BE91" i="7" s="1"/>
  <c r="BE92" i="7" s="1"/>
  <c r="BE93" i="7" s="1"/>
  <c r="BE94" i="7" s="1"/>
  <c r="BE95" i="7" s="1"/>
  <c r="BE96" i="7" s="1"/>
  <c r="BE97" i="7" s="1"/>
  <c r="BE98" i="7" s="1"/>
  <c r="BE99" i="7" s="1"/>
  <c r="BE100" i="7" s="1"/>
  <c r="BE101" i="7" s="1"/>
  <c r="BE102" i="7" s="1"/>
  <c r="BE103" i="7" s="1"/>
  <c r="BE104" i="7" s="1"/>
  <c r="BE105" i="7" s="1"/>
  <c r="BE106" i="7" s="1"/>
  <c r="BE107" i="7" s="1"/>
  <c r="BE108" i="7" s="1"/>
  <c r="BE109" i="7" s="1"/>
  <c r="BE110" i="7" s="1"/>
  <c r="BE111" i="7" s="1"/>
  <c r="BE112" i="7" s="1"/>
  <c r="BE113" i="7" l="1"/>
  <c r="BE117" i="7" s="1"/>
  <c r="BE116" i="7"/>
  <c r="BF83" i="7" l="1"/>
  <c r="BF84" i="7" s="1"/>
  <c r="BG84" i="7" s="1"/>
  <c r="BF85" i="7" l="1"/>
  <c r="BG83" i="7"/>
  <c r="BF86" i="7" l="1"/>
  <c r="BG85" i="7"/>
  <c r="BG86" i="7" l="1"/>
  <c r="BF87" i="7"/>
  <c r="BG87" i="7" s="1"/>
  <c r="BF88" i="7" l="1"/>
  <c r="BG88" i="7" s="1"/>
  <c r="BF89" i="7" l="1"/>
  <c r="BG89" i="7" s="1"/>
  <c r="BF90" i="7" l="1"/>
  <c r="BG90" i="7" s="1"/>
  <c r="BF91" i="7" l="1"/>
  <c r="BG91" i="7" s="1"/>
  <c r="BF92" i="7" l="1"/>
  <c r="BG92" i="7" s="1"/>
  <c r="BF93" i="7" l="1"/>
  <c r="BG93" i="7" s="1"/>
  <c r="BF94" i="7" l="1"/>
  <c r="BG94" i="7" s="1"/>
  <c r="BF95" i="7" l="1"/>
  <c r="BG95" i="7" s="1"/>
  <c r="BF96" i="7" l="1"/>
  <c r="BG96" i="7" s="1"/>
  <c r="BF97" i="7" l="1"/>
  <c r="BG97" i="7" s="1"/>
  <c r="BF98" i="7" l="1"/>
  <c r="BG98" i="7" s="1"/>
  <c r="BF99" i="7" l="1"/>
  <c r="BG99" i="7" s="1"/>
  <c r="BF100" i="7" l="1"/>
  <c r="BG100" i="7" s="1"/>
  <c r="BF101" i="7" l="1"/>
  <c r="BG101" i="7" s="1"/>
  <c r="BF102" i="7" l="1"/>
  <c r="BG102" i="7" s="1"/>
  <c r="BF103" i="7" l="1"/>
  <c r="BG103" i="7" s="1"/>
  <c r="BF104" i="7" l="1"/>
  <c r="BG104" i="7" s="1"/>
  <c r="BF105" i="7" l="1"/>
  <c r="BG105" i="7" s="1"/>
  <c r="BF106" i="7" l="1"/>
  <c r="BG106" i="7" s="1"/>
  <c r="BF107" i="7" l="1"/>
  <c r="BG107" i="7" s="1"/>
  <c r="BF108" i="7" l="1"/>
  <c r="BG108" i="7" s="1"/>
  <c r="BF109" i="7" l="1"/>
  <c r="BG109" i="7" s="1"/>
  <c r="BF110" i="7" l="1"/>
  <c r="BG110" i="7" s="1"/>
  <c r="BF111" i="7" l="1"/>
  <c r="BG111" i="7" s="1"/>
  <c r="BF112" i="7" l="1"/>
  <c r="BF113" i="7" s="1"/>
  <c r="BG113" i="7"/>
  <c r="BF116" i="7" l="1"/>
  <c r="AY116" i="7" s="1"/>
  <c r="BL28" i="7" s="1"/>
  <c r="BG115" i="7"/>
  <c r="BG114" i="7"/>
  <c r="BF117" i="7"/>
  <c r="BK23" i="7" l="1"/>
  <c r="BL26" i="7"/>
  <c r="BM26" i="7" s="1"/>
  <c r="AG5" i="8" s="1"/>
  <c r="BL23" i="7"/>
  <c r="AR45" i="1" s="1"/>
  <c r="BK30" i="7"/>
  <c r="BN30" i="7" s="1"/>
  <c r="AS52" i="1" s="1"/>
  <c r="BL30" i="7"/>
  <c r="AR52" i="1" s="1"/>
  <c r="BK26" i="7"/>
  <c r="BN26" i="7" s="1"/>
  <c r="AS48" i="1" s="1"/>
  <c r="BK28" i="7"/>
  <c r="BN28" i="7" s="1"/>
  <c r="AS50" i="1" s="1"/>
  <c r="BL27" i="7"/>
  <c r="BM27" i="7" s="1"/>
  <c r="AG6" i="8" s="1"/>
  <c r="BK27" i="7"/>
  <c r="BN27" i="7" s="1"/>
  <c r="AS49" i="1" s="1"/>
  <c r="BL29" i="7"/>
  <c r="AR51" i="1" s="1"/>
  <c r="BL24" i="7"/>
  <c r="BM24" i="7" s="1"/>
  <c r="AG3" i="8" s="1"/>
  <c r="BK25" i="7"/>
  <c r="BN25" i="7" s="1"/>
  <c r="AS47" i="1" s="1"/>
  <c r="BK24" i="7"/>
  <c r="BN24" i="7" s="1"/>
  <c r="AS46" i="1" s="1"/>
  <c r="BK29" i="7"/>
  <c r="BN29" i="7" s="1"/>
  <c r="AS51" i="1" s="1"/>
  <c r="BL25" i="7"/>
  <c r="AR47" i="1" s="1"/>
  <c r="BM30" i="7"/>
  <c r="AG9" i="8" s="1"/>
  <c r="BH82" i="7"/>
  <c r="BH84" i="7"/>
  <c r="BH83" i="7"/>
  <c r="BH85" i="7"/>
  <c r="BH87" i="7"/>
  <c r="BH86" i="7"/>
  <c r="BH89" i="7"/>
  <c r="BH88" i="7"/>
  <c r="BH90" i="7"/>
  <c r="BH91" i="7"/>
  <c r="BH92" i="7"/>
  <c r="BH93" i="7"/>
  <c r="BH94" i="7"/>
  <c r="BH95" i="7"/>
  <c r="BH96" i="7"/>
  <c r="BH97" i="7"/>
  <c r="BH98" i="7"/>
  <c r="BH99" i="7"/>
  <c r="BH100" i="7"/>
  <c r="BH101" i="7"/>
  <c r="BH102" i="7"/>
  <c r="BH103" i="7"/>
  <c r="BH104" i="7"/>
  <c r="BH105" i="7"/>
  <c r="BH106" i="7"/>
  <c r="BH107" i="7"/>
  <c r="BH108" i="7"/>
  <c r="BH109" i="7"/>
  <c r="BH110" i="7"/>
  <c r="BH111" i="7"/>
  <c r="BM28" i="7"/>
  <c r="AG7" i="8" s="1"/>
  <c r="AR50" i="1"/>
  <c r="BN23" i="7" l="1"/>
  <c r="AS45" i="1" s="1"/>
  <c r="AS43" i="1" s="1"/>
  <c r="AR48" i="1"/>
  <c r="AR46" i="1"/>
  <c r="BM25" i="7"/>
  <c r="AG4" i="8" s="1"/>
  <c r="BM29" i="7"/>
  <c r="AG8" i="8" s="1"/>
  <c r="AR49" i="1"/>
  <c r="BH113" i="7"/>
  <c r="BH114" i="7" l="1"/>
  <c r="BI99" i="7" s="1"/>
  <c r="AX138" i="7" s="1"/>
  <c r="BF115" i="7"/>
  <c r="BA114" i="7"/>
  <c r="BB114" i="7"/>
  <c r="BC115" i="7"/>
  <c r="BB115" i="7"/>
  <c r="BD114" i="7"/>
  <c r="BF114" i="7"/>
  <c r="BE115" i="7"/>
  <c r="BD115" i="7"/>
  <c r="BC114" i="7"/>
  <c r="BA115" i="7"/>
  <c r="BE114" i="7"/>
  <c r="BI84" i="7" l="1"/>
  <c r="AX123" i="7" s="1"/>
  <c r="BI82" i="7"/>
  <c r="AX121" i="7" s="1"/>
  <c r="BI111" i="7"/>
  <c r="AX150" i="7" s="1"/>
  <c r="BI92" i="7"/>
  <c r="AX131" i="7" s="1"/>
  <c r="BI97" i="7"/>
  <c r="AX136" i="7" s="1"/>
  <c r="BI98" i="7"/>
  <c r="AX137" i="7" s="1"/>
  <c r="BI102" i="7"/>
  <c r="AX141" i="7" s="1"/>
  <c r="BI85" i="7"/>
  <c r="AX124" i="7" s="1"/>
  <c r="BI100" i="7"/>
  <c r="AX139" i="7" s="1"/>
  <c r="BI88" i="7"/>
  <c r="AX127" i="7" s="1"/>
  <c r="BI86" i="7"/>
  <c r="AX125" i="7" s="1"/>
  <c r="BI109" i="7"/>
  <c r="AX148" i="7" s="1"/>
  <c r="BI93" i="7"/>
  <c r="AX132" i="7" s="1"/>
  <c r="BI91" i="7"/>
  <c r="AX130" i="7" s="1"/>
  <c r="BI107" i="7"/>
  <c r="AX146" i="7" s="1"/>
  <c r="BI101" i="7"/>
  <c r="AX140" i="7" s="1"/>
  <c r="BI96" i="7"/>
  <c r="AX135" i="7" s="1"/>
  <c r="BI108" i="7"/>
  <c r="AX147" i="7" s="1"/>
  <c r="BI104" i="7"/>
  <c r="AX143" i="7" s="1"/>
  <c r="BI103" i="7"/>
  <c r="AX142" i="7" s="1"/>
  <c r="BI105" i="7"/>
  <c r="AX144" i="7" s="1"/>
  <c r="BI94" i="7"/>
  <c r="AX133" i="7" s="1"/>
  <c r="BI89" i="7"/>
  <c r="AX128" i="7" s="1"/>
  <c r="BI83" i="7"/>
  <c r="AX122" i="7" s="1"/>
  <c r="BI95" i="7"/>
  <c r="AX134" i="7" s="1"/>
  <c r="BI90" i="7"/>
  <c r="AX129" i="7" s="1"/>
  <c r="BI110" i="7"/>
  <c r="AX149" i="7" s="1"/>
  <c r="BI87" i="7"/>
  <c r="AX126" i="7" s="1"/>
  <c r="BI106" i="7"/>
  <c r="AX145" i="7" s="1"/>
  <c r="AX152" i="7" l="1"/>
  <c r="AX120" i="7"/>
  <c r="AZ120" i="7"/>
  <c r="AY121" i="7" l="1"/>
  <c r="AZ121" i="7" s="1"/>
  <c r="AY122" i="7" l="1"/>
  <c r="AZ122" i="7" s="1"/>
  <c r="BA121" i="7"/>
  <c r="AY123" i="7" l="1"/>
  <c r="AY124" i="7" s="1"/>
  <c r="AY125" i="7" s="1"/>
  <c r="AY126" i="7" s="1"/>
  <c r="AY127" i="7" s="1"/>
  <c r="BB121" i="7"/>
  <c r="AZ123" i="7" l="1"/>
  <c r="AZ124" i="7" s="1"/>
  <c r="AY128" i="7"/>
  <c r="BC121" i="7"/>
  <c r="AZ125" i="7" l="1"/>
  <c r="AZ126" i="7" s="1"/>
  <c r="AZ127" i="7" s="1"/>
  <c r="AZ128" i="7" s="1"/>
  <c r="BD121" i="7"/>
  <c r="AY129" i="7"/>
  <c r="AZ129" i="7" l="1"/>
  <c r="BE121" i="7"/>
  <c r="AY130" i="7"/>
  <c r="AZ130" i="7" l="1"/>
  <c r="BF121" i="7"/>
  <c r="AY131" i="7"/>
  <c r="BG121" i="7" l="1"/>
  <c r="AY132" i="7"/>
  <c r="AZ131" i="7"/>
  <c r="AY133" i="7" l="1"/>
  <c r="AZ132" i="7"/>
  <c r="AY134" i="7" l="1"/>
  <c r="AZ133" i="7"/>
  <c r="AZ134" i="7" l="1"/>
  <c r="AY135" i="7"/>
  <c r="AY136" i="7" l="1"/>
  <c r="AZ135" i="7"/>
  <c r="AZ136" i="7" l="1"/>
  <c r="AY137" i="7"/>
  <c r="AY138" i="7" l="1"/>
  <c r="AZ137" i="7"/>
  <c r="AZ138" i="7" l="1"/>
  <c r="AY139" i="7"/>
  <c r="AY140" i="7" l="1"/>
  <c r="AZ139" i="7"/>
  <c r="AZ140" i="7" l="1"/>
  <c r="AY141" i="7"/>
  <c r="AY142" i="7" l="1"/>
  <c r="AZ141" i="7"/>
  <c r="AZ142" i="7" l="1"/>
  <c r="AY143" i="7"/>
  <c r="AY144" i="7" l="1"/>
  <c r="AZ143" i="7"/>
  <c r="AZ144" i="7" l="1"/>
  <c r="AY145" i="7"/>
  <c r="AY146" i="7" l="1"/>
  <c r="AZ145" i="7"/>
  <c r="AZ146" i="7" l="1"/>
  <c r="AY147" i="7"/>
  <c r="AY148" i="7" l="1"/>
  <c r="AZ147" i="7"/>
  <c r="AZ148" i="7" l="1"/>
  <c r="AY149" i="7"/>
  <c r="AY150" i="7" l="1"/>
  <c r="AZ149" i="7"/>
  <c r="AZ150" i="7" l="1"/>
  <c r="AZ151" i="7" s="1"/>
  <c r="AZ153" i="7" s="1"/>
  <c r="AY151" i="7"/>
  <c r="AZ152" i="7" l="1"/>
  <c r="AZ154" i="7" s="1"/>
  <c r="AY153" i="7"/>
  <c r="AY152" i="7"/>
  <c r="AY154" i="7" s="1"/>
  <c r="AZ156" i="7" l="1"/>
  <c r="BA122" i="7" s="1"/>
  <c r="BA123" i="7" l="1"/>
  <c r="BA124" i="7" l="1"/>
  <c r="BA125" i="7" l="1"/>
  <c r="BA126" i="7" s="1"/>
  <c r="BA127" i="7" l="1"/>
  <c r="BA128" i="7" s="1"/>
  <c r="BA129" i="7" l="1"/>
  <c r="BA130" i="7" l="1"/>
  <c r="BA131" i="7" l="1"/>
  <c r="BA132" i="7" l="1"/>
  <c r="BA133" i="7" l="1"/>
  <c r="BA134" i="7" l="1"/>
  <c r="BA135" i="7" l="1"/>
  <c r="BA136" i="7" l="1"/>
  <c r="BA137" i="7" l="1"/>
  <c r="BA138" i="7" l="1"/>
  <c r="BA139" i="7" l="1"/>
  <c r="BA140" i="7" l="1"/>
  <c r="BA141" i="7" l="1"/>
  <c r="BA142" i="7" l="1"/>
  <c r="BA143" i="7" l="1"/>
  <c r="BA144" i="7" l="1"/>
  <c r="BA145" i="7" l="1"/>
  <c r="BA146" i="7" l="1"/>
  <c r="BA147" i="7" l="1"/>
  <c r="BA148" i="7" l="1"/>
  <c r="BA149" i="7" l="1"/>
  <c r="BA150" i="7" l="1"/>
  <c r="BA151" i="7" l="1"/>
  <c r="BA152" i="7" l="1"/>
  <c r="BA156" i="7" s="1"/>
  <c r="BA155" i="7"/>
  <c r="BB122" i="7" l="1"/>
  <c r="BB123" i="7" s="1"/>
  <c r="BB124" i="7" l="1"/>
  <c r="BB125" i="7" s="1"/>
  <c r="BB126" i="7" l="1"/>
  <c r="BB127" i="7" l="1"/>
  <c r="BB128" i="7" l="1"/>
  <c r="BB129" i="7" l="1"/>
  <c r="BB130" i="7" s="1"/>
  <c r="BB131" i="7" l="1"/>
  <c r="BB132" i="7" l="1"/>
  <c r="BB133" i="7" l="1"/>
  <c r="BB134" i="7" l="1"/>
  <c r="BB135" i="7" l="1"/>
  <c r="BB136" i="7" l="1"/>
  <c r="BB137" i="7" l="1"/>
  <c r="BB138" i="7" l="1"/>
  <c r="BB139" i="7" l="1"/>
  <c r="BB140" i="7" l="1"/>
  <c r="BB141" i="7" l="1"/>
  <c r="BB142" i="7" l="1"/>
  <c r="BB143" i="7" l="1"/>
  <c r="BB144" i="7" l="1"/>
  <c r="BB145" i="7" l="1"/>
  <c r="BB146" i="7" l="1"/>
  <c r="BB147" i="7" l="1"/>
  <c r="BB148" i="7" l="1"/>
  <c r="BB149" i="7" l="1"/>
  <c r="BB150" i="7" l="1"/>
  <c r="BB151" i="7" l="1"/>
  <c r="BB155" i="7" l="1"/>
  <c r="BB152" i="7"/>
  <c r="BB156" i="7" s="1"/>
  <c r="BC122" i="7" l="1"/>
  <c r="BC123" i="7" l="1"/>
  <c r="BC124" i="7" l="1"/>
  <c r="BC125" i="7" s="1"/>
  <c r="BC126" i="7" s="1"/>
  <c r="BC127" i="7" l="1"/>
  <c r="BC128" i="7" l="1"/>
  <c r="BC129" i="7" s="1"/>
  <c r="BC130" i="7" s="1"/>
  <c r="BC131" i="7" l="1"/>
  <c r="BC132" i="7" l="1"/>
  <c r="BC133" i="7" s="1"/>
  <c r="BC134" i="7" s="1"/>
  <c r="BC135" i="7" l="1"/>
  <c r="BC136" i="7" s="1"/>
  <c r="BC137" i="7" l="1"/>
  <c r="BC138" i="7" s="1"/>
  <c r="BC139" i="7" l="1"/>
  <c r="BC140" i="7" s="1"/>
  <c r="BC141" i="7" l="1"/>
  <c r="BC142" i="7" s="1"/>
  <c r="BC143" i="7" l="1"/>
  <c r="BC144" i="7" s="1"/>
  <c r="BC145" i="7" l="1"/>
  <c r="BC146" i="7" s="1"/>
  <c r="BC147" i="7" l="1"/>
  <c r="BC148" i="7" s="1"/>
  <c r="BC149" i="7" l="1"/>
  <c r="BC150" i="7" s="1"/>
  <c r="BC151" i="7" l="1"/>
  <c r="BC152" i="7" l="1"/>
  <c r="BC156" i="7" s="1"/>
  <c r="BC155" i="7"/>
  <c r="BD122" i="7" l="1"/>
  <c r="BD123" i="7" s="1"/>
  <c r="BD124" i="7" s="1"/>
  <c r="BD125" i="7" l="1"/>
  <c r="BD126" i="7" l="1"/>
  <c r="BD127" i="7" l="1"/>
  <c r="BD128" i="7" s="1"/>
  <c r="BD129" i="7" l="1"/>
  <c r="BD130" i="7" s="1"/>
  <c r="BD131" i="7" s="1"/>
  <c r="BD132" i="7" s="1"/>
  <c r="BD133" i="7" s="1"/>
  <c r="BD134" i="7" s="1"/>
  <c r="BD135" i="7" s="1"/>
  <c r="BD136" i="7" s="1"/>
  <c r="BD137" i="7" s="1"/>
  <c r="BD138" i="7" s="1"/>
  <c r="BD139" i="7" s="1"/>
  <c r="BD140" i="7" s="1"/>
  <c r="BD141" i="7" s="1"/>
  <c r="BD142" i="7" s="1"/>
  <c r="BD143" i="7" s="1"/>
  <c r="BD144" i="7" s="1"/>
  <c r="BD145" i="7" s="1"/>
  <c r="BD146" i="7" s="1"/>
  <c r="BD147" i="7" s="1"/>
  <c r="BD148" i="7" s="1"/>
  <c r="BD149" i="7" s="1"/>
  <c r="BD150" i="7" s="1"/>
  <c r="BD151" i="7" s="1"/>
  <c r="BD155" i="7" l="1"/>
  <c r="BD152" i="7"/>
  <c r="BD156" i="7" s="1"/>
  <c r="BE122" i="7" l="1"/>
  <c r="BE123" i="7" l="1"/>
  <c r="BE124" i="7" l="1"/>
  <c r="BE125" i="7" l="1"/>
  <c r="BE126" i="7" l="1"/>
  <c r="BE127" i="7" l="1"/>
  <c r="BE128" i="7" s="1"/>
  <c r="BE129" i="7" s="1"/>
  <c r="BE130" i="7" s="1"/>
  <c r="BE131" i="7" s="1"/>
  <c r="BE132" i="7" s="1"/>
  <c r="BE133" i="7" s="1"/>
  <c r="BE134" i="7" s="1"/>
  <c r="BE135" i="7" s="1"/>
  <c r="BE136" i="7" s="1"/>
  <c r="BE137" i="7" s="1"/>
  <c r="BE138" i="7" s="1"/>
  <c r="BE139" i="7" s="1"/>
  <c r="BE140" i="7" s="1"/>
  <c r="BE141" i="7" s="1"/>
  <c r="BE142" i="7" s="1"/>
  <c r="BE143" i="7" s="1"/>
  <c r="BE144" i="7" s="1"/>
  <c r="BE145" i="7" s="1"/>
  <c r="BE146" i="7" s="1"/>
  <c r="BE147" i="7" s="1"/>
  <c r="BE148" i="7" s="1"/>
  <c r="BE149" i="7" s="1"/>
  <c r="BE150" i="7" s="1"/>
  <c r="BE151" i="7" s="1"/>
  <c r="BE152" i="7" l="1"/>
  <c r="BE156" i="7" s="1"/>
  <c r="BE155" i="7"/>
  <c r="BF122" i="7" l="1"/>
  <c r="BF123" i="7" s="1"/>
  <c r="BG123" i="7" s="1"/>
  <c r="BF124" i="7" l="1"/>
  <c r="BF125" i="7" s="1"/>
  <c r="BG125" i="7" s="1"/>
  <c r="BG122" i="7"/>
  <c r="BF126" i="7" l="1"/>
  <c r="BG126" i="7" s="1"/>
  <c r="BG124" i="7"/>
  <c r="BF127" i="7" l="1"/>
  <c r="BG127" i="7" s="1"/>
  <c r="BF128" i="7" l="1"/>
  <c r="BG128" i="7" s="1"/>
  <c r="BF129" i="7" l="1"/>
  <c r="BG129" i="7" s="1"/>
  <c r="BF130" i="7" l="1"/>
  <c r="BG130" i="7" s="1"/>
  <c r="BF131" i="7" l="1"/>
  <c r="BG131" i="7" s="1"/>
  <c r="BF132" i="7" l="1"/>
  <c r="BG132" i="7" s="1"/>
  <c r="BF133" i="7" l="1"/>
  <c r="BG133" i="7" s="1"/>
  <c r="BF134" i="7" l="1"/>
  <c r="BG134" i="7" s="1"/>
  <c r="BF135" i="7" l="1"/>
  <c r="BG135" i="7" s="1"/>
  <c r="BF136" i="7" l="1"/>
  <c r="BG136" i="7" s="1"/>
  <c r="BF137" i="7" l="1"/>
  <c r="BG137" i="7" s="1"/>
  <c r="BF138" i="7" l="1"/>
  <c r="BG138" i="7" s="1"/>
  <c r="BF139" i="7" l="1"/>
  <c r="BG139" i="7" s="1"/>
  <c r="BF140" i="7" l="1"/>
  <c r="BG140" i="7" s="1"/>
  <c r="BF141" i="7" l="1"/>
  <c r="BG141" i="7" s="1"/>
  <c r="BF142" i="7" l="1"/>
  <c r="BG142" i="7" s="1"/>
  <c r="BF143" i="7" l="1"/>
  <c r="BG143" i="7" s="1"/>
  <c r="BF144" i="7" l="1"/>
  <c r="BG144" i="7" s="1"/>
  <c r="BF145" i="7" l="1"/>
  <c r="BG145" i="7" s="1"/>
  <c r="BF146" i="7" l="1"/>
  <c r="BG146" i="7" s="1"/>
  <c r="BF147" i="7" l="1"/>
  <c r="BG147" i="7" s="1"/>
  <c r="BF148" i="7" l="1"/>
  <c r="BG148" i="7" s="1"/>
  <c r="BF149" i="7" l="1"/>
  <c r="BG149" i="7" s="1"/>
  <c r="BF150" i="7" l="1"/>
  <c r="BG150" i="7" s="1"/>
  <c r="BF151" i="7" l="1"/>
  <c r="BF152" i="7" s="1"/>
  <c r="BG152" i="7"/>
  <c r="BF155" i="7" l="1"/>
  <c r="AY155" i="7" s="1"/>
  <c r="BK39" i="7" s="1"/>
  <c r="BN39" i="7" s="1"/>
  <c r="AU52" i="1" s="1"/>
  <c r="BG154" i="7"/>
  <c r="BG153" i="7"/>
  <c r="BF156" i="7"/>
  <c r="BL39" i="7" l="1"/>
  <c r="BL35" i="7"/>
  <c r="BK35" i="7"/>
  <c r="BN35" i="7" s="1"/>
  <c r="AU48" i="1" s="1"/>
  <c r="BK34" i="7"/>
  <c r="BN34" i="7" s="1"/>
  <c r="AU47" i="1" s="1"/>
  <c r="BL36" i="7"/>
  <c r="BM36" i="7" s="1"/>
  <c r="AH6" i="8" s="1"/>
  <c r="BL32" i="7"/>
  <c r="AT45" i="1" s="1"/>
  <c r="BK38" i="7"/>
  <c r="BN38" i="7" s="1"/>
  <c r="AU51" i="1" s="1"/>
  <c r="BK33" i="7"/>
  <c r="BN33" i="7" s="1"/>
  <c r="AU46" i="1" s="1"/>
  <c r="BL34" i="7"/>
  <c r="BM34" i="7" s="1"/>
  <c r="AH4" i="8" s="1"/>
  <c r="BL37" i="7"/>
  <c r="AT50" i="1" s="1"/>
  <c r="BK37" i="7"/>
  <c r="BN37" i="7" s="1"/>
  <c r="AU50" i="1" s="1"/>
  <c r="BK36" i="7"/>
  <c r="BN36" i="7" s="1"/>
  <c r="AU49" i="1" s="1"/>
  <c r="BK32" i="7"/>
  <c r="BL33" i="7"/>
  <c r="AT46" i="1" s="1"/>
  <c r="BL38" i="7"/>
  <c r="AT51" i="1" s="1"/>
  <c r="AT52" i="1"/>
  <c r="BM39" i="7"/>
  <c r="AH9" i="8" s="1"/>
  <c r="BH121" i="7"/>
  <c r="BH123" i="7"/>
  <c r="BH125" i="7"/>
  <c r="BH126" i="7"/>
  <c r="BH122" i="7"/>
  <c r="BH124" i="7"/>
  <c r="BH127" i="7"/>
  <c r="BH128" i="7"/>
  <c r="BH129" i="7"/>
  <c r="BH130" i="7"/>
  <c r="BH131" i="7"/>
  <c r="BH132" i="7"/>
  <c r="BH133" i="7"/>
  <c r="BH134" i="7"/>
  <c r="BH135" i="7"/>
  <c r="BH136" i="7"/>
  <c r="BH137" i="7"/>
  <c r="BH138" i="7"/>
  <c r="BH139" i="7"/>
  <c r="BH140" i="7"/>
  <c r="BH141" i="7"/>
  <c r="BH142" i="7"/>
  <c r="BH143" i="7"/>
  <c r="BH144" i="7"/>
  <c r="BH145" i="7"/>
  <c r="BH146" i="7"/>
  <c r="BH147" i="7"/>
  <c r="BH148" i="7"/>
  <c r="BH149" i="7"/>
  <c r="BH150" i="7"/>
  <c r="AT48" i="1"/>
  <c r="BM35" i="7"/>
  <c r="AH5" i="8" s="1"/>
  <c r="BN32" i="7" l="1"/>
  <c r="AU45" i="1" s="1"/>
  <c r="AU43" i="1" s="1"/>
  <c r="AT49" i="1"/>
  <c r="AT47" i="1"/>
  <c r="BM37" i="7"/>
  <c r="AH7" i="8" s="1"/>
  <c r="BM38" i="7"/>
  <c r="AH8" i="8" s="1"/>
  <c r="BM33" i="7"/>
  <c r="AH3" i="8" s="1"/>
  <c r="BH152" i="7"/>
  <c r="BH153" i="7" l="1"/>
  <c r="BI149" i="7" s="1"/>
  <c r="AX188" i="7" s="1"/>
  <c r="BA153" i="7"/>
  <c r="BC153" i="7"/>
  <c r="BF153" i="7"/>
  <c r="BC154" i="7"/>
  <c r="BB153" i="7"/>
  <c r="BE153" i="7"/>
  <c r="BD153" i="7"/>
  <c r="BF154" i="7"/>
  <c r="BB154" i="7"/>
  <c r="BD154" i="7"/>
  <c r="BE154" i="7"/>
  <c r="BA154" i="7"/>
  <c r="BI122" i="7" l="1"/>
  <c r="AX161" i="7" s="1"/>
  <c r="BI130" i="7"/>
  <c r="AX169" i="7" s="1"/>
  <c r="BI125" i="7"/>
  <c r="AX164" i="7" s="1"/>
  <c r="BI142" i="7"/>
  <c r="AX181" i="7" s="1"/>
  <c r="BI144" i="7"/>
  <c r="AX183" i="7" s="1"/>
  <c r="BI123" i="7"/>
  <c r="AX162" i="7" s="1"/>
  <c r="BI134" i="7"/>
  <c r="AX173" i="7" s="1"/>
  <c r="BI147" i="7"/>
  <c r="AX186" i="7" s="1"/>
  <c r="BI146" i="7"/>
  <c r="AX185" i="7" s="1"/>
  <c r="BI139" i="7"/>
  <c r="AX178" i="7" s="1"/>
  <c r="BI141" i="7"/>
  <c r="AX180" i="7" s="1"/>
  <c r="BI128" i="7"/>
  <c r="AX167" i="7" s="1"/>
  <c r="BI150" i="7"/>
  <c r="AX189" i="7" s="1"/>
  <c r="BI126" i="7"/>
  <c r="AX165" i="7" s="1"/>
  <c r="BI132" i="7"/>
  <c r="AX171" i="7" s="1"/>
  <c r="BI138" i="7"/>
  <c r="AX177" i="7" s="1"/>
  <c r="BI140" i="7"/>
  <c r="AX179" i="7" s="1"/>
  <c r="BI143" i="7"/>
  <c r="AX182" i="7" s="1"/>
  <c r="BI129" i="7"/>
  <c r="AX168" i="7" s="1"/>
  <c r="BI135" i="7"/>
  <c r="AX174" i="7" s="1"/>
  <c r="BI127" i="7"/>
  <c r="AX166" i="7" s="1"/>
  <c r="BI136" i="7"/>
  <c r="AX175" i="7" s="1"/>
  <c r="BI124" i="7"/>
  <c r="AX163" i="7" s="1"/>
  <c r="BI145" i="7"/>
  <c r="AX184" i="7" s="1"/>
  <c r="BI121" i="7"/>
  <c r="AX160" i="7" s="1"/>
  <c r="BI131" i="7"/>
  <c r="AX170" i="7" s="1"/>
  <c r="BI137" i="7"/>
  <c r="AX176" i="7" s="1"/>
  <c r="BI148" i="7"/>
  <c r="AX187" i="7" s="1"/>
  <c r="BI133" i="7"/>
  <c r="AX172" i="7" s="1"/>
  <c r="AX159" i="7" l="1"/>
  <c r="AZ159" i="7"/>
  <c r="AX191" i="7"/>
  <c r="AY160" i="7" l="1"/>
  <c r="AZ160" i="7" s="1"/>
  <c r="BA160" i="7" s="1"/>
  <c r="AY161" i="7" l="1"/>
  <c r="AY162" i="7" s="1"/>
  <c r="BB160" i="7"/>
  <c r="AY163" i="7" l="1"/>
  <c r="AY164" i="7" s="1"/>
  <c r="AZ161" i="7"/>
  <c r="AZ162" i="7" s="1"/>
  <c r="BC160" i="7"/>
  <c r="AY165" i="7" l="1"/>
  <c r="AY166" i="7" s="1"/>
  <c r="AZ163" i="7"/>
  <c r="AZ164" i="7" s="1"/>
  <c r="BD160" i="7"/>
  <c r="BE160" i="7" s="1"/>
  <c r="BF160" i="7" l="1"/>
  <c r="AZ165" i="7"/>
  <c r="AY167" i="7"/>
  <c r="AZ166" i="7" l="1"/>
  <c r="AY168" i="7"/>
  <c r="BG160" i="7"/>
  <c r="AZ167" i="7" l="1"/>
  <c r="AY169" i="7"/>
  <c r="AY170" i="7" l="1"/>
  <c r="AZ168" i="7"/>
  <c r="AZ169" i="7" l="1"/>
  <c r="AY171" i="7"/>
  <c r="AY172" i="7" l="1"/>
  <c r="AZ170" i="7"/>
  <c r="AZ171" i="7" l="1"/>
  <c r="AY173" i="7"/>
  <c r="AY174" i="7" l="1"/>
  <c r="AZ172" i="7"/>
  <c r="AZ173" i="7" l="1"/>
  <c r="AY175" i="7"/>
  <c r="AY176" i="7" l="1"/>
  <c r="AZ174" i="7"/>
  <c r="AZ175" i="7" l="1"/>
  <c r="AY177" i="7"/>
  <c r="AY178" i="7" l="1"/>
  <c r="AZ176" i="7"/>
  <c r="AY179" i="7" l="1"/>
  <c r="AZ177" i="7"/>
  <c r="AZ178" i="7" l="1"/>
  <c r="AY180" i="7"/>
  <c r="AY181" i="7" l="1"/>
  <c r="AZ179" i="7"/>
  <c r="AZ180" i="7" l="1"/>
  <c r="AY182" i="7"/>
  <c r="AY183" i="7" l="1"/>
  <c r="AZ181" i="7"/>
  <c r="AZ182" i="7" l="1"/>
  <c r="AY184" i="7"/>
  <c r="AY185" i="7" l="1"/>
  <c r="AZ183" i="7"/>
  <c r="AZ184" i="7" l="1"/>
  <c r="AY186" i="7"/>
  <c r="AY187" i="7" l="1"/>
  <c r="AZ185" i="7"/>
  <c r="AZ186" i="7" l="1"/>
  <c r="AY188" i="7"/>
  <c r="AY189" i="7" l="1"/>
  <c r="AZ187" i="7"/>
  <c r="AZ188" i="7" l="1"/>
  <c r="AY190" i="7"/>
  <c r="AY191" i="7" l="1"/>
  <c r="AY193" i="7" s="1"/>
  <c r="AY192" i="7"/>
  <c r="AZ189" i="7"/>
  <c r="AZ190" i="7" l="1"/>
  <c r="AZ191" i="7" l="1"/>
  <c r="AZ192" i="7"/>
  <c r="AZ195" i="7" l="1"/>
  <c r="AZ193" i="7"/>
  <c r="BA161" i="7" l="1"/>
  <c r="BA162" i="7" l="1"/>
  <c r="BA163" i="7" l="1"/>
  <c r="BA164" i="7" l="1"/>
  <c r="BA165" i="7" l="1"/>
  <c r="BA166" i="7" s="1"/>
  <c r="BA167" i="7" l="1"/>
  <c r="BA168" i="7" l="1"/>
  <c r="BA169" i="7" l="1"/>
  <c r="BA170" i="7" l="1"/>
  <c r="BA171" i="7" l="1"/>
  <c r="BA172" i="7" l="1"/>
  <c r="BA173" i="7" l="1"/>
  <c r="BA174" i="7" l="1"/>
  <c r="BA175" i="7" l="1"/>
  <c r="BA176" i="7" l="1"/>
  <c r="BA177" i="7" l="1"/>
  <c r="BA178" i="7" l="1"/>
  <c r="BA179" i="7" l="1"/>
  <c r="BA180" i="7" l="1"/>
  <c r="BA181" i="7" l="1"/>
  <c r="BA182" i="7" l="1"/>
  <c r="BA183" i="7" l="1"/>
  <c r="BA184" i="7" l="1"/>
  <c r="BA185" i="7" l="1"/>
  <c r="BA186" i="7" l="1"/>
  <c r="BA187" i="7" l="1"/>
  <c r="BA188" i="7" l="1"/>
  <c r="BA189" i="7" l="1"/>
  <c r="BA190" i="7" l="1"/>
  <c r="BA194" i="7" l="1"/>
  <c r="BA191" i="7"/>
  <c r="BA195" i="7" s="1"/>
  <c r="BB161" i="7" l="1"/>
  <c r="BB162" i="7" s="1"/>
  <c r="BB163" i="7" l="1"/>
  <c r="BB164" i="7" s="1"/>
  <c r="BB165" i="7" l="1"/>
  <c r="BB166" i="7" l="1"/>
  <c r="BB167" i="7" s="1"/>
  <c r="BB168" i="7" l="1"/>
  <c r="BB169" i="7" l="1"/>
  <c r="BB170" i="7" l="1"/>
  <c r="BB171" i="7" l="1"/>
  <c r="BB172" i="7" l="1"/>
  <c r="BB173" i="7" l="1"/>
  <c r="BB174" i="7" l="1"/>
  <c r="BB175" i="7" l="1"/>
  <c r="BB176" i="7" l="1"/>
  <c r="BB177" i="7" l="1"/>
  <c r="BB178" i="7" l="1"/>
  <c r="BB179" i="7" l="1"/>
  <c r="BB180" i="7" l="1"/>
  <c r="BB181" i="7" l="1"/>
  <c r="BB182" i="7" l="1"/>
  <c r="BB183" i="7" l="1"/>
  <c r="BB184" i="7" l="1"/>
  <c r="BB185" i="7" l="1"/>
  <c r="BB186" i="7" l="1"/>
  <c r="BB187" i="7" l="1"/>
  <c r="BB188" i="7" l="1"/>
  <c r="BB189" i="7" l="1"/>
  <c r="BB190" i="7" l="1"/>
  <c r="BB194" i="7" l="1"/>
  <c r="BB191" i="7"/>
  <c r="BB195" i="7" s="1"/>
  <c r="BC161" i="7" l="1"/>
  <c r="BC162" i="7" l="1"/>
  <c r="BC163" i="7" l="1"/>
  <c r="BC164" i="7" l="1"/>
  <c r="BC165" i="7" s="1"/>
  <c r="BC166" i="7" l="1"/>
  <c r="BC167" i="7" s="1"/>
  <c r="BC168" i="7" s="1"/>
  <c r="BC169" i="7" s="1"/>
  <c r="BC170" i="7" s="1"/>
  <c r="BC171" i="7" s="1"/>
  <c r="BC172" i="7" s="1"/>
  <c r="BC173" i="7" s="1"/>
  <c r="BC174" i="7" s="1"/>
  <c r="BC175" i="7" s="1"/>
  <c r="BC176" i="7" s="1"/>
  <c r="BC177" i="7" s="1"/>
  <c r="BC178" i="7" s="1"/>
  <c r="BC179" i="7" s="1"/>
  <c r="BC180" i="7" s="1"/>
  <c r="BC181" i="7" s="1"/>
  <c r="BC182" i="7" s="1"/>
  <c r="BC183" i="7" s="1"/>
  <c r="BC184" i="7" s="1"/>
  <c r="BC185" i="7" s="1"/>
  <c r="BC186" i="7" s="1"/>
  <c r="BC187" i="7" s="1"/>
  <c r="BC188" i="7" s="1"/>
  <c r="BC189" i="7" s="1"/>
  <c r="BC190" i="7" s="1"/>
  <c r="BC191" i="7" l="1"/>
  <c r="BC195" i="7" s="1"/>
  <c r="BC194" i="7"/>
  <c r="BD161" i="7" l="1"/>
  <c r="BD162" i="7" l="1"/>
  <c r="BD163" i="7" l="1"/>
  <c r="BD164" i="7" s="1"/>
  <c r="BD165" i="7" l="1"/>
  <c r="BD166" i="7" l="1"/>
  <c r="BD167" i="7" s="1"/>
  <c r="BD168" i="7" s="1"/>
  <c r="BD169" i="7" s="1"/>
  <c r="BD170" i="7" s="1"/>
  <c r="BD171" i="7" s="1"/>
  <c r="BD172" i="7" s="1"/>
  <c r="BD173" i="7" s="1"/>
  <c r="BD174" i="7" s="1"/>
  <c r="BD175" i="7" s="1"/>
  <c r="BD176" i="7" s="1"/>
  <c r="BD177" i="7" s="1"/>
  <c r="BD178" i="7" s="1"/>
  <c r="BD179" i="7" s="1"/>
  <c r="BD180" i="7" s="1"/>
  <c r="BD181" i="7" s="1"/>
  <c r="BD182" i="7" s="1"/>
  <c r="BD183" i="7" s="1"/>
  <c r="BD184" i="7" s="1"/>
  <c r="BD185" i="7" s="1"/>
  <c r="BD186" i="7" s="1"/>
  <c r="BD187" i="7" s="1"/>
  <c r="BD188" i="7" s="1"/>
  <c r="BD189" i="7" s="1"/>
  <c r="BD190" i="7" s="1"/>
  <c r="BD191" i="7" l="1"/>
  <c r="BD195" i="7" s="1"/>
  <c r="BD194" i="7"/>
  <c r="BE161" i="7" l="1"/>
  <c r="BE162" i="7" l="1"/>
  <c r="BE163" i="7" l="1"/>
  <c r="BE164" i="7" l="1"/>
  <c r="BE165" i="7" s="1"/>
  <c r="BE166" i="7" s="1"/>
  <c r="BE167" i="7" s="1"/>
  <c r="BE168" i="7" s="1"/>
  <c r="BE169" i="7" s="1"/>
  <c r="BE170" i="7" s="1"/>
  <c r="BE171" i="7" s="1"/>
  <c r="BE172" i="7" s="1"/>
  <c r="BE173" i="7" s="1"/>
  <c r="BE174" i="7" s="1"/>
  <c r="BE175" i="7" s="1"/>
  <c r="BE176" i="7" s="1"/>
  <c r="BE177" i="7" s="1"/>
  <c r="BE178" i="7" s="1"/>
  <c r="BE179" i="7" s="1"/>
  <c r="BE180" i="7" s="1"/>
  <c r="BE181" i="7" s="1"/>
  <c r="BE182" i="7" s="1"/>
  <c r="BE183" i="7" s="1"/>
  <c r="BE184" i="7" s="1"/>
  <c r="BE185" i="7" s="1"/>
  <c r="BE186" i="7" s="1"/>
  <c r="BE187" i="7" s="1"/>
  <c r="BE188" i="7" s="1"/>
  <c r="BE189" i="7" s="1"/>
  <c r="BE190" i="7" s="1"/>
  <c r="BE191" i="7" l="1"/>
  <c r="BE195" i="7" s="1"/>
  <c r="BE194" i="7"/>
  <c r="BF161" i="7" l="1"/>
  <c r="BF162" i="7" s="1"/>
  <c r="BG162" i="7" s="1"/>
  <c r="BF163" i="7" l="1"/>
  <c r="BG163" i="7" s="1"/>
  <c r="BG161" i="7"/>
  <c r="BF164" i="7" l="1"/>
  <c r="BG164" i="7" s="1"/>
  <c r="BF165" i="7" l="1"/>
  <c r="BG165" i="7" s="1"/>
  <c r="BF166" i="7" l="1"/>
  <c r="BG166" i="7" s="1"/>
  <c r="BF167" i="7" l="1"/>
  <c r="BG167" i="7" s="1"/>
  <c r="BF168" i="7" l="1"/>
  <c r="BG168" i="7" s="1"/>
  <c r="BF169" i="7" l="1"/>
  <c r="BG169" i="7" s="1"/>
  <c r="BF170" i="7" l="1"/>
  <c r="BG170" i="7" s="1"/>
  <c r="BF171" i="7" l="1"/>
  <c r="BG171" i="7" s="1"/>
  <c r="BF172" i="7" l="1"/>
  <c r="BG172" i="7" s="1"/>
  <c r="BF173" i="7" l="1"/>
  <c r="BG173" i="7" s="1"/>
  <c r="BF174" i="7" l="1"/>
  <c r="BG174" i="7" s="1"/>
  <c r="BF175" i="7" l="1"/>
  <c r="BF176" i="7" s="1"/>
  <c r="BG175" i="7" l="1"/>
  <c r="BG176" i="7"/>
  <c r="BF177" i="7"/>
  <c r="BG177" i="7" l="1"/>
  <c r="BF178" i="7"/>
  <c r="BG178" i="7" l="1"/>
  <c r="BF179" i="7"/>
  <c r="BG179" i="7" l="1"/>
  <c r="BF180" i="7"/>
  <c r="BG180" i="7" l="1"/>
  <c r="BF181" i="7"/>
  <c r="BG181" i="7" l="1"/>
  <c r="BF182" i="7"/>
  <c r="BG182" i="7" l="1"/>
  <c r="BF183" i="7"/>
  <c r="BG183" i="7" l="1"/>
  <c r="BF184" i="7"/>
  <c r="BG184" i="7" l="1"/>
  <c r="BF185" i="7"/>
  <c r="BG185" i="7" l="1"/>
  <c r="BF186" i="7"/>
  <c r="BG186" i="7" l="1"/>
  <c r="BF187" i="7"/>
  <c r="BG187" i="7" l="1"/>
  <c r="BF188" i="7"/>
  <c r="BG188" i="7" l="1"/>
  <c r="BF189" i="7"/>
  <c r="BG189" i="7" l="1"/>
  <c r="BF190" i="7"/>
  <c r="BF194" i="7" l="1"/>
  <c r="AY194" i="7" s="1"/>
  <c r="BF191" i="7"/>
  <c r="BG191" i="7"/>
  <c r="BG192" i="7" l="1"/>
  <c r="BF195" i="7"/>
  <c r="BG193" i="7"/>
  <c r="BL48" i="7"/>
  <c r="BK43" i="7"/>
  <c r="BN43" i="7" s="1"/>
  <c r="AW34" i="1" s="1"/>
  <c r="BL42" i="7"/>
  <c r="BK42" i="7"/>
  <c r="BN42" i="7" s="1"/>
  <c r="AW33" i="1" s="1"/>
  <c r="BL44" i="7"/>
  <c r="BL47" i="7"/>
  <c r="BK45" i="7"/>
  <c r="BN45" i="7" s="1"/>
  <c r="AW36" i="1" s="1"/>
  <c r="BL41" i="7"/>
  <c r="AV32" i="1" s="1"/>
  <c r="BK47" i="7"/>
  <c r="BN47" i="7" s="1"/>
  <c r="AW38" i="1" s="1"/>
  <c r="BL46" i="7"/>
  <c r="BL45" i="7"/>
  <c r="BK48" i="7"/>
  <c r="BN48" i="7" s="1"/>
  <c r="AW39" i="1" s="1"/>
  <c r="BK41" i="7"/>
  <c r="BK46" i="7"/>
  <c r="BN46" i="7" s="1"/>
  <c r="AW37" i="1" s="1"/>
  <c r="BL43" i="7"/>
  <c r="BK44" i="7"/>
  <c r="BN44" i="7" s="1"/>
  <c r="AW35" i="1" s="1"/>
  <c r="AT14" i="7" l="1"/>
  <c r="C12" i="8" s="1"/>
  <c r="AT15" i="7"/>
  <c r="C13" i="8" s="1"/>
  <c r="AT17" i="7"/>
  <c r="C15" i="8" s="1"/>
  <c r="AT19" i="7"/>
  <c r="C17" i="8" s="1"/>
  <c r="AT16" i="7"/>
  <c r="C14" i="8" s="1"/>
  <c r="AT18" i="7"/>
  <c r="C16" i="8" s="1"/>
  <c r="BN1" i="7"/>
  <c r="BN41" i="7"/>
  <c r="AW32" i="1" s="1"/>
  <c r="AW30" i="1" s="1"/>
  <c r="AI26" i="1" s="1"/>
  <c r="Y43" i="1" s="1"/>
  <c r="AV35" i="1"/>
  <c r="BM44" i="7"/>
  <c r="AI5" i="8" s="1"/>
  <c r="AV39" i="1"/>
  <c r="BM48" i="7"/>
  <c r="AI9" i="8" s="1"/>
  <c r="AV34" i="1"/>
  <c r="BM43" i="7"/>
  <c r="AI4" i="8" s="1"/>
  <c r="AV36" i="1"/>
  <c r="BM45" i="7"/>
  <c r="AI6" i="8" s="1"/>
  <c r="BM42" i="7"/>
  <c r="AI3" i="8" s="1"/>
  <c r="AV33" i="1"/>
  <c r="AV37" i="1"/>
  <c r="BM46" i="7"/>
  <c r="AI7" i="8" s="1"/>
  <c r="BM47" i="7"/>
  <c r="AI8" i="8" s="1"/>
  <c r="AV38" i="1"/>
  <c r="BH160" i="7"/>
  <c r="BH162" i="7"/>
  <c r="BH161" i="7"/>
  <c r="BH164" i="7"/>
  <c r="BH163" i="7"/>
  <c r="BH165" i="7"/>
  <c r="BH166" i="7"/>
  <c r="BH167" i="7"/>
  <c r="BH168" i="7"/>
  <c r="BH169" i="7"/>
  <c r="BH170" i="7"/>
  <c r="BH171" i="7"/>
  <c r="BH172" i="7"/>
  <c r="BH173" i="7"/>
  <c r="BH174" i="7"/>
  <c r="BH175" i="7"/>
  <c r="BH176" i="7"/>
  <c r="BH177" i="7"/>
  <c r="BH178" i="7"/>
  <c r="BH179" i="7"/>
  <c r="BH180" i="7"/>
  <c r="BH181" i="7"/>
  <c r="BH182" i="7"/>
  <c r="BH183" i="7"/>
  <c r="BH184" i="7"/>
  <c r="BH185" i="7"/>
  <c r="BH186" i="7"/>
  <c r="BH187" i="7"/>
  <c r="BH188" i="7"/>
  <c r="BH189" i="7"/>
  <c r="J37" i="8" l="1"/>
  <c r="J54" i="8"/>
  <c r="J31" i="8"/>
  <c r="J26" i="8"/>
  <c r="J36" i="8"/>
  <c r="J62" i="8"/>
  <c r="J139" i="8"/>
  <c r="J166" i="8"/>
  <c r="J22" i="8"/>
  <c r="J150" i="8"/>
  <c r="J107" i="8"/>
  <c r="J162" i="8"/>
  <c r="J130" i="8"/>
  <c r="J78" i="8"/>
  <c r="J152" i="8"/>
  <c r="J198" i="8"/>
  <c r="J73" i="8"/>
  <c r="J91" i="8"/>
  <c r="J191" i="8"/>
  <c r="J116" i="8"/>
  <c r="J189" i="8"/>
  <c r="J192" i="8"/>
  <c r="J89" i="8"/>
  <c r="J207" i="8"/>
  <c r="J169" i="8"/>
  <c r="J93" i="8"/>
  <c r="J111" i="8"/>
  <c r="J157" i="8"/>
  <c r="J67" i="8"/>
  <c r="J94" i="8"/>
  <c r="J194" i="8"/>
  <c r="J167" i="8"/>
  <c r="J158" i="8"/>
  <c r="J137" i="8"/>
  <c r="J145" i="8"/>
  <c r="J184" i="8"/>
  <c r="J156" i="8"/>
  <c r="J182" i="8"/>
  <c r="J80" i="8"/>
  <c r="J95" i="8"/>
  <c r="J185" i="8"/>
  <c r="J21" i="8"/>
  <c r="J79" i="8"/>
  <c r="J83" i="8"/>
  <c r="J52" i="8"/>
  <c r="J164" i="8"/>
  <c r="J100" i="8"/>
  <c r="J132" i="8"/>
  <c r="J27" i="8"/>
  <c r="J41" i="8"/>
  <c r="J23" i="8"/>
  <c r="J39" i="8"/>
  <c r="J25" i="8"/>
  <c r="J59" i="8"/>
  <c r="J55" i="8"/>
  <c r="J45" i="8"/>
  <c r="J44" i="8"/>
  <c r="J42" i="8"/>
  <c r="J147" i="8"/>
  <c r="J174" i="8"/>
  <c r="J105" i="8"/>
  <c r="J203" i="8"/>
  <c r="J20" i="8"/>
  <c r="J106" i="8"/>
  <c r="J86" i="8"/>
  <c r="J209" i="8"/>
  <c r="J196" i="8"/>
  <c r="J153" i="8"/>
  <c r="J126" i="8"/>
  <c r="J69" i="8"/>
  <c r="J188" i="8"/>
  <c r="J180" i="8"/>
  <c r="J190" i="8"/>
  <c r="J140" i="8"/>
  <c r="J175" i="8"/>
  <c r="J101" i="8"/>
  <c r="J206" i="8"/>
  <c r="J127" i="8"/>
  <c r="J138" i="8"/>
  <c r="J143" i="8"/>
  <c r="J128" i="8"/>
  <c r="J51" i="8"/>
  <c r="J171" i="8"/>
  <c r="J74" i="8"/>
  <c r="J110" i="8"/>
  <c r="J183" i="8"/>
  <c r="J170" i="8"/>
  <c r="J117" i="8"/>
  <c r="J87" i="8"/>
  <c r="J123" i="8"/>
  <c r="J85" i="8"/>
  <c r="J65" i="8"/>
  <c r="J131" i="8"/>
  <c r="J70" i="8"/>
  <c r="J195" i="8"/>
  <c r="J193" i="8"/>
  <c r="J92" i="8"/>
  <c r="J205" i="8"/>
  <c r="J48" i="8"/>
  <c r="J115" i="8"/>
  <c r="J75" i="8"/>
  <c r="J146" i="8"/>
  <c r="J155" i="8"/>
  <c r="J142" i="8"/>
  <c r="J160" i="8"/>
  <c r="J30" i="8"/>
  <c r="J32" i="8"/>
  <c r="J38" i="8"/>
  <c r="J29" i="8"/>
  <c r="J33" i="8"/>
  <c r="J64" i="8"/>
  <c r="J56" i="8"/>
  <c r="J60" i="8"/>
  <c r="J57" i="8"/>
  <c r="J43" i="8"/>
  <c r="J46" i="8"/>
  <c r="J178" i="8"/>
  <c r="J76" i="8"/>
  <c r="J176" i="8"/>
  <c r="J204" i="8"/>
  <c r="J84" i="8"/>
  <c r="J19" i="8"/>
  <c r="J113" i="8"/>
  <c r="J104" i="8"/>
  <c r="J18" i="8"/>
  <c r="J177" i="8"/>
  <c r="J151" i="8"/>
  <c r="J103" i="8"/>
  <c r="J202" i="8"/>
  <c r="J173" i="8"/>
  <c r="J186" i="8"/>
  <c r="J148" i="8"/>
  <c r="J112" i="8"/>
  <c r="J135" i="8"/>
  <c r="J210" i="8"/>
  <c r="J114" i="8"/>
  <c r="J118" i="8"/>
  <c r="J179" i="8"/>
  <c r="J200" i="8"/>
  <c r="J133" i="8"/>
  <c r="J120" i="8"/>
  <c r="J50" i="8"/>
  <c r="J144" i="8"/>
  <c r="J172" i="8"/>
  <c r="J96" i="8"/>
  <c r="J168" i="8"/>
  <c r="J211" i="8"/>
  <c r="J161" i="8"/>
  <c r="J125" i="8"/>
  <c r="J165" i="8"/>
  <c r="J141" i="8"/>
  <c r="J98" i="8"/>
  <c r="J24" i="8"/>
  <c r="J34" i="8"/>
  <c r="J28" i="8"/>
  <c r="J40" i="8"/>
  <c r="J35" i="8"/>
  <c r="J58" i="8"/>
  <c r="J61" i="8"/>
  <c r="J63" i="8"/>
  <c r="J53" i="8"/>
  <c r="J122" i="8"/>
  <c r="J99" i="8"/>
  <c r="J149" i="8"/>
  <c r="J129" i="8"/>
  <c r="J77" i="8"/>
  <c r="J71" i="8"/>
  <c r="J47" i="8"/>
  <c r="J66" i="8"/>
  <c r="J90" i="8"/>
  <c r="J97" i="8"/>
  <c r="J201" i="8"/>
  <c r="J199" i="8"/>
  <c r="J159" i="8"/>
  <c r="J124" i="8"/>
  <c r="J134" i="8"/>
  <c r="J108" i="8"/>
  <c r="J119" i="8"/>
  <c r="J163" i="8"/>
  <c r="J82" i="8"/>
  <c r="J136" i="8"/>
  <c r="J68" i="8"/>
  <c r="J102" i="8"/>
  <c r="J181" i="8"/>
  <c r="J109" i="8"/>
  <c r="J197" i="8"/>
  <c r="J81" i="8"/>
  <c r="J154" i="8"/>
  <c r="J88" i="8"/>
  <c r="J208" i="8"/>
  <c r="J72" i="8"/>
  <c r="J187" i="8"/>
  <c r="J121" i="8"/>
  <c r="J49" i="8"/>
  <c r="K17" i="8"/>
  <c r="E17" i="8"/>
  <c r="F17" i="8" s="1"/>
  <c r="H17" i="8"/>
  <c r="J17" i="8"/>
  <c r="E15" i="8"/>
  <c r="F15" i="8" s="1"/>
  <c r="K15" i="8"/>
  <c r="H15" i="8"/>
  <c r="J15" i="8"/>
  <c r="K16" i="8"/>
  <c r="E16" i="8"/>
  <c r="F16" i="8" s="1"/>
  <c r="H16" i="8"/>
  <c r="J16" i="8"/>
  <c r="K13" i="8"/>
  <c r="H13" i="8"/>
  <c r="E13" i="8"/>
  <c r="F13" i="8" s="1"/>
  <c r="J13" i="8"/>
  <c r="K14" i="8"/>
  <c r="E14" i="8"/>
  <c r="F14" i="8" s="1"/>
  <c r="H14" i="8"/>
  <c r="J14" i="8"/>
  <c r="H12" i="8"/>
  <c r="E12" i="8"/>
  <c r="F12" i="8" s="1"/>
  <c r="K12" i="8"/>
  <c r="L12" i="8" s="1"/>
  <c r="M12" i="8" s="1"/>
  <c r="J12" i="8"/>
  <c r="P12" i="8" s="1"/>
  <c r="H22" i="8"/>
  <c r="H150" i="8"/>
  <c r="H20" i="8"/>
  <c r="H77" i="8"/>
  <c r="H84" i="8"/>
  <c r="H196" i="8"/>
  <c r="H162" i="8"/>
  <c r="H78" i="8"/>
  <c r="H188" i="8"/>
  <c r="H53" i="8"/>
  <c r="H44" i="8"/>
  <c r="H56" i="8"/>
  <c r="H61" i="8"/>
  <c r="H58" i="8"/>
  <c r="H37" i="8"/>
  <c r="H36" i="8"/>
  <c r="H64" i="8"/>
  <c r="H26" i="8"/>
  <c r="H180" i="8"/>
  <c r="H151" i="8"/>
  <c r="H175" i="8"/>
  <c r="H207" i="8"/>
  <c r="H169" i="8"/>
  <c r="H93" i="8"/>
  <c r="H143" i="8"/>
  <c r="H210" i="8"/>
  <c r="H114" i="8"/>
  <c r="H118" i="8"/>
  <c r="H179" i="8"/>
  <c r="H183" i="8"/>
  <c r="H133" i="8"/>
  <c r="H120" i="8"/>
  <c r="H87" i="8"/>
  <c r="H145" i="8"/>
  <c r="H193" i="8"/>
  <c r="H92" i="8"/>
  <c r="H115" i="8"/>
  <c r="H154" i="8"/>
  <c r="H185" i="8"/>
  <c r="H21" i="8"/>
  <c r="H208" i="8"/>
  <c r="H165" i="8"/>
  <c r="H121" i="8"/>
  <c r="H160" i="8"/>
  <c r="H98" i="8"/>
  <c r="H178" i="8"/>
  <c r="H139" i="8"/>
  <c r="H129" i="8"/>
  <c r="H203" i="8"/>
  <c r="H76" i="8"/>
  <c r="H204" i="8"/>
  <c r="H69" i="8"/>
  <c r="H152" i="8"/>
  <c r="H73" i="8"/>
  <c r="H62" i="8"/>
  <c r="H59" i="8"/>
  <c r="H39" i="8"/>
  <c r="H23" i="8"/>
  <c r="H33" i="8"/>
  <c r="H45" i="8"/>
  <c r="H41" i="8"/>
  <c r="H60" i="8"/>
  <c r="H25" i="8"/>
  <c r="H116" i="8"/>
  <c r="H101" i="8"/>
  <c r="H127" i="8"/>
  <c r="H148" i="8"/>
  <c r="H112" i="8"/>
  <c r="H51" i="8"/>
  <c r="H74" i="8"/>
  <c r="H67" i="8"/>
  <c r="H123" i="8"/>
  <c r="H158" i="8"/>
  <c r="H131" i="8"/>
  <c r="H172" i="8"/>
  <c r="H184" i="8"/>
  <c r="H88" i="8"/>
  <c r="H95" i="8"/>
  <c r="H168" i="8"/>
  <c r="H83" i="8"/>
  <c r="H161" i="8"/>
  <c r="H100" i="8"/>
  <c r="H122" i="8"/>
  <c r="H149" i="8"/>
  <c r="H174" i="8"/>
  <c r="H105" i="8"/>
  <c r="H106" i="8"/>
  <c r="H71" i="8"/>
  <c r="H153" i="8"/>
  <c r="H126" i="8"/>
  <c r="H113" i="8"/>
  <c r="H198" i="8"/>
  <c r="H91" i="8"/>
  <c r="H97" i="8"/>
  <c r="H18" i="8"/>
  <c r="H43" i="8"/>
  <c r="H24" i="8"/>
  <c r="H42" i="8"/>
  <c r="H57" i="8"/>
  <c r="H46" i="8"/>
  <c r="H27" i="8"/>
  <c r="H35" i="8"/>
  <c r="H38" i="8"/>
  <c r="H201" i="8"/>
  <c r="H199" i="8"/>
  <c r="H190" i="8"/>
  <c r="H191" i="8"/>
  <c r="H159" i="8"/>
  <c r="H124" i="8"/>
  <c r="H192" i="8"/>
  <c r="H89" i="8"/>
  <c r="H134" i="8"/>
  <c r="H108" i="8"/>
  <c r="H119" i="8"/>
  <c r="H186" i="8"/>
  <c r="H163" i="8"/>
  <c r="H128" i="8"/>
  <c r="H111" i="8"/>
  <c r="H135" i="8"/>
  <c r="H136" i="8"/>
  <c r="H50" i="8"/>
  <c r="H117" i="8"/>
  <c r="H102" i="8"/>
  <c r="H85" i="8"/>
  <c r="H137" i="8"/>
  <c r="H195" i="8"/>
  <c r="H156" i="8"/>
  <c r="H205" i="8"/>
  <c r="H48" i="8"/>
  <c r="H75" i="8"/>
  <c r="H125" i="8"/>
  <c r="H52" i="8"/>
  <c r="H132" i="8"/>
  <c r="H147" i="8"/>
  <c r="H99" i="8"/>
  <c r="H166" i="8"/>
  <c r="H176" i="8"/>
  <c r="H86" i="8"/>
  <c r="H209" i="8"/>
  <c r="H19" i="8"/>
  <c r="H107" i="8"/>
  <c r="H130" i="8"/>
  <c r="H47" i="8"/>
  <c r="H66" i="8"/>
  <c r="H104" i="8"/>
  <c r="H90" i="8"/>
  <c r="H55" i="8"/>
  <c r="H29" i="8"/>
  <c r="H34" i="8"/>
  <c r="H31" i="8"/>
  <c r="H63" i="8"/>
  <c r="H28" i="8"/>
  <c r="H30" i="8"/>
  <c r="H40" i="8"/>
  <c r="H32" i="8"/>
  <c r="H54" i="8"/>
  <c r="H140" i="8"/>
  <c r="H177" i="8"/>
  <c r="H189" i="8"/>
  <c r="H103" i="8"/>
  <c r="H202" i="8"/>
  <c r="H173" i="8"/>
  <c r="H206" i="8"/>
  <c r="H138" i="8"/>
  <c r="H82" i="8"/>
  <c r="H157" i="8"/>
  <c r="H171" i="8"/>
  <c r="H110" i="8"/>
  <c r="H200" i="8"/>
  <c r="H170" i="8"/>
  <c r="H94" i="8"/>
  <c r="H194" i="8"/>
  <c r="H68" i="8"/>
  <c r="H167" i="8"/>
  <c r="H144" i="8"/>
  <c r="H181" i="8"/>
  <c r="H65" i="8"/>
  <c r="H70" i="8"/>
  <c r="H109" i="8"/>
  <c r="H182" i="8"/>
  <c r="H197" i="8"/>
  <c r="H96" i="8"/>
  <c r="H81" i="8"/>
  <c r="H80" i="8"/>
  <c r="H146" i="8"/>
  <c r="H155" i="8"/>
  <c r="H79" i="8"/>
  <c r="H211" i="8"/>
  <c r="H72" i="8"/>
  <c r="H164" i="8"/>
  <c r="H142" i="8"/>
  <c r="H141" i="8"/>
  <c r="H49" i="8"/>
  <c r="H187" i="8"/>
  <c r="AM44" i="1"/>
  <c r="AI50" i="1" s="1"/>
  <c r="BH191" i="7"/>
  <c r="AS1" i="7"/>
  <c r="AI22" i="1" s="1"/>
  <c r="AI24" i="1" s="1"/>
  <c r="Y42" i="1" s="1"/>
  <c r="AI25" i="1"/>
  <c r="O12" i="8" l="1"/>
  <c r="N12" i="8"/>
  <c r="R12" i="8"/>
  <c r="T12" i="8"/>
  <c r="U12" i="8" s="1"/>
  <c r="S12" i="8"/>
  <c r="Q12" i="8"/>
  <c r="L15" i="8"/>
  <c r="L14" i="8"/>
  <c r="L13" i="8"/>
  <c r="M13" i="8" s="1"/>
  <c r="L16" i="8"/>
  <c r="L17" i="8"/>
  <c r="L18" i="8"/>
  <c r="Y4" i="1"/>
  <c r="AG49" i="1"/>
  <c r="AG48" i="1"/>
  <c r="AI47" i="1"/>
  <c r="AG47" i="1"/>
  <c r="AI52" i="1"/>
  <c r="AJ52" i="1" s="1"/>
  <c r="AI46" i="1"/>
  <c r="AJ46" i="1" s="1"/>
  <c r="AK47" i="1" s="1"/>
  <c r="AG52" i="1"/>
  <c r="AG46" i="1"/>
  <c r="AH47" i="1" s="1"/>
  <c r="AG45" i="1"/>
  <c r="AH46" i="1" s="1"/>
  <c r="AG51" i="1"/>
  <c r="AI49" i="1"/>
  <c r="AG50" i="1"/>
  <c r="AI51" i="1"/>
  <c r="AJ51" i="1" s="1"/>
  <c r="AK52" i="1" s="1"/>
  <c r="AI48" i="1"/>
  <c r="A1" i="1"/>
  <c r="A2" i="2" s="1"/>
  <c r="Y27" i="1"/>
  <c r="BH192" i="7"/>
  <c r="BI163" i="7" s="1"/>
  <c r="BA192" i="7"/>
  <c r="BA193" i="7"/>
  <c r="BB193" i="7"/>
  <c r="BE193" i="7"/>
  <c r="BF192" i="7"/>
  <c r="BB192" i="7"/>
  <c r="BF193" i="7"/>
  <c r="BC192" i="7"/>
  <c r="BD193" i="7"/>
  <c r="BE192" i="7"/>
  <c r="BC193" i="7"/>
  <c r="BD192" i="7"/>
  <c r="Q13" i="8" l="1"/>
  <c r="T13" i="8"/>
  <c r="U13" i="8" s="1"/>
  <c r="S13" i="8"/>
  <c r="O13" i="8"/>
  <c r="R13" i="8"/>
  <c r="N13" i="8"/>
  <c r="P13" i="8"/>
  <c r="M14" i="8"/>
  <c r="M15" i="8" s="1"/>
  <c r="V12" i="8"/>
  <c r="AH49" i="1"/>
  <c r="AH48" i="1"/>
  <c r="AH50" i="1"/>
  <c r="AL48" i="1"/>
  <c r="AH51" i="1"/>
  <c r="AJ50" i="1"/>
  <c r="AJ49" i="1" s="1"/>
  <c r="AJ48" i="1" s="1"/>
  <c r="AJ47" i="1" s="1"/>
  <c r="AH52" i="1"/>
  <c r="AD24" i="1" s="1"/>
  <c r="BI184" i="7"/>
  <c r="BI177" i="7"/>
  <c r="BI181" i="7"/>
  <c r="BI187" i="7"/>
  <c r="BI186" i="7"/>
  <c r="BI165" i="7"/>
  <c r="BI178" i="7"/>
  <c r="BI188" i="7"/>
  <c r="BI180" i="7"/>
  <c r="BI160" i="7"/>
  <c r="BI182" i="7"/>
  <c r="AI44" i="1"/>
  <c r="AJ44" i="1" s="1"/>
  <c r="AD7" i="1" s="1"/>
  <c r="AD6" i="1" s="1"/>
  <c r="BI166" i="7"/>
  <c r="BI169" i="7"/>
  <c r="BI162" i="7"/>
  <c r="BI189" i="7"/>
  <c r="BI185" i="7"/>
  <c r="BI168" i="7"/>
  <c r="BI164" i="7"/>
  <c r="BI183" i="7"/>
  <c r="BI172" i="7"/>
  <c r="BI179" i="7"/>
  <c r="BI170" i="7"/>
  <c r="BI161" i="7"/>
  <c r="BI174" i="7"/>
  <c r="BI176" i="7"/>
  <c r="BI171" i="7"/>
  <c r="BI173" i="7"/>
  <c r="BI175" i="7"/>
  <c r="BI167" i="7"/>
  <c r="O15" i="8" l="1"/>
  <c r="R15" i="8"/>
  <c r="T15" i="8"/>
  <c r="U15" i="8" s="1"/>
  <c r="N15" i="8"/>
  <c r="Q15" i="8"/>
  <c r="S15" i="8"/>
  <c r="P15" i="8"/>
  <c r="M16" i="8"/>
  <c r="O14" i="8"/>
  <c r="R14" i="8"/>
  <c r="N14" i="8"/>
  <c r="Q14" i="8"/>
  <c r="S14" i="8"/>
  <c r="T14" i="8"/>
  <c r="U14" i="8" s="1"/>
  <c r="V14" i="8" s="1"/>
  <c r="P14" i="8"/>
  <c r="M17" i="8"/>
  <c r="V13" i="8"/>
  <c r="AL49" i="1"/>
  <c r="AK48" i="1"/>
  <c r="AK49" i="1"/>
  <c r="AL50" i="1"/>
  <c r="AK50" i="1"/>
  <c r="AL51" i="1"/>
  <c r="AK51" i="1"/>
  <c r="AL52" i="1"/>
  <c r="AD22" i="1"/>
  <c r="AD23" i="1"/>
  <c r="V15" i="8" l="1"/>
  <c r="N17" i="8"/>
  <c r="P17" i="8"/>
  <c r="O17" i="8"/>
  <c r="T17" i="8"/>
  <c r="U17" i="8" s="1"/>
  <c r="S17" i="8"/>
  <c r="Q17" i="8"/>
  <c r="R17" i="8"/>
  <c r="M19" i="8"/>
  <c r="M20" i="8" s="1"/>
  <c r="M18" i="8"/>
  <c r="P16" i="8"/>
  <c r="T16" i="8"/>
  <c r="U16" i="8" s="1"/>
  <c r="N16" i="8"/>
  <c r="Q16" i="8"/>
  <c r="S16" i="8"/>
  <c r="O16" i="8"/>
  <c r="R16" i="8"/>
  <c r="AH16" i="1"/>
  <c r="AH18" i="1"/>
  <c r="AH17" i="1"/>
  <c r="AH9" i="1"/>
  <c r="AH8" i="1"/>
  <c r="AH13" i="1"/>
  <c r="AH24" i="1"/>
  <c r="AH10" i="1"/>
  <c r="AH21" i="1"/>
  <c r="AH15" i="1"/>
  <c r="AH22" i="1"/>
  <c r="AH11" i="1"/>
  <c r="AH14" i="1"/>
  <c r="AH12" i="1"/>
  <c r="AH20" i="1"/>
  <c r="AH19" i="1"/>
  <c r="AF14" i="1"/>
  <c r="AF19" i="1"/>
  <c r="AF15" i="1"/>
  <c r="AF20" i="1"/>
  <c r="AF9" i="1"/>
  <c r="AF8" i="1"/>
  <c r="AF10" i="1"/>
  <c r="AF16" i="1"/>
  <c r="AF13" i="1"/>
  <c r="AF17" i="1"/>
  <c r="AF21" i="1"/>
  <c r="AG21" i="1" s="1"/>
  <c r="AD21" i="1" s="1"/>
  <c r="AF18" i="1"/>
  <c r="AF12" i="1"/>
  <c r="AF11" i="1"/>
  <c r="V17" i="8" l="1"/>
  <c r="S20" i="8"/>
  <c r="P20" i="8"/>
  <c r="R20" i="8"/>
  <c r="N20" i="8"/>
  <c r="O20" i="8"/>
  <c r="Q20" i="8"/>
  <c r="T20" i="8"/>
  <c r="U20" i="8" s="1"/>
  <c r="V16" i="8"/>
  <c r="S18" i="8"/>
  <c r="N18" i="8"/>
  <c r="P18" i="8"/>
  <c r="R18" i="8"/>
  <c r="Q18" i="8"/>
  <c r="O18" i="8"/>
  <c r="T18" i="8"/>
  <c r="U18" i="8" s="1"/>
  <c r="M21" i="8"/>
  <c r="P19" i="8"/>
  <c r="S19" i="8"/>
  <c r="Q19" i="8"/>
  <c r="N19" i="8"/>
  <c r="T19" i="8"/>
  <c r="U19" i="8" s="1"/>
  <c r="R19" i="8"/>
  <c r="O19" i="8"/>
  <c r="AG20" i="1"/>
  <c r="AD20" i="1" s="1"/>
  <c r="V19" i="8" l="1"/>
  <c r="V20" i="8"/>
  <c r="M22" i="8"/>
  <c r="N21" i="8"/>
  <c r="R21" i="8"/>
  <c r="T21" i="8"/>
  <c r="U21" i="8" s="1"/>
  <c r="S21" i="8"/>
  <c r="O21" i="8"/>
  <c r="P21" i="8"/>
  <c r="Q21" i="8"/>
  <c r="V18" i="8"/>
  <c r="AG19" i="1"/>
  <c r="AD19" i="1" s="1"/>
  <c r="V21" i="8" l="1"/>
  <c r="M23" i="8"/>
  <c r="S22" i="8"/>
  <c r="R22" i="8"/>
  <c r="T22" i="8"/>
  <c r="U22" i="8" s="1"/>
  <c r="O22" i="8"/>
  <c r="Q22" i="8"/>
  <c r="N22" i="8"/>
  <c r="P22" i="8"/>
  <c r="AG18" i="1"/>
  <c r="V22" i="8" l="1"/>
  <c r="Q23" i="8"/>
  <c r="S23" i="8"/>
  <c r="O23" i="8"/>
  <c r="R23" i="8"/>
  <c r="N23" i="8"/>
  <c r="P23" i="8"/>
  <c r="T23" i="8"/>
  <c r="U23" i="8" s="1"/>
  <c r="M24" i="8"/>
  <c r="AD18" i="1"/>
  <c r="AG17" i="1"/>
  <c r="T24" i="8" l="1"/>
  <c r="U24" i="8" s="1"/>
  <c r="O24" i="8"/>
  <c r="N24" i="8"/>
  <c r="P24" i="8"/>
  <c r="R24" i="8"/>
  <c r="S24" i="8"/>
  <c r="Q24" i="8"/>
  <c r="M25" i="8"/>
  <c r="V23" i="8"/>
  <c r="AD17" i="1"/>
  <c r="AG16" i="1"/>
  <c r="V24" i="8" l="1"/>
  <c r="O25" i="8"/>
  <c r="R25" i="8"/>
  <c r="T25" i="8"/>
  <c r="U25" i="8" s="1"/>
  <c r="N25" i="8"/>
  <c r="S25" i="8"/>
  <c r="Q25" i="8"/>
  <c r="P25" i="8"/>
  <c r="M26" i="8"/>
  <c r="AD16" i="1"/>
  <c r="AG15" i="1"/>
  <c r="V25" i="8" l="1"/>
  <c r="T26" i="8"/>
  <c r="U26" i="8" s="1"/>
  <c r="S26" i="8"/>
  <c r="R26" i="8"/>
  <c r="Q26" i="8"/>
  <c r="N26" i="8"/>
  <c r="O26" i="8"/>
  <c r="P26" i="8"/>
  <c r="M27" i="8"/>
  <c r="AD15" i="1"/>
  <c r="AG14" i="1"/>
  <c r="V26" i="8" l="1"/>
  <c r="S27" i="8"/>
  <c r="O27" i="8"/>
  <c r="Q27" i="8"/>
  <c r="N27" i="8"/>
  <c r="T27" i="8"/>
  <c r="U27" i="8" s="1"/>
  <c r="P27" i="8"/>
  <c r="R27" i="8"/>
  <c r="M28" i="8"/>
  <c r="AG13" i="1"/>
  <c r="AD14" i="1"/>
  <c r="V27" i="8" l="1"/>
  <c r="P28" i="8"/>
  <c r="N28" i="8"/>
  <c r="Q28" i="8"/>
  <c r="O28" i="8"/>
  <c r="S28" i="8"/>
  <c r="T28" i="8"/>
  <c r="U28" i="8" s="1"/>
  <c r="R28" i="8"/>
  <c r="M29" i="8"/>
  <c r="AG12" i="1"/>
  <c r="AD13" i="1"/>
  <c r="O29" i="8" l="1"/>
  <c r="Q29" i="8"/>
  <c r="P29" i="8"/>
  <c r="T29" i="8"/>
  <c r="U29" i="8" s="1"/>
  <c r="R29" i="8"/>
  <c r="S29" i="8"/>
  <c r="N29" i="8"/>
  <c r="M30" i="8"/>
  <c r="M31" i="8" s="1"/>
  <c r="V28" i="8"/>
  <c r="AD12" i="1"/>
  <c r="AG11" i="1"/>
  <c r="Q31" i="8" l="1"/>
  <c r="R31" i="8"/>
  <c r="O31" i="8"/>
  <c r="N31" i="8"/>
  <c r="P31" i="8"/>
  <c r="T31" i="8"/>
  <c r="U31" i="8" s="1"/>
  <c r="S31" i="8"/>
  <c r="S30" i="8"/>
  <c r="T30" i="8"/>
  <c r="U30" i="8" s="1"/>
  <c r="P30" i="8"/>
  <c r="Q30" i="8"/>
  <c r="N30" i="8"/>
  <c r="O30" i="8"/>
  <c r="R30" i="8"/>
  <c r="M32" i="8"/>
  <c r="V29" i="8"/>
  <c r="AD11" i="1"/>
  <c r="AG10" i="1"/>
  <c r="V31" i="8" l="1"/>
  <c r="N32" i="8"/>
  <c r="P32" i="8"/>
  <c r="T32" i="8"/>
  <c r="U32" i="8" s="1"/>
  <c r="Q32" i="8"/>
  <c r="S32" i="8"/>
  <c r="O32" i="8"/>
  <c r="R32" i="8"/>
  <c r="M33" i="8"/>
  <c r="V30" i="8"/>
  <c r="AD10" i="1"/>
  <c r="AG9" i="1"/>
  <c r="V32" i="8" l="1"/>
  <c r="P33" i="8"/>
  <c r="R33" i="8"/>
  <c r="S33" i="8"/>
  <c r="Q33" i="8"/>
  <c r="O33" i="8"/>
  <c r="T33" i="8"/>
  <c r="U33" i="8" s="1"/>
  <c r="N33" i="8"/>
  <c r="M34" i="8"/>
  <c r="AG8" i="1"/>
  <c r="AD8" i="1" s="1"/>
  <c r="AD9" i="1"/>
  <c r="V33" i="8" l="1"/>
  <c r="T34" i="8"/>
  <c r="U34" i="8" s="1"/>
  <c r="R34" i="8"/>
  <c r="O34" i="8"/>
  <c r="S34" i="8"/>
  <c r="P34" i="8"/>
  <c r="N34" i="8"/>
  <c r="Q34" i="8"/>
  <c r="M35" i="8"/>
  <c r="V34" i="8" l="1"/>
  <c r="O35" i="8"/>
  <c r="T35" i="8"/>
  <c r="U35" i="8" s="1"/>
  <c r="P35" i="8"/>
  <c r="N35" i="8"/>
  <c r="R35" i="8"/>
  <c r="Q35" i="8"/>
  <c r="S35" i="8"/>
  <c r="M36" i="8"/>
  <c r="V35" i="8" l="1"/>
  <c r="N36" i="8"/>
  <c r="T36" i="8"/>
  <c r="U36" i="8" s="1"/>
  <c r="P36" i="8"/>
  <c r="O36" i="8"/>
  <c r="Q36" i="8"/>
  <c r="R36" i="8"/>
  <c r="S36" i="8"/>
  <c r="M37" i="8"/>
  <c r="V36" i="8" l="1"/>
  <c r="T37" i="8"/>
  <c r="U37" i="8" s="1"/>
  <c r="Q37" i="8"/>
  <c r="P37" i="8"/>
  <c r="R37" i="8"/>
  <c r="N37" i="8"/>
  <c r="S37" i="8"/>
  <c r="O37" i="8"/>
  <c r="M38" i="8"/>
  <c r="M40" i="8" s="1"/>
  <c r="Q40" i="8" l="1"/>
  <c r="N40" i="8"/>
  <c r="T40" i="8"/>
  <c r="U40" i="8" s="1"/>
  <c r="R40" i="8"/>
  <c r="S40" i="8"/>
  <c r="O40" i="8"/>
  <c r="P40" i="8"/>
  <c r="V37" i="8"/>
  <c r="R38" i="8"/>
  <c r="N38" i="8"/>
  <c r="Q38" i="8"/>
  <c r="P38" i="8"/>
  <c r="S38" i="8"/>
  <c r="O38" i="8"/>
  <c r="T38" i="8"/>
  <c r="U38" i="8" s="1"/>
  <c r="M41" i="8"/>
  <c r="M42" i="8" s="1"/>
  <c r="V40" i="8" l="1"/>
  <c r="N42" i="8"/>
  <c r="T42" i="8"/>
  <c r="U42" i="8" s="1"/>
  <c r="P42" i="8"/>
  <c r="O42" i="8"/>
  <c r="S42" i="8"/>
  <c r="Q42" i="8"/>
  <c r="R42" i="8"/>
  <c r="V38" i="8"/>
  <c r="Q41" i="8"/>
  <c r="N41" i="8"/>
  <c r="T41" i="8"/>
  <c r="U41" i="8" s="1"/>
  <c r="P41" i="8"/>
  <c r="R41" i="8"/>
  <c r="O41" i="8"/>
  <c r="S41" i="8"/>
  <c r="M43" i="8"/>
  <c r="M44" i="8" s="1"/>
  <c r="V42" i="8" l="1"/>
  <c r="R44" i="8"/>
  <c r="O44" i="8"/>
  <c r="S44" i="8"/>
  <c r="T44" i="8"/>
  <c r="U44" i="8" s="1"/>
  <c r="N44" i="8"/>
  <c r="Q44" i="8"/>
  <c r="P44" i="8"/>
  <c r="M45" i="8"/>
  <c r="V41" i="8"/>
  <c r="O43" i="8"/>
  <c r="Q43" i="8"/>
  <c r="R43" i="8"/>
  <c r="T43" i="8"/>
  <c r="U43" i="8" s="1"/>
  <c r="P43" i="8"/>
  <c r="S43" i="8"/>
  <c r="N43" i="8"/>
  <c r="W39" i="8"/>
  <c r="V44" i="8" l="1"/>
  <c r="N45" i="8"/>
  <c r="O45" i="8"/>
  <c r="T45" i="8"/>
  <c r="U45" i="8" s="1"/>
  <c r="R45" i="8"/>
  <c r="P45" i="8"/>
  <c r="S45" i="8"/>
  <c r="Q45" i="8"/>
  <c r="M46" i="8"/>
  <c r="V43" i="8"/>
  <c r="Q46" i="8" l="1"/>
  <c r="N46" i="8"/>
  <c r="T46" i="8"/>
  <c r="U46" i="8" s="1"/>
  <c r="O46" i="8"/>
  <c r="R46" i="8"/>
  <c r="P46" i="8"/>
  <c r="S46" i="8"/>
  <c r="M47" i="8"/>
  <c r="V45" i="8"/>
  <c r="V46" i="8" l="1"/>
  <c r="T47" i="8"/>
  <c r="U47" i="8" s="1"/>
  <c r="S47" i="8"/>
  <c r="P47" i="8"/>
  <c r="R47" i="8"/>
  <c r="N47" i="8"/>
  <c r="O47" i="8"/>
  <c r="Q47" i="8"/>
  <c r="M48" i="8"/>
  <c r="M49" i="8" l="1"/>
  <c r="T48" i="8"/>
  <c r="U48" i="8" s="1"/>
  <c r="S48" i="8"/>
  <c r="P48" i="8"/>
  <c r="O48" i="8"/>
  <c r="N48" i="8"/>
  <c r="R48" i="8"/>
  <c r="Q48" i="8"/>
  <c r="V47" i="8"/>
  <c r="V48" i="8" l="1"/>
  <c r="M50" i="8"/>
  <c r="T49" i="8"/>
  <c r="U49" i="8" s="1"/>
  <c r="N49" i="8"/>
  <c r="Q49" i="8"/>
  <c r="P49" i="8"/>
  <c r="R49" i="8"/>
  <c r="O49" i="8"/>
  <c r="S49" i="8"/>
  <c r="V49" i="8" l="1"/>
  <c r="M51" i="8"/>
  <c r="N50" i="8"/>
  <c r="O50" i="8"/>
  <c r="P50" i="8"/>
  <c r="T50" i="8"/>
  <c r="U50" i="8" s="1"/>
  <c r="R50" i="8"/>
  <c r="S50" i="8"/>
  <c r="Q50" i="8"/>
  <c r="V50" i="8" l="1"/>
  <c r="W50" i="8" s="1"/>
  <c r="M52" i="8"/>
  <c r="T51" i="8"/>
  <c r="U51" i="8" s="1"/>
  <c r="R51" i="8"/>
  <c r="O51" i="8"/>
  <c r="S51" i="8"/>
  <c r="Q51" i="8"/>
  <c r="P51" i="8"/>
  <c r="N51" i="8"/>
  <c r="M53" i="8" l="1"/>
  <c r="R52" i="8"/>
  <c r="P52" i="8"/>
  <c r="Q52" i="8"/>
  <c r="S52" i="8"/>
  <c r="T52" i="8"/>
  <c r="U52" i="8" s="1"/>
  <c r="N52" i="8"/>
  <c r="O52" i="8"/>
  <c r="V51" i="8"/>
  <c r="V52" i="8" l="1"/>
  <c r="W52" i="8" s="1"/>
  <c r="W51" i="8"/>
  <c r="M54" i="8"/>
  <c r="S53" i="8"/>
  <c r="O53" i="8"/>
  <c r="P53" i="8"/>
  <c r="T53" i="8"/>
  <c r="U53" i="8" s="1"/>
  <c r="Q53" i="8"/>
  <c r="R53" i="8"/>
  <c r="N53" i="8"/>
  <c r="M55" i="8" l="1"/>
  <c r="N54" i="8"/>
  <c r="S54" i="8"/>
  <c r="T54" i="8"/>
  <c r="U54" i="8" s="1"/>
  <c r="P54" i="8"/>
  <c r="R54" i="8"/>
  <c r="O54" i="8"/>
  <c r="Q54" i="8"/>
  <c r="V53" i="8"/>
  <c r="V54" i="8" l="1"/>
  <c r="W54" i="8" s="1"/>
  <c r="W53" i="8"/>
  <c r="M56" i="8"/>
  <c r="S55" i="8"/>
  <c r="P55" i="8"/>
  <c r="Q55" i="8"/>
  <c r="T55" i="8"/>
  <c r="U55" i="8" s="1"/>
  <c r="N55" i="8"/>
  <c r="R55" i="8"/>
  <c r="O55" i="8"/>
  <c r="R56" i="8" l="1"/>
  <c r="T56" i="8"/>
  <c r="U56" i="8" s="1"/>
  <c r="O56" i="8"/>
  <c r="Q56" i="8"/>
  <c r="S56" i="8"/>
  <c r="N56" i="8"/>
  <c r="P56" i="8"/>
  <c r="V55" i="8"/>
  <c r="W55" i="8" l="1"/>
  <c r="V56" i="8"/>
  <c r="W74" i="8" s="1"/>
  <c r="W203" i="8" l="1"/>
  <c r="W171" i="8"/>
  <c r="W99" i="8"/>
  <c r="W90" i="8"/>
  <c r="W48" i="8"/>
  <c r="W195" i="8"/>
  <c r="W34" i="8"/>
  <c r="W30" i="8"/>
  <c r="W107" i="8"/>
  <c r="W95" i="8"/>
  <c r="W193" i="8"/>
  <c r="W150" i="8"/>
  <c r="W181" i="8"/>
  <c r="W127" i="8"/>
  <c r="W73" i="8"/>
  <c r="W98" i="8"/>
  <c r="W162" i="8"/>
  <c r="W118" i="8"/>
  <c r="W174" i="8"/>
  <c r="W178" i="8"/>
  <c r="W78" i="8"/>
  <c r="W143" i="8"/>
  <c r="W165" i="8"/>
  <c r="W130" i="8"/>
  <c r="W141" i="8"/>
  <c r="W103" i="8"/>
  <c r="W117" i="8"/>
  <c r="W146" i="8"/>
  <c r="W38" i="8"/>
  <c r="W139" i="8"/>
  <c r="W149" i="8"/>
  <c r="W97" i="8"/>
  <c r="W94" i="8"/>
  <c r="W33" i="8"/>
  <c r="W164" i="8"/>
  <c r="W58" i="8"/>
  <c r="W104" i="8"/>
  <c r="W147" i="8"/>
  <c r="W115" i="8"/>
  <c r="W208" i="8"/>
  <c r="W184" i="8"/>
  <c r="W131" i="8"/>
  <c r="W64" i="8"/>
  <c r="W62" i="8"/>
  <c r="W71" i="8"/>
  <c r="W156" i="8"/>
  <c r="W204" i="8"/>
  <c r="W190" i="8"/>
  <c r="W35" i="8"/>
  <c r="W135" i="8"/>
  <c r="W91" i="8"/>
  <c r="W161" i="8"/>
  <c r="W158" i="8"/>
  <c r="W197" i="8"/>
  <c r="W36" i="8"/>
  <c r="W206" i="8"/>
  <c r="W113" i="8"/>
  <c r="W96" i="8"/>
  <c r="W119" i="8"/>
  <c r="W128" i="8"/>
  <c r="W44" i="8"/>
  <c r="W211" i="8"/>
  <c r="W182" i="8"/>
  <c r="W111" i="8"/>
  <c r="W14" i="8"/>
  <c r="W12" i="8"/>
  <c r="W13" i="8"/>
  <c r="W17" i="8"/>
  <c r="W15" i="8"/>
  <c r="W19" i="8"/>
  <c r="W16" i="8"/>
  <c r="W31" i="8"/>
  <c r="W56" i="8"/>
  <c r="W40" i="8"/>
  <c r="W47" i="8"/>
  <c r="W42" i="8"/>
  <c r="W151" i="8"/>
  <c r="W189" i="8"/>
  <c r="W93" i="8"/>
  <c r="W21" i="8"/>
  <c r="W28" i="8"/>
  <c r="W152" i="8"/>
  <c r="W83" i="8"/>
  <c r="W112" i="8"/>
  <c r="W65" i="8"/>
  <c r="W116" i="8"/>
  <c r="W101" i="8"/>
  <c r="W26" i="8"/>
  <c r="W132" i="8"/>
  <c r="W102" i="8"/>
  <c r="W49" i="8"/>
  <c r="W201" i="8"/>
  <c r="W63" i="8"/>
  <c r="W69" i="8"/>
  <c r="W125" i="8"/>
  <c r="W166" i="8"/>
  <c r="W137" i="8"/>
  <c r="W210" i="8"/>
  <c r="W205" i="8"/>
  <c r="W148" i="8"/>
  <c r="W121" i="8"/>
  <c r="W198" i="8"/>
  <c r="W134" i="8"/>
  <c r="W84" i="8"/>
  <c r="W185" i="8"/>
  <c r="W191" i="8"/>
  <c r="W140" i="8"/>
  <c r="W110" i="8"/>
  <c r="W81" i="8"/>
  <c r="W46" i="8"/>
  <c r="W89" i="8"/>
  <c r="W67" i="8"/>
  <c r="W59" i="8"/>
  <c r="W154" i="8"/>
  <c r="W199" i="8"/>
  <c r="W120" i="8"/>
  <c r="W41" i="8"/>
  <c r="W27" i="8"/>
  <c r="W188" i="8"/>
  <c r="W82" i="8"/>
  <c r="W88" i="8"/>
  <c r="W187" i="8"/>
  <c r="W209" i="8"/>
  <c r="W109" i="8"/>
  <c r="W177" i="8"/>
  <c r="W45" i="8"/>
  <c r="W167" i="8"/>
  <c r="W192" i="8"/>
  <c r="W176" i="8"/>
  <c r="W20" i="8"/>
  <c r="W169" i="8"/>
  <c r="W76" i="8"/>
  <c r="W175" i="8"/>
  <c r="W159" i="8"/>
  <c r="W57" i="8"/>
  <c r="W37" i="8"/>
  <c r="W142" i="8"/>
  <c r="W194" i="8"/>
  <c r="W155" i="8"/>
  <c r="W122" i="8"/>
  <c r="W183" i="8"/>
  <c r="W23" i="8"/>
  <c r="W43" i="8"/>
  <c r="W207" i="8"/>
  <c r="W153" i="8"/>
  <c r="W68" i="8"/>
  <c r="W87" i="8"/>
  <c r="W170" i="8"/>
  <c r="W85" i="8"/>
  <c r="W186" i="8"/>
  <c r="W86" i="8"/>
  <c r="W72" i="8"/>
  <c r="W163" i="8"/>
  <c r="W138" i="8"/>
  <c r="W129" i="8"/>
  <c r="W202" i="8"/>
  <c r="W80" i="8"/>
  <c r="W24" i="8"/>
  <c r="W145" i="8"/>
  <c r="W173" i="8"/>
  <c r="W22" i="8"/>
  <c r="W133" i="8"/>
  <c r="W144" i="8"/>
  <c r="W32" i="8"/>
  <c r="W126" i="8"/>
  <c r="W108" i="8"/>
  <c r="W18" i="8"/>
  <c r="W92" i="8"/>
  <c r="W25" i="8"/>
  <c r="W200" i="8"/>
  <c r="W136" i="8"/>
  <c r="W66" i="8"/>
  <c r="W77" i="8"/>
  <c r="W100" i="8"/>
  <c r="W106" i="8"/>
  <c r="W75" i="8"/>
  <c r="W79" i="8"/>
  <c r="W196" i="8"/>
  <c r="W60" i="8"/>
  <c r="W157" i="8"/>
  <c r="W123" i="8"/>
  <c r="W168" i="8"/>
  <c r="W160" i="8"/>
  <c r="W29" i="8"/>
  <c r="W124" i="8"/>
  <c r="W70" i="8"/>
  <c r="W61" i="8"/>
  <c r="W105" i="8"/>
  <c r="W180" i="8"/>
  <c r="W179" i="8"/>
  <c r="W172" i="8"/>
  <c r="W114" i="8"/>
  <c r="AE176" i="8" l="1"/>
  <c r="AG99" i="8"/>
  <c r="AC185" i="8"/>
  <c r="AD45" i="8"/>
  <c r="AE146" i="8"/>
  <c r="AF30" i="8"/>
  <c r="AF142" i="8"/>
  <c r="AC188" i="8"/>
  <c r="AA107" i="8"/>
  <c r="AA16" i="8"/>
  <c r="AF150" i="8"/>
  <c r="AA29" i="8"/>
  <c r="AE50" i="8"/>
  <c r="AG90" i="8"/>
  <c r="AF35" i="8"/>
  <c r="AA159" i="8"/>
  <c r="AG139" i="8"/>
  <c r="AB83" i="8"/>
  <c r="AD96" i="8"/>
  <c r="AC28" i="8"/>
  <c r="AC110" i="8"/>
  <c r="AE211" i="8"/>
  <c r="AB62" i="8"/>
  <c r="AD106" i="8"/>
  <c r="AE93" i="8"/>
  <c r="AB58" i="8"/>
  <c r="AC134" i="8"/>
  <c r="AE100" i="8"/>
  <c r="AC174" i="8"/>
  <c r="AD179" i="8"/>
  <c r="AG146" i="8"/>
  <c r="AB31" i="8"/>
  <c r="AF16" i="8"/>
  <c r="AE136" i="8"/>
  <c r="AA121" i="8"/>
  <c r="AF205" i="8"/>
  <c r="AB27" i="8"/>
  <c r="AD168" i="8"/>
  <c r="AC41" i="8"/>
  <c r="AA143" i="8"/>
  <c r="AA35" i="8"/>
  <c r="AC204" i="8"/>
  <c r="AC15" i="8"/>
  <c r="AC163" i="8"/>
  <c r="AE135" i="8"/>
  <c r="AC99" i="8"/>
  <c r="AA18" i="8"/>
  <c r="AG84" i="8"/>
  <c r="AC143" i="8"/>
  <c r="AE115" i="8"/>
  <c r="AA138" i="8"/>
  <c r="AD131" i="8"/>
  <c r="AB125" i="8"/>
  <c r="AC146" i="8"/>
  <c r="AB210" i="8"/>
  <c r="AB38" i="8"/>
  <c r="AD173" i="8"/>
  <c r="AE49" i="8"/>
  <c r="AB63" i="8"/>
  <c r="AD73" i="8"/>
  <c r="AD152" i="8"/>
  <c r="AF75" i="8"/>
  <c r="AC121" i="8"/>
  <c r="AG14" i="8"/>
  <c r="AD206" i="8"/>
  <c r="AC206" i="8"/>
  <c r="AF97" i="8"/>
  <c r="AC172" i="8"/>
  <c r="AC29" i="8"/>
  <c r="AF157" i="8"/>
  <c r="AG137" i="8"/>
  <c r="AE33" i="8"/>
  <c r="AF118" i="8"/>
  <c r="AG38" i="8"/>
  <c r="AD82" i="8"/>
  <c r="AG178" i="8"/>
  <c r="AG164" i="8"/>
  <c r="AC78" i="8"/>
  <c r="AD203" i="8"/>
  <c r="AB56" i="8"/>
  <c r="AA12" i="8"/>
  <c r="AE166" i="8"/>
  <c r="AE18" i="8"/>
  <c r="AD53" i="8"/>
  <c r="AF134" i="8"/>
  <c r="AE46" i="8"/>
  <c r="AC178" i="8"/>
  <c r="AG100" i="8"/>
  <c r="AF196" i="8"/>
  <c r="AF54" i="8"/>
  <c r="AG143" i="8"/>
  <c r="AE85" i="8"/>
  <c r="AA76" i="8"/>
  <c r="AE58" i="8"/>
  <c r="AG49" i="8"/>
  <c r="AA61" i="8"/>
  <c r="AE210" i="8"/>
  <c r="AE131" i="8"/>
  <c r="AF12" i="8"/>
  <c r="AD186" i="8"/>
  <c r="AC42" i="8"/>
  <c r="AE106" i="8"/>
  <c r="AA161" i="8"/>
  <c r="AD117" i="8"/>
  <c r="AA56" i="8"/>
  <c r="AD171" i="8"/>
  <c r="AA123" i="8"/>
  <c r="AA82" i="8"/>
  <c r="AF177" i="8"/>
  <c r="AG194" i="8"/>
  <c r="AG119" i="8"/>
  <c r="AB61" i="8"/>
  <c r="AB167" i="8"/>
  <c r="AF115" i="8"/>
  <c r="AA157" i="8"/>
  <c r="AD109" i="8"/>
  <c r="AB99" i="8"/>
  <c r="AE182" i="8"/>
  <c r="AE98" i="8"/>
  <c r="AC50" i="8"/>
  <c r="AA168" i="8"/>
  <c r="AG80" i="8"/>
  <c r="AB12" i="8"/>
  <c r="AE60" i="8"/>
  <c r="AE77" i="8"/>
  <c r="AG175" i="8"/>
  <c r="AF68" i="8"/>
  <c r="AB122" i="8"/>
  <c r="AG163" i="8"/>
  <c r="AG64" i="8"/>
  <c r="AG22" i="8"/>
  <c r="AD125" i="8"/>
  <c r="AE32" i="8"/>
  <c r="AA154" i="8"/>
  <c r="AE68" i="8"/>
  <c r="AG23" i="8"/>
  <c r="AC104" i="8"/>
  <c r="AE190" i="8"/>
  <c r="AB89" i="8"/>
  <c r="AC171" i="8"/>
  <c r="AF159" i="8"/>
  <c r="AA177" i="8"/>
  <c r="AF120" i="8"/>
  <c r="AF125" i="8"/>
  <c r="AA100" i="8"/>
  <c r="AG180" i="8"/>
  <c r="AB198" i="8"/>
  <c r="AE80" i="8"/>
  <c r="AG30" i="8"/>
  <c r="AD46" i="8"/>
  <c r="AA111" i="8"/>
  <c r="AC74" i="8"/>
  <c r="AC126" i="8"/>
  <c r="AF66" i="8"/>
  <c r="AD80" i="8"/>
  <c r="AC193" i="8"/>
  <c r="AA70" i="8"/>
  <c r="AF133" i="8"/>
  <c r="AE45" i="8"/>
  <c r="AA95" i="8"/>
  <c r="AD22" i="8"/>
  <c r="AF92" i="8"/>
  <c r="AC175" i="8"/>
  <c r="AC69" i="8"/>
  <c r="AC160" i="8"/>
  <c r="AC47" i="8"/>
  <c r="AF170" i="8"/>
  <c r="AA172" i="8"/>
  <c r="AG93" i="8"/>
  <c r="AF156" i="8"/>
  <c r="AC54" i="8"/>
  <c r="AE105" i="8"/>
  <c r="AA85" i="8"/>
  <c r="AC36" i="8"/>
  <c r="AB195" i="8"/>
  <c r="AC32" i="8"/>
  <c r="AD154" i="8"/>
  <c r="AG61" i="8"/>
  <c r="AB132" i="8"/>
  <c r="AE160" i="8"/>
  <c r="AD70" i="8"/>
  <c r="AB128" i="8"/>
  <c r="AA133" i="8"/>
  <c r="AD94" i="8"/>
  <c r="AA104" i="8"/>
  <c r="AD193" i="8"/>
  <c r="AC84" i="8"/>
  <c r="AE89" i="8"/>
  <c r="AC62" i="8"/>
  <c r="AG81" i="8"/>
  <c r="AA165" i="8"/>
  <c r="AD126" i="8"/>
  <c r="AC64" i="8"/>
  <c r="AF37" i="8"/>
  <c r="AG147" i="8"/>
  <c r="AA120" i="8"/>
  <c r="AA152" i="8"/>
  <c r="AF22" i="8"/>
  <c r="AE63" i="8"/>
  <c r="AD39" i="8"/>
  <c r="AG138" i="8"/>
  <c r="AE34" i="8"/>
  <c r="AE153" i="8"/>
  <c r="AE132" i="8"/>
  <c r="AB193" i="8"/>
  <c r="AD159" i="8"/>
  <c r="AC164" i="8"/>
  <c r="AC20" i="8"/>
  <c r="AB157" i="8"/>
  <c r="AB180" i="8"/>
  <c r="AF57" i="8"/>
  <c r="AD136" i="8"/>
  <c r="AE178" i="8"/>
  <c r="AB123" i="8"/>
  <c r="AG17" i="8"/>
  <c r="AB148" i="8"/>
  <c r="AB166" i="8"/>
  <c r="AA119" i="8"/>
  <c r="AB30" i="8"/>
  <c r="AF33" i="8"/>
  <c r="AD170" i="8"/>
  <c r="AC148" i="8"/>
  <c r="AD58" i="8"/>
  <c r="AB47" i="8"/>
  <c r="AA200" i="8"/>
  <c r="AD32" i="8"/>
  <c r="AE66" i="8"/>
  <c r="AA211" i="8"/>
  <c r="AB103" i="8"/>
  <c r="AE125" i="8"/>
  <c r="AB34" i="8"/>
  <c r="AG193" i="8"/>
  <c r="AE141" i="8"/>
  <c r="AA73" i="8"/>
  <c r="AF51" i="8"/>
  <c r="AE121" i="8"/>
  <c r="AC34" i="8"/>
  <c r="AF132" i="8"/>
  <c r="AC147" i="8"/>
  <c r="AG115" i="8"/>
  <c r="AG102" i="8"/>
  <c r="AD59" i="8"/>
  <c r="AE203" i="8"/>
  <c r="AA198" i="8"/>
  <c r="AA134" i="8"/>
  <c r="AA178" i="8"/>
  <c r="AA79" i="8"/>
  <c r="AA20" i="8"/>
  <c r="AF38" i="8"/>
  <c r="AA192" i="8"/>
  <c r="AE184" i="8"/>
  <c r="AA68" i="8"/>
  <c r="AB33" i="8"/>
  <c r="AA43" i="8"/>
  <c r="AB78" i="8"/>
  <c r="AD40" i="8"/>
  <c r="AC12" i="8"/>
  <c r="AG107" i="8"/>
  <c r="AC129" i="8"/>
  <c r="AB185" i="8"/>
  <c r="AB52" i="8"/>
  <c r="AE91" i="8"/>
  <c r="AG57" i="8"/>
  <c r="AE71" i="8"/>
  <c r="AE35" i="8"/>
  <c r="AA24" i="8"/>
  <c r="AC23" i="8"/>
  <c r="AE87" i="8"/>
  <c r="AD165" i="8"/>
  <c r="AB21" i="8"/>
  <c r="AB197" i="8"/>
  <c r="AD42" i="8"/>
  <c r="AD47" i="8"/>
  <c r="AE154" i="8"/>
  <c r="AF139" i="8"/>
  <c r="AG208" i="8"/>
  <c r="AF184" i="8"/>
  <c r="AG47" i="8"/>
  <c r="AB86" i="8"/>
  <c r="AE147" i="8"/>
  <c r="AC52" i="8"/>
  <c r="AF83" i="8"/>
  <c r="AD51" i="8"/>
  <c r="AE145" i="8"/>
  <c r="AG43" i="8"/>
  <c r="AA54" i="8"/>
  <c r="AF64" i="8"/>
  <c r="AC203" i="8"/>
  <c r="AE158" i="8"/>
  <c r="AE118" i="8"/>
  <c r="AG82" i="8"/>
  <c r="AC88" i="8"/>
  <c r="AF107" i="8"/>
  <c r="AE108" i="8"/>
  <c r="AB88" i="8"/>
  <c r="AB191" i="8"/>
  <c r="AA129" i="8"/>
  <c r="AB45" i="8"/>
  <c r="AA187" i="8"/>
  <c r="AF85" i="8"/>
  <c r="AA162" i="8"/>
  <c r="AE55" i="8"/>
  <c r="AD211" i="8"/>
  <c r="AC17" i="8"/>
  <c r="AF195" i="8"/>
  <c r="AB75" i="8"/>
  <c r="AD43" i="8"/>
  <c r="AE69" i="8"/>
  <c r="AG177" i="8"/>
  <c r="AA164" i="8"/>
  <c r="AG34" i="8"/>
  <c r="AB165" i="8"/>
  <c r="AB32" i="8"/>
  <c r="AE37" i="8"/>
  <c r="AE83" i="8"/>
  <c r="AA131" i="8"/>
  <c r="AB96" i="8"/>
  <c r="AA88" i="8"/>
  <c r="AB139" i="8"/>
  <c r="AE59" i="8"/>
  <c r="AE110" i="8"/>
  <c r="AA62" i="8"/>
  <c r="AD17" i="8"/>
  <c r="AF19" i="8"/>
  <c r="AA93" i="8"/>
  <c r="AA72" i="8"/>
  <c r="AF106" i="8"/>
  <c r="AB154" i="8"/>
  <c r="AD172" i="8"/>
  <c r="AA163" i="8"/>
  <c r="AG65" i="8"/>
  <c r="AG19" i="8"/>
  <c r="AG206" i="8"/>
  <c r="AG54" i="8"/>
  <c r="AD72" i="8"/>
  <c r="AF129" i="8"/>
  <c r="AE57" i="8"/>
  <c r="AE127" i="8"/>
  <c r="AD194" i="8"/>
  <c r="AF175" i="8"/>
  <c r="AB150" i="8"/>
  <c r="AD41" i="8"/>
  <c r="AF211" i="8"/>
  <c r="AC114" i="8"/>
  <c r="AE151" i="8"/>
  <c r="AC30" i="8"/>
  <c r="AA99" i="8"/>
  <c r="AF143" i="8"/>
  <c r="AE107" i="8"/>
  <c r="AF135" i="8"/>
  <c r="AA105" i="8"/>
  <c r="AD187" i="8"/>
  <c r="AG182" i="8"/>
  <c r="AG198" i="8"/>
  <c r="AB119" i="8"/>
  <c r="AE95" i="8"/>
  <c r="AA113" i="8"/>
  <c r="AF94" i="8"/>
  <c r="AG121" i="8"/>
  <c r="AD127" i="8"/>
  <c r="AC14" i="8"/>
  <c r="AE187" i="8"/>
  <c r="AB177" i="8"/>
  <c r="AC102" i="8"/>
  <c r="AD123" i="8"/>
  <c r="AF202" i="8"/>
  <c r="AF58" i="8"/>
  <c r="AD50" i="8"/>
  <c r="AG108" i="8"/>
  <c r="AE30" i="8"/>
  <c r="AF207" i="8"/>
  <c r="AC198" i="8"/>
  <c r="AC132" i="8"/>
  <c r="AD105" i="8"/>
  <c r="AB156" i="8"/>
  <c r="AG55" i="8"/>
  <c r="AC196" i="8"/>
  <c r="AC166" i="8"/>
  <c r="AF181" i="8"/>
  <c r="AB66" i="8"/>
  <c r="AD122" i="8"/>
  <c r="AE179" i="8"/>
  <c r="AA171" i="8"/>
  <c r="AD116" i="8"/>
  <c r="AB76" i="8"/>
  <c r="AC44" i="8"/>
  <c r="AC48" i="8"/>
  <c r="AG125" i="8"/>
  <c r="AD15" i="8"/>
  <c r="AE167" i="8"/>
  <c r="AG73" i="8"/>
  <c r="AC139" i="8"/>
  <c r="AE181" i="8"/>
  <c r="AC145" i="8"/>
  <c r="AG32" i="8"/>
  <c r="AC37" i="8"/>
  <c r="AB102" i="8"/>
  <c r="AB55" i="8"/>
  <c r="AG75" i="8"/>
  <c r="AB127" i="8"/>
  <c r="AE61" i="8"/>
  <c r="AC207" i="8"/>
  <c r="AA34" i="8"/>
  <c r="AC205" i="8"/>
  <c r="AD30" i="8"/>
  <c r="AA55" i="8"/>
  <c r="AD181" i="8"/>
  <c r="AB43" i="8"/>
  <c r="AB23" i="8"/>
  <c r="AD93" i="8"/>
  <c r="AE101" i="8"/>
  <c r="AD12" i="8"/>
  <c r="AG88" i="8"/>
  <c r="AG156" i="8"/>
  <c r="AB184" i="8"/>
  <c r="AG71" i="8"/>
  <c r="AD137" i="8"/>
  <c r="AE47" i="8"/>
  <c r="AE140" i="8"/>
  <c r="AD114" i="8"/>
  <c r="AF114" i="8"/>
  <c r="AE208" i="8"/>
  <c r="AF203" i="8"/>
  <c r="AA203" i="8"/>
  <c r="AG197" i="8"/>
  <c r="AA209" i="8"/>
  <c r="AA14" i="8"/>
  <c r="AE209" i="8"/>
  <c r="AA28" i="8"/>
  <c r="AB87" i="8"/>
  <c r="AB16" i="8"/>
  <c r="AC187" i="8"/>
  <c r="AE191" i="8"/>
  <c r="AF131" i="8"/>
  <c r="AE157" i="8"/>
  <c r="AC197" i="8"/>
  <c r="AG103" i="8"/>
  <c r="AA21" i="8"/>
  <c r="AD140" i="8"/>
  <c r="AA33" i="8"/>
  <c r="AB194" i="8"/>
  <c r="AG190" i="8"/>
  <c r="AF148" i="8"/>
  <c r="AF40" i="8"/>
  <c r="AG135" i="8"/>
  <c r="AG66" i="8"/>
  <c r="AD120" i="8"/>
  <c r="AD174" i="8"/>
  <c r="AF158" i="8"/>
  <c r="AD145" i="8"/>
  <c r="AE170" i="8"/>
  <c r="AF24" i="8"/>
  <c r="AF141" i="8"/>
  <c r="AE133" i="8"/>
  <c r="AD121" i="8"/>
  <c r="AG170" i="8"/>
  <c r="AG154" i="8"/>
  <c r="AE116" i="8"/>
  <c r="AB72" i="8"/>
  <c r="AF190" i="8"/>
  <c r="AC127" i="8"/>
  <c r="AE112" i="8"/>
  <c r="AC144" i="8"/>
  <c r="AC211" i="8"/>
  <c r="AD64" i="8"/>
  <c r="AF189" i="8"/>
  <c r="AD31" i="8"/>
  <c r="AB49" i="8"/>
  <c r="AE169" i="8"/>
  <c r="AF43" i="8"/>
  <c r="AG44" i="8"/>
  <c r="AF123" i="8"/>
  <c r="AF155" i="8"/>
  <c r="AC154" i="8"/>
  <c r="AE186" i="8"/>
  <c r="AA150" i="8"/>
  <c r="AE78" i="8"/>
  <c r="AC63" i="8"/>
  <c r="AB79" i="8"/>
  <c r="AG160" i="8"/>
  <c r="AA37" i="8"/>
  <c r="AF56" i="8"/>
  <c r="AA22" i="8"/>
  <c r="AB39" i="8"/>
  <c r="AA186" i="8"/>
  <c r="AD157" i="8"/>
  <c r="AA103" i="8"/>
  <c r="AF82" i="8"/>
  <c r="AF77" i="8"/>
  <c r="AB201" i="8"/>
  <c r="AA124" i="8"/>
  <c r="AG130" i="8"/>
  <c r="AD77" i="8"/>
  <c r="AE38" i="8"/>
  <c r="AC96" i="8"/>
  <c r="AD138" i="8"/>
  <c r="AG150" i="8"/>
  <c r="AF192" i="8"/>
  <c r="AE74" i="8"/>
  <c r="AB104" i="8"/>
  <c r="AB44" i="8"/>
  <c r="AG48" i="8"/>
  <c r="AG142" i="8"/>
  <c r="AB171" i="8"/>
  <c r="AG131" i="8"/>
  <c r="AC33" i="8"/>
  <c r="AD65" i="8"/>
  <c r="AE207" i="8"/>
  <c r="AD103" i="8"/>
  <c r="AA60" i="8"/>
  <c r="AC107" i="8"/>
  <c r="AC113" i="8"/>
  <c r="AF121" i="8"/>
  <c r="AC24" i="8"/>
  <c r="AA175" i="8"/>
  <c r="AG162" i="8"/>
  <c r="AF28" i="8"/>
  <c r="AF128" i="8"/>
  <c r="AG116" i="8"/>
  <c r="AB134" i="8"/>
  <c r="AD101" i="8"/>
  <c r="AF61" i="8"/>
  <c r="AA194" i="8"/>
  <c r="AB175" i="8"/>
  <c r="AA142" i="8"/>
  <c r="AG12" i="8"/>
  <c r="AC80" i="8"/>
  <c r="AG112" i="8"/>
  <c r="AF204" i="8"/>
  <c r="AG92" i="8"/>
  <c r="AA137" i="8"/>
  <c r="AC124" i="8"/>
  <c r="AB114" i="8"/>
  <c r="AA59" i="8"/>
  <c r="AD162" i="8"/>
  <c r="AD24" i="8"/>
  <c r="AG50" i="8"/>
  <c r="AA132" i="8"/>
  <c r="AG95" i="8"/>
  <c r="AB141" i="8"/>
  <c r="AG188" i="8"/>
  <c r="AG144" i="8"/>
  <c r="AE156" i="8"/>
  <c r="AD25" i="8"/>
  <c r="AC168" i="8"/>
  <c r="AF99" i="8"/>
  <c r="AE173" i="8"/>
  <c r="AB14" i="8"/>
  <c r="AE117" i="8"/>
  <c r="AB51" i="8"/>
  <c r="AA50" i="8"/>
  <c r="AF96" i="8"/>
  <c r="AB54" i="8"/>
  <c r="AD155" i="8"/>
  <c r="AA94" i="8"/>
  <c r="AE165" i="8"/>
  <c r="AG87" i="8"/>
  <c r="AE21" i="8"/>
  <c r="AA17" i="8"/>
  <c r="AF101" i="8"/>
  <c r="AF55" i="8"/>
  <c r="AB172" i="8"/>
  <c r="AE109" i="8"/>
  <c r="AA139" i="8"/>
  <c r="AA114" i="8"/>
  <c r="AC70" i="8"/>
  <c r="AG13" i="8"/>
  <c r="AE174" i="8"/>
  <c r="AA180" i="8"/>
  <c r="AF44" i="8"/>
  <c r="AE36" i="8"/>
  <c r="AE128" i="8"/>
  <c r="AB29" i="8"/>
  <c r="AA206" i="8"/>
  <c r="AF50" i="8"/>
  <c r="AG110" i="8"/>
  <c r="AA136" i="8"/>
  <c r="AB24" i="8"/>
  <c r="AE171" i="8"/>
  <c r="AC40" i="8"/>
  <c r="AD164" i="8"/>
  <c r="AC138" i="8"/>
  <c r="AA27" i="8"/>
  <c r="AE150" i="8"/>
  <c r="AD175" i="8"/>
  <c r="AG133" i="8"/>
  <c r="AE86" i="8"/>
  <c r="AB209" i="8"/>
  <c r="AG207" i="8"/>
  <c r="AE102" i="8"/>
  <c r="AC53" i="8"/>
  <c r="AC25" i="8"/>
  <c r="AB37" i="8"/>
  <c r="AC45" i="8"/>
  <c r="AF62" i="8"/>
  <c r="AB183" i="8"/>
  <c r="AF29" i="8"/>
  <c r="AD160" i="8"/>
  <c r="AC169" i="8"/>
  <c r="AD23" i="8"/>
  <c r="AE119" i="8"/>
  <c r="AA117" i="8"/>
  <c r="AA106" i="8"/>
  <c r="AA46" i="8"/>
  <c r="AF182" i="8"/>
  <c r="AE44" i="8"/>
  <c r="AB85" i="8"/>
  <c r="AA102" i="8"/>
  <c r="AC153" i="8"/>
  <c r="AB190" i="8"/>
  <c r="AF103" i="8"/>
  <c r="AA191" i="8"/>
  <c r="AF185" i="8"/>
  <c r="AD100" i="8"/>
  <c r="AF109" i="8"/>
  <c r="AA148" i="8"/>
  <c r="AD27" i="8"/>
  <c r="AD85" i="8"/>
  <c r="AC157" i="8"/>
  <c r="AD178" i="8"/>
  <c r="AE168" i="8"/>
  <c r="AD14" i="8"/>
  <c r="AA125" i="8"/>
  <c r="AD113" i="8"/>
  <c r="AA110" i="8"/>
  <c r="AC98" i="8"/>
  <c r="AB77" i="8"/>
  <c r="AB42" i="8"/>
  <c r="AA189" i="8"/>
  <c r="AB118" i="8"/>
  <c r="AD156" i="8"/>
  <c r="AE188" i="8"/>
  <c r="AG52" i="8"/>
  <c r="AA30" i="8"/>
  <c r="AA202" i="8"/>
  <c r="AD177" i="8"/>
  <c r="AG183" i="8"/>
  <c r="AD52" i="8"/>
  <c r="AC122" i="8"/>
  <c r="AC85" i="8"/>
  <c r="AE14" i="8"/>
  <c r="AB151" i="8"/>
  <c r="AC115" i="8"/>
  <c r="AE130" i="8"/>
  <c r="AB15" i="8"/>
  <c r="AD144" i="8"/>
  <c r="AF193" i="8"/>
  <c r="AA115" i="8"/>
  <c r="AF127" i="8"/>
  <c r="AE129" i="8"/>
  <c r="AB94" i="8"/>
  <c r="AG33" i="8"/>
  <c r="AE19" i="8"/>
  <c r="AE193" i="8"/>
  <c r="AD56" i="8"/>
  <c r="AB109" i="8"/>
  <c r="AE16" i="8"/>
  <c r="AF46" i="8"/>
  <c r="AF169" i="8"/>
  <c r="AF171" i="8"/>
  <c r="AG68" i="8"/>
  <c r="AD48" i="8"/>
  <c r="AD67" i="8"/>
  <c r="AF104" i="8"/>
  <c r="AE204" i="8"/>
  <c r="AD57" i="8"/>
  <c r="AD78" i="8"/>
  <c r="AB153" i="8"/>
  <c r="AG77" i="8"/>
  <c r="AC133" i="8"/>
  <c r="AC184" i="8"/>
  <c r="AB68" i="8"/>
  <c r="AA81" i="8"/>
  <c r="AD166" i="8"/>
  <c r="AD81" i="8"/>
  <c r="AE120" i="8"/>
  <c r="AG203" i="8"/>
  <c r="AG41" i="8"/>
  <c r="AE189" i="8"/>
  <c r="AB158" i="8"/>
  <c r="AF188" i="8"/>
  <c r="AF167" i="8"/>
  <c r="AA84" i="8"/>
  <c r="AA130" i="8"/>
  <c r="AF186" i="8"/>
  <c r="AC71" i="8"/>
  <c r="AF151" i="8"/>
  <c r="AD102" i="8"/>
  <c r="AE172" i="8"/>
  <c r="AD111" i="8"/>
  <c r="AC159" i="8"/>
  <c r="AG78" i="8"/>
  <c r="AA188" i="8"/>
  <c r="AD141" i="8"/>
  <c r="AC38" i="8"/>
  <c r="AG85" i="8"/>
  <c r="AC97" i="8"/>
  <c r="AE23" i="8"/>
  <c r="AG58" i="8"/>
  <c r="AE62" i="8"/>
  <c r="AG105" i="8"/>
  <c r="AC46" i="8"/>
  <c r="AC173" i="8"/>
  <c r="AB80" i="8"/>
  <c r="AF145" i="8"/>
  <c r="AA155" i="8"/>
  <c r="AE53" i="8"/>
  <c r="AC192" i="8"/>
  <c r="AE159" i="8"/>
  <c r="AB135" i="8"/>
  <c r="AD95" i="8"/>
  <c r="AB140" i="8"/>
  <c r="AF162" i="8"/>
  <c r="AF53" i="8"/>
  <c r="AF165" i="8"/>
  <c r="AG31" i="8"/>
  <c r="AF136" i="8"/>
  <c r="AF187" i="8"/>
  <c r="AE51" i="8"/>
  <c r="AB41" i="8"/>
  <c r="AG151" i="8"/>
  <c r="AB203" i="8"/>
  <c r="AG35" i="8"/>
  <c r="AF41" i="8"/>
  <c r="AD139" i="8"/>
  <c r="AD69" i="8"/>
  <c r="AA193" i="8"/>
  <c r="AB93" i="8"/>
  <c r="AD153" i="8"/>
  <c r="AE96" i="8"/>
  <c r="AF14" i="8"/>
  <c r="AF84" i="8"/>
  <c r="AE205" i="8"/>
  <c r="AB22" i="8"/>
  <c r="AC35" i="8"/>
  <c r="AE27" i="8"/>
  <c r="AD38" i="8"/>
  <c r="AB206" i="8"/>
  <c r="AF174" i="8"/>
  <c r="AF168" i="8"/>
  <c r="AF137" i="8"/>
  <c r="AA87" i="8"/>
  <c r="AD60" i="8"/>
  <c r="AF26" i="8"/>
  <c r="AA13" i="8"/>
  <c r="AB174" i="8"/>
  <c r="AA89" i="8"/>
  <c r="AA182" i="8"/>
  <c r="AG152" i="8"/>
  <c r="AD35" i="8"/>
  <c r="AB146" i="8"/>
  <c r="AC59" i="8"/>
  <c r="AB124" i="8"/>
  <c r="AF172" i="8"/>
  <c r="AB101" i="8"/>
  <c r="AE138" i="8"/>
  <c r="AB145" i="8"/>
  <c r="AF47" i="8"/>
  <c r="AB126" i="8"/>
  <c r="AC125" i="8"/>
  <c r="AB92" i="8"/>
  <c r="AD148" i="8"/>
  <c r="AF88" i="8"/>
  <c r="AE134" i="8"/>
  <c r="AA140" i="8"/>
  <c r="AF179" i="8"/>
  <c r="AG36" i="8"/>
  <c r="AA181" i="8"/>
  <c r="AF86" i="8"/>
  <c r="AB176" i="8"/>
  <c r="AA23" i="8"/>
  <c r="AB73" i="8"/>
  <c r="AD91" i="8"/>
  <c r="AF42" i="8"/>
  <c r="AE82" i="8"/>
  <c r="AG56" i="8"/>
  <c r="AF183" i="8"/>
  <c r="AD129" i="8"/>
  <c r="AE92" i="8"/>
  <c r="AF200" i="8"/>
  <c r="AA83" i="8"/>
  <c r="AF100" i="8"/>
  <c r="AA64" i="8"/>
  <c r="AA126" i="8"/>
  <c r="AG145" i="8"/>
  <c r="AC182" i="8"/>
  <c r="AD124" i="8"/>
  <c r="AA146" i="8"/>
  <c r="AE196" i="8"/>
  <c r="AG111" i="8"/>
  <c r="AG192" i="8"/>
  <c r="AG134" i="8"/>
  <c r="AF110" i="8"/>
  <c r="AF194" i="8"/>
  <c r="AB108" i="8"/>
  <c r="AB53" i="8"/>
  <c r="AD119" i="8"/>
  <c r="AB207" i="8"/>
  <c r="AD92" i="8"/>
  <c r="AF173" i="8"/>
  <c r="AF13" i="8"/>
  <c r="AE94" i="8"/>
  <c r="AC155" i="8"/>
  <c r="AB199" i="8"/>
  <c r="AB25" i="8"/>
  <c r="AD189" i="8"/>
  <c r="AC150" i="8"/>
  <c r="AG176" i="8"/>
  <c r="AG62" i="8"/>
  <c r="AD167" i="8"/>
  <c r="AB160" i="8"/>
  <c r="AG173" i="8"/>
  <c r="AB204" i="8"/>
  <c r="AG167" i="8"/>
  <c r="AG187" i="8"/>
  <c r="AB48" i="8"/>
  <c r="AD108" i="8"/>
  <c r="AC51" i="8"/>
  <c r="AF180" i="8"/>
  <c r="AF108" i="8"/>
  <c r="AE54" i="8"/>
  <c r="AA197" i="8"/>
  <c r="AB178" i="8"/>
  <c r="AG97" i="8"/>
  <c r="AE155" i="8"/>
  <c r="AF209" i="8"/>
  <c r="AA158" i="8"/>
  <c r="AD75" i="8"/>
  <c r="AG37" i="8"/>
  <c r="AF36" i="8"/>
  <c r="AA153" i="8"/>
  <c r="AF153" i="8"/>
  <c r="AF138" i="8"/>
  <c r="AG184" i="8"/>
  <c r="AD199" i="8"/>
  <c r="AC60" i="8"/>
  <c r="AG67" i="8"/>
  <c r="AB170" i="8"/>
  <c r="AC106" i="8"/>
  <c r="AC82" i="8"/>
  <c r="AC103" i="8"/>
  <c r="AD107" i="8"/>
  <c r="AD143" i="8"/>
  <c r="AC91" i="8"/>
  <c r="AF130" i="8"/>
  <c r="AE75" i="8"/>
  <c r="AC89" i="8"/>
  <c r="AD201" i="8"/>
  <c r="AD61" i="8"/>
  <c r="AC194" i="8"/>
  <c r="AC81" i="8"/>
  <c r="AB211" i="8"/>
  <c r="AG127" i="8"/>
  <c r="AE40" i="8"/>
  <c r="AC18" i="8"/>
  <c r="AF90" i="8"/>
  <c r="AD87" i="8"/>
  <c r="AB112" i="8"/>
  <c r="AG185" i="8"/>
  <c r="AB26" i="8"/>
  <c r="AG168" i="8"/>
  <c r="AA122" i="8"/>
  <c r="AD133" i="8"/>
  <c r="AG211" i="8"/>
  <c r="AB179" i="8"/>
  <c r="AG169" i="8"/>
  <c r="AG179" i="8"/>
  <c r="AC140" i="8"/>
  <c r="AD84" i="8"/>
  <c r="AD74" i="8"/>
  <c r="AF67" i="8"/>
  <c r="AC189" i="8"/>
  <c r="AF201" i="8"/>
  <c r="AB131" i="8"/>
  <c r="AC202" i="8"/>
  <c r="AG89" i="8"/>
  <c r="AE79" i="8"/>
  <c r="AA141" i="8"/>
  <c r="AD147" i="8"/>
  <c r="AD13" i="8"/>
  <c r="AG74" i="8"/>
  <c r="AF208" i="8"/>
  <c r="AE56" i="8"/>
  <c r="AA149" i="8"/>
  <c r="AG158" i="8"/>
  <c r="AF81" i="8"/>
  <c r="AG20" i="8"/>
  <c r="AF91" i="8"/>
  <c r="AA208" i="8"/>
  <c r="AB186" i="8"/>
  <c r="AE185" i="8"/>
  <c r="AD44" i="8"/>
  <c r="AD132" i="8"/>
  <c r="AE192" i="8"/>
  <c r="AG132" i="8"/>
  <c r="AC179" i="8"/>
  <c r="AA52" i="8"/>
  <c r="AG18" i="8"/>
  <c r="AD146" i="8"/>
  <c r="AE25" i="8"/>
  <c r="AG69" i="8"/>
  <c r="AG86" i="8"/>
  <c r="AB188" i="8"/>
  <c r="AC76" i="8"/>
  <c r="AB35" i="8"/>
  <c r="AD68" i="8"/>
  <c r="AB65" i="8"/>
  <c r="AG148" i="8"/>
  <c r="AB74" i="8"/>
  <c r="AC101" i="8"/>
  <c r="AF74" i="8"/>
  <c r="AF17" i="8"/>
  <c r="AE148" i="8"/>
  <c r="AE17" i="8"/>
  <c r="AB162" i="8"/>
  <c r="AB130" i="8"/>
  <c r="AB91" i="8"/>
  <c r="AC75" i="8"/>
  <c r="AA41" i="8"/>
  <c r="AG70" i="8"/>
  <c r="AA36" i="8"/>
  <c r="AA25" i="8"/>
  <c r="AG157" i="8"/>
  <c r="AA201" i="8"/>
  <c r="AD26" i="8"/>
  <c r="AE144" i="8"/>
  <c r="AF146" i="8"/>
  <c r="AB17" i="8"/>
  <c r="AA144" i="8"/>
  <c r="AC131" i="8"/>
  <c r="AG51" i="8"/>
  <c r="AB113" i="8"/>
  <c r="AD204" i="8"/>
  <c r="AB205" i="8"/>
  <c r="AE198" i="8"/>
  <c r="AD183" i="8"/>
  <c r="AD19" i="8"/>
  <c r="AC180" i="8"/>
  <c r="AB189" i="8"/>
  <c r="AB147" i="8"/>
  <c r="AG16" i="8"/>
  <c r="AC66" i="8"/>
  <c r="AC152" i="8"/>
  <c r="AE175" i="8"/>
  <c r="AD191" i="8"/>
  <c r="AB107" i="8"/>
  <c r="AB81" i="8"/>
  <c r="AF126" i="8"/>
  <c r="AE64" i="8"/>
  <c r="AC72" i="8"/>
  <c r="AD188" i="8"/>
  <c r="AC149" i="8"/>
  <c r="AE26" i="8"/>
  <c r="AG165" i="8"/>
  <c r="AA101" i="8"/>
  <c r="AF198" i="8"/>
  <c r="AA77" i="8"/>
  <c r="AG189" i="8"/>
  <c r="AF140" i="8"/>
  <c r="AG171" i="8"/>
  <c r="AD185" i="8"/>
  <c r="AG42" i="8"/>
  <c r="AE126" i="8"/>
  <c r="AC92" i="8"/>
  <c r="AD104" i="8"/>
  <c r="AE206" i="8"/>
  <c r="AG53" i="8"/>
  <c r="AA170" i="8"/>
  <c r="AC112" i="8"/>
  <c r="AA65" i="8"/>
  <c r="AF144" i="8"/>
  <c r="AF60" i="8"/>
  <c r="AG27" i="8"/>
  <c r="AC105" i="8"/>
  <c r="AA204" i="8"/>
  <c r="AE149" i="8"/>
  <c r="AA145" i="8"/>
  <c r="AG136" i="8"/>
  <c r="AD18" i="8"/>
  <c r="AD200" i="8"/>
  <c r="AD128" i="8"/>
  <c r="AE20" i="8"/>
  <c r="AG149" i="8"/>
  <c r="AB95" i="8"/>
  <c r="AB143" i="8"/>
  <c r="AE22" i="8"/>
  <c r="AF160" i="8"/>
  <c r="AD36" i="8"/>
  <c r="AC170" i="8"/>
  <c r="AC86" i="8"/>
  <c r="AA195" i="8"/>
  <c r="AD55" i="8"/>
  <c r="AD49" i="8"/>
  <c r="AC73" i="8"/>
  <c r="AB98" i="8"/>
  <c r="AA207" i="8"/>
  <c r="AE76" i="8"/>
  <c r="AG166" i="8"/>
  <c r="AC79" i="8"/>
  <c r="AB82" i="8"/>
  <c r="AG45" i="8"/>
  <c r="AA166" i="8"/>
  <c r="AF149" i="8"/>
  <c r="AA49" i="8"/>
  <c r="AG174" i="8"/>
  <c r="AC94" i="8"/>
  <c r="AC111" i="8"/>
  <c r="AE81" i="8"/>
  <c r="AE137" i="8"/>
  <c r="AD202" i="8"/>
  <c r="AG196" i="8"/>
  <c r="AB142" i="8"/>
  <c r="AG25" i="8"/>
  <c r="AF122" i="8"/>
  <c r="AD62" i="8"/>
  <c r="AA74" i="8"/>
  <c r="AD180" i="8"/>
  <c r="AF152" i="8"/>
  <c r="AC68" i="8"/>
  <c r="AC118" i="8"/>
  <c r="AF111" i="8"/>
  <c r="AB28" i="8"/>
  <c r="AC65" i="8"/>
  <c r="AE152" i="8"/>
  <c r="AF76" i="8"/>
  <c r="AC43" i="8"/>
  <c r="AE163" i="8"/>
  <c r="AA71" i="8"/>
  <c r="AC108" i="8"/>
  <c r="AF63" i="8"/>
  <c r="AF89" i="8"/>
  <c r="AA128" i="8"/>
  <c r="AD150" i="8"/>
  <c r="AG120" i="8"/>
  <c r="AD79" i="8"/>
  <c r="AG40" i="8"/>
  <c r="AB136" i="8"/>
  <c r="AD142" i="8"/>
  <c r="AD208" i="8"/>
  <c r="AE52" i="8"/>
  <c r="AG72" i="8"/>
  <c r="AG94" i="8"/>
  <c r="AE39" i="8"/>
  <c r="AA96" i="8"/>
  <c r="AD149" i="8"/>
  <c r="AF72" i="8"/>
  <c r="AA167" i="8"/>
  <c r="AE43" i="8"/>
  <c r="AE73" i="8"/>
  <c r="AB64" i="8"/>
  <c r="AC177" i="8"/>
  <c r="AF69" i="8"/>
  <c r="AF65" i="8"/>
  <c r="AD97" i="8"/>
  <c r="AB187" i="8"/>
  <c r="AG122" i="8"/>
  <c r="AF15" i="8"/>
  <c r="AE194" i="8"/>
  <c r="AF176" i="8"/>
  <c r="AF161" i="8"/>
  <c r="AB84" i="8"/>
  <c r="AE104" i="8"/>
  <c r="AB121" i="8"/>
  <c r="AG126" i="8"/>
  <c r="AB168" i="8"/>
  <c r="AE103" i="8"/>
  <c r="AD130" i="8"/>
  <c r="AG101" i="8"/>
  <c r="AA40" i="8"/>
  <c r="AF71" i="8"/>
  <c r="AB110" i="8"/>
  <c r="AA127" i="8"/>
  <c r="AB152" i="8"/>
  <c r="AA151" i="8"/>
  <c r="AA45" i="8"/>
  <c r="AF147" i="8"/>
  <c r="AE42" i="8"/>
  <c r="AD66" i="8"/>
  <c r="AC87" i="8"/>
  <c r="AG202" i="8"/>
  <c r="AB181" i="8"/>
  <c r="AB117" i="8"/>
  <c r="AF93" i="8"/>
  <c r="AG123" i="8"/>
  <c r="AD134" i="8"/>
  <c r="AB67" i="8"/>
  <c r="AD190" i="8"/>
  <c r="AC200" i="8"/>
  <c r="AC16" i="8"/>
  <c r="AA58" i="8"/>
  <c r="AA174" i="8"/>
  <c r="AC109" i="8"/>
  <c r="AA116" i="8"/>
  <c r="AC100" i="8"/>
  <c r="AG191" i="8"/>
  <c r="AB115" i="8"/>
  <c r="AA169" i="8"/>
  <c r="AB144" i="8"/>
  <c r="AE142" i="8"/>
  <c r="AE200" i="8"/>
  <c r="AG161" i="8"/>
  <c r="AC55" i="8"/>
  <c r="AD195" i="8"/>
  <c r="AG91" i="8"/>
  <c r="AE15" i="8"/>
  <c r="AB202" i="8"/>
  <c r="AB182" i="8"/>
  <c r="AF31" i="8"/>
  <c r="AG129" i="8"/>
  <c r="AA92" i="8"/>
  <c r="AC186" i="8"/>
  <c r="AC130" i="8"/>
  <c r="AC190" i="8"/>
  <c r="AA80" i="8"/>
  <c r="AF119" i="8"/>
  <c r="AE67" i="8"/>
  <c r="AB97" i="8"/>
  <c r="AC27" i="8"/>
  <c r="AF178" i="8"/>
  <c r="AB40" i="8"/>
  <c r="AE99" i="8"/>
  <c r="AB36" i="8"/>
  <c r="AF45" i="8"/>
  <c r="AB155" i="8"/>
  <c r="AA147" i="8"/>
  <c r="AC156" i="8"/>
  <c r="AF98" i="8"/>
  <c r="AB116" i="8"/>
  <c r="AD196" i="8"/>
  <c r="AE122" i="8"/>
  <c r="AC165" i="8"/>
  <c r="AF78" i="8"/>
  <c r="AF70" i="8"/>
  <c r="AA97" i="8"/>
  <c r="AF18" i="8"/>
  <c r="AC19" i="8"/>
  <c r="AG59" i="8"/>
  <c r="AD169" i="8"/>
  <c r="AG106" i="8"/>
  <c r="AB169" i="8"/>
  <c r="AD37" i="8"/>
  <c r="AA179" i="8"/>
  <c r="AG172" i="8"/>
  <c r="AD151" i="8"/>
  <c r="AA15" i="8"/>
  <c r="AG24" i="8"/>
  <c r="AC162" i="8"/>
  <c r="AF48" i="8"/>
  <c r="AE161" i="8"/>
  <c r="AC183" i="8"/>
  <c r="AC31" i="8"/>
  <c r="AA63" i="8"/>
  <c r="AA160" i="8"/>
  <c r="AD184" i="8"/>
  <c r="AC158" i="8"/>
  <c r="AG15" i="8"/>
  <c r="AA156" i="8"/>
  <c r="AE70" i="8"/>
  <c r="AB120" i="8"/>
  <c r="AA67" i="8"/>
  <c r="AB69" i="8"/>
  <c r="AA42" i="8"/>
  <c r="AF52" i="8"/>
  <c r="AG114" i="8"/>
  <c r="AB159" i="8"/>
  <c r="AD209" i="8"/>
  <c r="AA109" i="8"/>
  <c r="AC210" i="8"/>
  <c r="AE123" i="8"/>
  <c r="AB59" i="8"/>
  <c r="AC77" i="8"/>
  <c r="AC116" i="8"/>
  <c r="AE202" i="8"/>
  <c r="AG201" i="8"/>
  <c r="AC151" i="8"/>
  <c r="AE24" i="8"/>
  <c r="AF25" i="8"/>
  <c r="AG29" i="8"/>
  <c r="AA26" i="8"/>
  <c r="AD83" i="8"/>
  <c r="AC67" i="8"/>
  <c r="AG109" i="8"/>
  <c r="AA75" i="8"/>
  <c r="AB161" i="8"/>
  <c r="AA190" i="8"/>
  <c r="AD63" i="8"/>
  <c r="AD29" i="8"/>
  <c r="AD86" i="8"/>
  <c r="AG98" i="8"/>
  <c r="AE28" i="8"/>
  <c r="AC90" i="8"/>
  <c r="AF59" i="8"/>
  <c r="AD198" i="8"/>
  <c r="AF116" i="8"/>
  <c r="AD176" i="8"/>
  <c r="AC13" i="8"/>
  <c r="AA86" i="8"/>
  <c r="AA47" i="8"/>
  <c r="AC117" i="8"/>
  <c r="AG181" i="8"/>
  <c r="AE114" i="8"/>
  <c r="AG79" i="8"/>
  <c r="AC137" i="8"/>
  <c r="AA19" i="8"/>
  <c r="AG205" i="8"/>
  <c r="AD28" i="8"/>
  <c r="AF199" i="8"/>
  <c r="AE197" i="8"/>
  <c r="AG60" i="8"/>
  <c r="AE162" i="8"/>
  <c r="AF34" i="8"/>
  <c r="AC93" i="8"/>
  <c r="AA91" i="8"/>
  <c r="AF117" i="8"/>
  <c r="AD71" i="8"/>
  <c r="AG21" i="8"/>
  <c r="AB13" i="8"/>
  <c r="AB19" i="8"/>
  <c r="AA210" i="8"/>
  <c r="AF95" i="8"/>
  <c r="AG46" i="8"/>
  <c r="AD88" i="8"/>
  <c r="AF32" i="8"/>
  <c r="AB60" i="8"/>
  <c r="AB50" i="8"/>
  <c r="AG195" i="8"/>
  <c r="AG26" i="8"/>
  <c r="AG153" i="8"/>
  <c r="AA196" i="8"/>
  <c r="AD20" i="8"/>
  <c r="AE139" i="8"/>
  <c r="AD182" i="8"/>
  <c r="AD34" i="8"/>
  <c r="AE177" i="8"/>
  <c r="AF210" i="8"/>
  <c r="AB71" i="8"/>
  <c r="AE29" i="8"/>
  <c r="AC95" i="8"/>
  <c r="AF105" i="8"/>
  <c r="AC57" i="8"/>
  <c r="AG113" i="8"/>
  <c r="AC56" i="8"/>
  <c r="AB105" i="8"/>
  <c r="AE124" i="8"/>
  <c r="AE13" i="8"/>
  <c r="AB196" i="8"/>
  <c r="AA184" i="8"/>
  <c r="AE48" i="8"/>
  <c r="AF154" i="8"/>
  <c r="AC195" i="8"/>
  <c r="AE201" i="8"/>
  <c r="AB106" i="8"/>
  <c r="AA205" i="8"/>
  <c r="AF112" i="8"/>
  <c r="AB133" i="8"/>
  <c r="AA78" i="8"/>
  <c r="AA199" i="8"/>
  <c r="AD99" i="8"/>
  <c r="AD161" i="8"/>
  <c r="AD33" i="8"/>
  <c r="AB164" i="8"/>
  <c r="AG124" i="8"/>
  <c r="AB18" i="8"/>
  <c r="AE180" i="8"/>
  <c r="AE199" i="8"/>
  <c r="AA173" i="8"/>
  <c r="AC208" i="8"/>
  <c r="AA57" i="8"/>
  <c r="AC21" i="8"/>
  <c r="AG200" i="8"/>
  <c r="AE113" i="8"/>
  <c r="AC49" i="8"/>
  <c r="AB137" i="8"/>
  <c r="AC123" i="8"/>
  <c r="AF197" i="8"/>
  <c r="AD135" i="8"/>
  <c r="AE84" i="8"/>
  <c r="AD210" i="8"/>
  <c r="AF163" i="8"/>
  <c r="AF39" i="8"/>
  <c r="AC176" i="8"/>
  <c r="AA53" i="8"/>
  <c r="AB138" i="8"/>
  <c r="AG83" i="8"/>
  <c r="AB192" i="8"/>
  <c r="AC39" i="8"/>
  <c r="AD76" i="8"/>
  <c r="AC58" i="8"/>
  <c r="AB70" i="8"/>
  <c r="AD158" i="8"/>
  <c r="AG96" i="8"/>
  <c r="AA108" i="8"/>
  <c r="AF80" i="8"/>
  <c r="AA31" i="8"/>
  <c r="AA90" i="8"/>
  <c r="AB149" i="8"/>
  <c r="AE72" i="8"/>
  <c r="AG159" i="8"/>
  <c r="AF21" i="8"/>
  <c r="AB200" i="8"/>
  <c r="AG186" i="8"/>
  <c r="AA48" i="8"/>
  <c r="AE41" i="8"/>
  <c r="AC135" i="8"/>
  <c r="AA38" i="8"/>
  <c r="AG76" i="8"/>
  <c r="AG140" i="8"/>
  <c r="AG117" i="8"/>
  <c r="AB173" i="8"/>
  <c r="AD205" i="8"/>
  <c r="AG104" i="8"/>
  <c r="AC26" i="8"/>
  <c r="AG210" i="8"/>
  <c r="AG141" i="8"/>
  <c r="AE97" i="8"/>
  <c r="AD21" i="8"/>
  <c r="AD54" i="8"/>
  <c r="AA185" i="8"/>
  <c r="AE111" i="8"/>
  <c r="AF166" i="8"/>
  <c r="AA69" i="8"/>
  <c r="AD115" i="8"/>
  <c r="AC119" i="8"/>
  <c r="AB163" i="8"/>
  <c r="AF79" i="8"/>
  <c r="AC209" i="8"/>
  <c r="AF23" i="8"/>
  <c r="AB129" i="8"/>
  <c r="AA51" i="8"/>
  <c r="AA112" i="8"/>
  <c r="AD89" i="8"/>
  <c r="AD110" i="8"/>
  <c r="AE31" i="8"/>
  <c r="AA183" i="8"/>
  <c r="AF206" i="8"/>
  <c r="AG63" i="8"/>
  <c r="AF191" i="8"/>
  <c r="AC22" i="8"/>
  <c r="AA44" i="8"/>
  <c r="AD98" i="8"/>
  <c r="AF102" i="8"/>
  <c r="AC181" i="8"/>
  <c r="AD192" i="8"/>
  <c r="AD16" i="8"/>
  <c r="AD197" i="8"/>
  <c r="AG204" i="8"/>
  <c r="AA135" i="8"/>
  <c r="AB208" i="8"/>
  <c r="AC83" i="8"/>
  <c r="AC191" i="8"/>
  <c r="AG199" i="8"/>
  <c r="AG118" i="8"/>
  <c r="AD207" i="8"/>
  <c r="AE88" i="8"/>
  <c r="AC199" i="8"/>
  <c r="AF73" i="8"/>
  <c r="AC161" i="8"/>
  <c r="AC128" i="8"/>
  <c r="AE195" i="8"/>
  <c r="AF164" i="8"/>
  <c r="AE65" i="8"/>
  <c r="AF27" i="8"/>
  <c r="AC142" i="8"/>
  <c r="AE90" i="8"/>
  <c r="AC201" i="8"/>
  <c r="AA32" i="8"/>
  <c r="AA176" i="8"/>
  <c r="AF49" i="8"/>
  <c r="AE12" i="8"/>
  <c r="AA98" i="8"/>
  <c r="AE164" i="8"/>
  <c r="AA118" i="8"/>
  <c r="AF124" i="8"/>
  <c r="AC167" i="8"/>
  <c r="AB46" i="8"/>
  <c r="AC120" i="8"/>
  <c r="AE183" i="8"/>
  <c r="AD90" i="8"/>
  <c r="AF87" i="8"/>
  <c r="AF113" i="8"/>
  <c r="AA39" i="8"/>
  <c r="AB57" i="8"/>
  <c r="AD112" i="8"/>
  <c r="AD163" i="8"/>
  <c r="AG128" i="8"/>
  <c r="AG28" i="8"/>
  <c r="AG209" i="8"/>
  <c r="AF20" i="8"/>
  <c r="AB90" i="8"/>
  <c r="AB20" i="8"/>
  <c r="AC141" i="8"/>
  <c r="AC136" i="8"/>
  <c r="AG39" i="8"/>
  <c r="AG155" i="8"/>
  <c r="AC61" i="8"/>
  <c r="AD118" i="8"/>
  <c r="AE143" i="8"/>
  <c r="AB100" i="8"/>
  <c r="AA66" i="8"/>
  <c r="AB111" i="8"/>
  <c r="AI2" i="8" l="1"/>
  <c r="AF2" i="8"/>
  <c r="AG2" i="8"/>
  <c r="AH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<sst xmlns="http://schemas.openxmlformats.org/spreadsheetml/2006/main" count="6262" uniqueCount="1873">
  <si>
    <t>Aquatic Plants Looking Good List</t>
  </si>
  <si>
    <t>Height</t>
  </si>
  <si>
    <t>Shelves</t>
  </si>
  <si>
    <t>Space</t>
  </si>
  <si>
    <t>Centre Name:</t>
  </si>
  <si>
    <t>Contact Name:</t>
  </si>
  <si>
    <t>Contact No:</t>
  </si>
  <si>
    <t>Minimum Order - 1 full trolley</t>
  </si>
  <si>
    <t>Key:</t>
  </si>
  <si>
    <t>Priority - 1 = Top selling/Must stock, 2 = Good seller, 3 = slower seller</t>
  </si>
  <si>
    <t>Trolley</t>
  </si>
  <si>
    <t>Order</t>
  </si>
  <si>
    <t>x1</t>
  </si>
  <si>
    <t>Barcode: 5021353888805</t>
  </si>
  <si>
    <t>Trays(x10)</t>
  </si>
  <si>
    <t>Priority</t>
  </si>
  <si>
    <t>Zone</t>
  </si>
  <si>
    <t>In Stock</t>
  </si>
  <si>
    <t>x10</t>
  </si>
  <si>
    <t>Assorted Marginals</t>
  </si>
  <si>
    <t>our best selection</t>
  </si>
  <si>
    <t>our choice, best plants available on the nursery</t>
  </si>
  <si>
    <t>1,2,3</t>
  </si>
  <si>
    <t>Y</t>
  </si>
  <si>
    <t>1L Marginals</t>
  </si>
  <si>
    <t>Assorted Pondside</t>
  </si>
  <si>
    <t>take the worry out of ordering, best plants available</t>
  </si>
  <si>
    <t>Acorus calamus</t>
  </si>
  <si>
    <t>sweet scented rush</t>
  </si>
  <si>
    <t>fragrant, green iris-like foliage</t>
  </si>
  <si>
    <t>Yes</t>
  </si>
  <si>
    <t>2,3</t>
  </si>
  <si>
    <t>y</t>
  </si>
  <si>
    <t>Acorus calamus 'Variegatus'</t>
  </si>
  <si>
    <t>variegated rush</t>
  </si>
  <si>
    <t>fragrant, creamy-white variegated foliage</t>
  </si>
  <si>
    <t>Acorus gramineus 'Golden Delight'</t>
  </si>
  <si>
    <t>golden rush</t>
  </si>
  <si>
    <t>evergreen leaves grow into attractive fans.</t>
  </si>
  <si>
    <t>1,2</t>
  </si>
  <si>
    <t>Acorus gramineus 'Ogon'</t>
  </si>
  <si>
    <t>golden gramineus</t>
  </si>
  <si>
    <t>wonderful golden/green variegated foliage</t>
  </si>
  <si>
    <t>Acorus gramineus 'Variegatus'</t>
  </si>
  <si>
    <t>dwarf rush</t>
  </si>
  <si>
    <t>evergreen green/cream variegated foliage</t>
  </si>
  <si>
    <t>Alisma lanceolata</t>
  </si>
  <si>
    <t>slender plantain</t>
  </si>
  <si>
    <t>elongate leaves, pinkish-white flowers</t>
  </si>
  <si>
    <t xml:space="preserve">Alisma parviflora  </t>
  </si>
  <si>
    <t>American plantain</t>
  </si>
  <si>
    <t>small dainty white flowers over rounded foliage</t>
  </si>
  <si>
    <t>Alisma plantago</t>
  </si>
  <si>
    <t>water plantain</t>
  </si>
  <si>
    <t>small dainty white flowers over ovate foliage</t>
  </si>
  <si>
    <t>Anemopsis Californicum</t>
  </si>
  <si>
    <t>apache beads</t>
  </si>
  <si>
    <t>name derived from seeds used in necklaces</t>
  </si>
  <si>
    <t>Apium nodiflorum</t>
  </si>
  <si>
    <t>fools watercress</t>
  </si>
  <si>
    <t>mat forming native with green foliage</t>
  </si>
  <si>
    <t>Arundo donax variegata</t>
  </si>
  <si>
    <t>giant variegated reed</t>
  </si>
  <si>
    <t>large, arching, green/white striped foliage</t>
  </si>
  <si>
    <t>Arum italicum</t>
  </si>
  <si>
    <t>lords and ladies</t>
  </si>
  <si>
    <t>moisture loving, berries appear after flower</t>
  </si>
  <si>
    <t>Blechnum spicant</t>
  </si>
  <si>
    <t>hard fern</t>
  </si>
  <si>
    <t>Butomus umbellatus</t>
  </si>
  <si>
    <t>flowering rush</t>
  </si>
  <si>
    <t>dainty pink flowers over rush-like foliage</t>
  </si>
  <si>
    <t>Calla palustris</t>
  </si>
  <si>
    <t>bog arum</t>
  </si>
  <si>
    <t>white arum-like flowers followed by bright red berries</t>
  </si>
  <si>
    <t>Caltha palustris</t>
  </si>
  <si>
    <t>marsh marigold</t>
  </si>
  <si>
    <t>native marigold a must have for any pond</t>
  </si>
  <si>
    <t>Caltha palustris Alba</t>
  </si>
  <si>
    <t>himalayan marigold</t>
  </si>
  <si>
    <t>white flowering form of our native marsh marigold</t>
  </si>
  <si>
    <t>Caltha palustris 'Flore Pleno'</t>
  </si>
  <si>
    <t>double marsh marigold</t>
  </si>
  <si>
    <t>beautiful double yellow flowered marigold</t>
  </si>
  <si>
    <t>Caltha polypetala</t>
  </si>
  <si>
    <t>giant kingcup</t>
  </si>
  <si>
    <t>the largest of the marigolds, a real specimen</t>
  </si>
  <si>
    <t>Indian shot plant</t>
  </si>
  <si>
    <t>our selection of best looking cannas</t>
  </si>
  <si>
    <t>Canna Happy Emily</t>
  </si>
  <si>
    <t> shines like the sun with its beautiful yellow colour</t>
  </si>
  <si>
    <t>Canna Happy Julia</t>
  </si>
  <si>
    <t>deep green/purple foliage over red petals</t>
  </si>
  <si>
    <t>Cardamine pratensis</t>
  </si>
  <si>
    <t>lady's smock</t>
  </si>
  <si>
    <t>bloom colour varies, from pale lavender, white and mauve</t>
  </si>
  <si>
    <t>Carex Bowles Golden</t>
  </si>
  <si>
    <t>bowles sedge</t>
  </si>
  <si>
    <t>wonderful, vivid golden foliage, with dark flower heads</t>
  </si>
  <si>
    <t>Carex Panicea</t>
  </si>
  <si>
    <t>carnation grass</t>
  </si>
  <si>
    <t>native sedge, bluish slender leaves, compact</t>
  </si>
  <si>
    <t>Carex pendula</t>
  </si>
  <si>
    <t>pendulous sedge</t>
  </si>
  <si>
    <t>native sedge, drooping catkin-like flowers</t>
  </si>
  <si>
    <t>Carex Pseudocyperus</t>
  </si>
  <si>
    <t>wildlife friendly sedge, drooping seedheads</t>
  </si>
  <si>
    <t>Cotula coronopifolia</t>
  </si>
  <si>
    <t>golden buttons</t>
  </si>
  <si>
    <t xml:space="preserve">an introduced aromatic, with golden yellow flowers </t>
  </si>
  <si>
    <t>Cyperus alternifolius</t>
  </si>
  <si>
    <t>umbrella sedge</t>
  </si>
  <si>
    <t>wonderful, architectural umbrella-like bracts</t>
  </si>
  <si>
    <t>Cyperus glaber</t>
  </si>
  <si>
    <t>flat sedge</t>
  </si>
  <si>
    <t>hardy member of the sedge family, similar to alternifolius</t>
  </si>
  <si>
    <t>Cyperus longus</t>
  </si>
  <si>
    <t>sweet galingale</t>
  </si>
  <si>
    <t>attracive, tall, arching, green foliage, brown spikelets</t>
  </si>
  <si>
    <t>Cyperus papyrus</t>
  </si>
  <si>
    <t>paper reed</t>
  </si>
  <si>
    <t>unusual mopheads atop slender green foliage</t>
  </si>
  <si>
    <t>Dryopteris erythrosora</t>
  </si>
  <si>
    <t>Japanese shield fern</t>
  </si>
  <si>
    <t>new fronds appear red/copper</t>
  </si>
  <si>
    <t>Equisetum japonicum</t>
  </si>
  <si>
    <t>barred horsetail</t>
  </si>
  <si>
    <t>striking must-have for all ponds, evergreen</t>
  </si>
  <si>
    <t>Equisetum Robustum</t>
  </si>
  <si>
    <t>scouring rush</t>
  </si>
  <si>
    <t>prehistoric, larger member of the horsetails</t>
  </si>
  <si>
    <t>Equisetum scirpoides</t>
  </si>
  <si>
    <t>dwarf scouring rush</t>
  </si>
  <si>
    <t>minature, thin green stems, barred with black rings</t>
  </si>
  <si>
    <t>Eriophorum angustifolium</t>
  </si>
  <si>
    <t>cotton grass</t>
  </si>
  <si>
    <t>fluffy heads of white cotton-like flowers</t>
  </si>
  <si>
    <t>Hardy Ferns Assorted</t>
  </si>
  <si>
    <t>Mixed Ferns</t>
  </si>
  <si>
    <t>Our choice, best selection</t>
  </si>
  <si>
    <t>Filipendula ulmaria</t>
  </si>
  <si>
    <t>meadowsweet</t>
  </si>
  <si>
    <t>creamy white flowers over green arching stems</t>
  </si>
  <si>
    <t>Fritilaria meleagris</t>
  </si>
  <si>
    <t>fritillery</t>
  </si>
  <si>
    <t>captivating bell shaped, pendulous flowers</t>
  </si>
  <si>
    <t>Geum rivale</t>
  </si>
  <si>
    <t>water avens</t>
  </si>
  <si>
    <t>native perennial, dusky pink, drooping flowers</t>
  </si>
  <si>
    <t>Glyceria Maxima</t>
  </si>
  <si>
    <t>Reed Sweet Grass</t>
  </si>
  <si>
    <t>emergent, with green grass-like foliage</t>
  </si>
  <si>
    <t>Glyceria Variegata</t>
  </si>
  <si>
    <t>green &amp; white sweet grass</t>
  </si>
  <si>
    <t>attractive creamy variegated foliage</t>
  </si>
  <si>
    <t>Gratiola officinalis</t>
  </si>
  <si>
    <t>summer snowflake</t>
  </si>
  <si>
    <t>dainty white flowers over bright green foliage</t>
  </si>
  <si>
    <t>Gunnera manicata</t>
  </si>
  <si>
    <t>Hosta Assorted</t>
  </si>
  <si>
    <t>plantain lily</t>
  </si>
  <si>
    <t>selection of best stock, picked by us</t>
  </si>
  <si>
    <t>Houttuynia cordata</t>
  </si>
  <si>
    <t>orange peel</t>
  </si>
  <si>
    <t>wonderful aromatic foliage, used in chinese medecine</t>
  </si>
  <si>
    <t>Houttuynia cordata Bobo</t>
  </si>
  <si>
    <t>multi-coloured variegated foliage of green,red and cream</t>
  </si>
  <si>
    <t>Houttuynia cordata Flame</t>
  </si>
  <si>
    <t>much lighter in colour than variegata</t>
  </si>
  <si>
    <t>Houttuynia cordata variegata</t>
  </si>
  <si>
    <t>harlequin plant</t>
  </si>
  <si>
    <t>scented, multi coloured foliage, smelling of orange peel</t>
  </si>
  <si>
    <t>Hypericum elodes</t>
  </si>
  <si>
    <t>marsh st johns wort</t>
  </si>
  <si>
    <t>mat-forming native with yellow flowers</t>
  </si>
  <si>
    <t>Iris ensata</t>
  </si>
  <si>
    <t xml:space="preserve"> Japanese flag</t>
  </si>
  <si>
    <t>one of the largest flowers of all aquatic irises, stunning</t>
  </si>
  <si>
    <t>Iris ensata 'Ruby King'</t>
  </si>
  <si>
    <t>Iris laevigata blue</t>
  </si>
  <si>
    <t>Iris laevigata 'Snowdrift'</t>
  </si>
  <si>
    <t>Iris louisiana</t>
  </si>
  <si>
    <t>louisiana water iris</t>
  </si>
  <si>
    <t>wonderful, evergreen water iris originating from USA</t>
  </si>
  <si>
    <t>Iris louisana 'Arabian bayou'</t>
  </si>
  <si>
    <t>striking yellow &amp; white flowers</t>
  </si>
  <si>
    <t>Iris louisiana 'Black Gamecock'</t>
  </si>
  <si>
    <t>striking dark-purple velvety flowers</t>
  </si>
  <si>
    <t>Iris louisiana Mixed</t>
  </si>
  <si>
    <t>red &amp; yellow louisiana water iris</t>
  </si>
  <si>
    <t>best selection of these wonderful irises</t>
  </si>
  <si>
    <t>Iris louisiana pagaletta</t>
  </si>
  <si>
    <t>offering purple blooms over evergreen foliage</t>
  </si>
  <si>
    <t>Iris pseudacorus</t>
  </si>
  <si>
    <t>yellow iris</t>
  </si>
  <si>
    <t>the only native aquatic iris, hardy and tough</t>
  </si>
  <si>
    <t>Iris pseudacorus 'Variegatus'</t>
  </si>
  <si>
    <t>variegated flag</t>
  </si>
  <si>
    <t>attractive yellow  and green variegated foliage</t>
  </si>
  <si>
    <t>Iris 'Rose Queen'</t>
  </si>
  <si>
    <t>Iris setosa</t>
  </si>
  <si>
    <t>blue flag</t>
  </si>
  <si>
    <t>bluish-purple blooms over compact green leaves</t>
  </si>
  <si>
    <t>Iris sibirica</t>
  </si>
  <si>
    <t>Siberian iris</t>
  </si>
  <si>
    <t>Siberian iris, showy flowers on slender stems</t>
  </si>
  <si>
    <t>Iris sibirica 'Ceaser's Brother'</t>
  </si>
  <si>
    <t>intense violet flowers with speckled markings on the throat</t>
  </si>
  <si>
    <t>Iris sibirica 'Dawn Waltz'</t>
  </si>
  <si>
    <t xml:space="preserve">flowing, ruffled soft lavender blossoms, pale yellow throats </t>
  </si>
  <si>
    <t>Iris sibirica 'Gull's Wing'</t>
  </si>
  <si>
    <t>Iris sibirica 'Kabluey'</t>
  </si>
  <si>
    <t>spectacular dark violet flowers with creamy-white centers</t>
  </si>
  <si>
    <t>Iris sibirica 'Having Fun'</t>
  </si>
  <si>
    <t>layers of ruffled, rounded petals in a soft violet shade</t>
  </si>
  <si>
    <t>Iris sibirica 'Silver Edge'</t>
  </si>
  <si>
    <t>stunning, rich blue flowers edged in silver</t>
  </si>
  <si>
    <t>Iris sibirica 'Sparkling Rose'</t>
  </si>
  <si>
    <t>beautiful white flowers with yellow throats</t>
  </si>
  <si>
    <t>Iris sibirica White</t>
  </si>
  <si>
    <t>Iris vericolor 'Dark Aura'</t>
  </si>
  <si>
    <t>american water iris</t>
  </si>
  <si>
    <t>slender green foliage, tinged red in the spring</t>
  </si>
  <si>
    <t>Iris versicolor</t>
  </si>
  <si>
    <t xml:space="preserve">wonderful blue flowers over sword-like foliage, </t>
  </si>
  <si>
    <t>Iris versicolor 'Kermisina'</t>
  </si>
  <si>
    <t>beautiful claret flowers over green strap-like foliage</t>
  </si>
  <si>
    <t>Iris versicolor 'Pacifica'</t>
  </si>
  <si>
    <t>deep purple flowers with yellow streaks</t>
  </si>
  <si>
    <t>Juncus effusus</t>
  </si>
  <si>
    <t>soft rush</t>
  </si>
  <si>
    <t xml:space="preserve">erect, dark green stems with brown seed heads </t>
  </si>
  <si>
    <t>Juncus effusus 'Spiralis'</t>
  </si>
  <si>
    <t>corkscrew rush</t>
  </si>
  <si>
    <t>unusual corkscrew like foliage, evergreen</t>
  </si>
  <si>
    <t>Juncus ensifolius</t>
  </si>
  <si>
    <t>flying hedgehogs</t>
  </si>
  <si>
    <t>attractive and unusual dark brown seed heads</t>
  </si>
  <si>
    <t>Juncus Inflexus</t>
  </si>
  <si>
    <t>hard rush</t>
  </si>
  <si>
    <t>glaucous blue, needle like foliage, to 50cm</t>
  </si>
  <si>
    <t>Lobelia deep pink</t>
  </si>
  <si>
    <t>pink cardinal</t>
  </si>
  <si>
    <t>contrasting pink flower spikes over green foliage</t>
  </si>
  <si>
    <t>Lobelia Fan red</t>
  </si>
  <si>
    <t>red cardinal</t>
  </si>
  <si>
    <t>red flowers over elongate green leaves</t>
  </si>
  <si>
    <t>Lobelia pink</t>
  </si>
  <si>
    <t>pink flowers over elongate green leaves</t>
  </si>
  <si>
    <t>Lobelia Queen Victoria</t>
  </si>
  <si>
    <t>scarlet red flowers over stunning crimson foliage</t>
  </si>
  <si>
    <t>scarlet cardinal</t>
  </si>
  <si>
    <t>vivid scarlet flowers over bronze leaves</t>
  </si>
  <si>
    <t>Lobelia syphilitica</t>
  </si>
  <si>
    <t>blue cardinal</t>
  </si>
  <si>
    <t>spikes of brilliant true blue flowers</t>
  </si>
  <si>
    <t>Lobelia syphilitica 'Alba'</t>
  </si>
  <si>
    <t>white cardinal</t>
  </si>
  <si>
    <t>pure white flowers over green foliage</t>
  </si>
  <si>
    <t>Lobelia vedrariensis</t>
  </si>
  <si>
    <t>purple loosestrife</t>
  </si>
  <si>
    <t>offering long spires of royal purple flowers</t>
  </si>
  <si>
    <t>Lychnis flos cuculi</t>
  </si>
  <si>
    <t>ragged robin</t>
  </si>
  <si>
    <t>star-shaped deep rose-pink flowers</t>
  </si>
  <si>
    <t>Lychnis flos cuculi 'Alba'</t>
  </si>
  <si>
    <t>white flowers over scruffy green leaves</t>
  </si>
  <si>
    <t>Lysichiton camtschatcensis</t>
  </si>
  <si>
    <t>white skunk cabbage</t>
  </si>
  <si>
    <t>large white spathe over fragrant green foliage</t>
  </si>
  <si>
    <t>Lysimachia nummularia</t>
  </si>
  <si>
    <t>creeping jenny</t>
  </si>
  <si>
    <t>perfect for the pondside or margin</t>
  </si>
  <si>
    <t>Lysimachia nummularia 'aurea'</t>
  </si>
  <si>
    <t>golden jenny</t>
  </si>
  <si>
    <t>low rafting mat of golden foliage with yellow flowers</t>
  </si>
  <si>
    <t>Lythrum salicaria</t>
  </si>
  <si>
    <t>beautiful tall pink flowers throughout the season</t>
  </si>
  <si>
    <t>Mazus reptans</t>
  </si>
  <si>
    <t>chinese marsh flower</t>
  </si>
  <si>
    <t>native to Asia, abundance of blue flowers</t>
  </si>
  <si>
    <t>Mazus reptans Alba</t>
  </si>
  <si>
    <t>white chinese marsh flower</t>
  </si>
  <si>
    <t>native to Asia, abundance of white flowers</t>
  </si>
  <si>
    <t>Mentha aquatica</t>
  </si>
  <si>
    <t>water mint</t>
  </si>
  <si>
    <t>a must have herb for every pondkeeper</t>
  </si>
  <si>
    <t>Mentha pulegium</t>
  </si>
  <si>
    <t>penny royal</t>
  </si>
  <si>
    <t>a creeping mint, compact and aromatic</t>
  </si>
  <si>
    <t>Menyanthes trifoliata</t>
  </si>
  <si>
    <t>bog bean</t>
  </si>
  <si>
    <t>starry white flowers and unusual tri-lobed leaves</t>
  </si>
  <si>
    <t>Mimulus guttatus</t>
  </si>
  <si>
    <t>monkey flower</t>
  </si>
  <si>
    <t>yellow flowers over green foliage, north american native</t>
  </si>
  <si>
    <t>Mimulus luteus</t>
  </si>
  <si>
    <t>blotched monkey flower</t>
  </si>
  <si>
    <t>abundance of yellow and red blotched flowers</t>
  </si>
  <si>
    <t>Mimulus Queen's Prize</t>
  </si>
  <si>
    <t>queens prize</t>
  </si>
  <si>
    <t>blood-red blotches on yellow petals</t>
  </si>
  <si>
    <t>Mimulus ringens</t>
  </si>
  <si>
    <t>lavender musk</t>
  </si>
  <si>
    <t>name stems from flowers likeness to a monkey's face</t>
  </si>
  <si>
    <t>Myosotis palustris</t>
  </si>
  <si>
    <t>water forget-me-not</t>
  </si>
  <si>
    <t>must have for every pond, small blue flowers</t>
  </si>
  <si>
    <t>Myosotis palustris 'Alba'</t>
  </si>
  <si>
    <t>white water forget-me-not</t>
  </si>
  <si>
    <t>white flowers over green foliage</t>
  </si>
  <si>
    <t>Myosotis palustris Pink</t>
  </si>
  <si>
    <t>pink water forget-me-not</t>
  </si>
  <si>
    <t>Nasturtium Aquaticum</t>
  </si>
  <si>
    <t>watercress</t>
  </si>
  <si>
    <t>the natural way to keep green algae at bay</t>
  </si>
  <si>
    <t>Oenathe fistulosa</t>
  </si>
  <si>
    <t>water dropwort</t>
  </si>
  <si>
    <t>white flowers over carrot top looking leaves</t>
  </si>
  <si>
    <t>Oenanthe 'Flamingo'</t>
  </si>
  <si>
    <t>variegated water dropwort</t>
  </si>
  <si>
    <t>wonderful tricolour, pink, green and white foliage</t>
  </si>
  <si>
    <t xml:space="preserve">Phalaris arundinacea 'Picta'   </t>
  </si>
  <si>
    <t>gardener's garters</t>
  </si>
  <si>
    <t>offering bold stripes of white, pale and dark green</t>
  </si>
  <si>
    <t>Phalaris Arctic Sun</t>
  </si>
  <si>
    <t>1,3</t>
  </si>
  <si>
    <t>Phragmites variegata</t>
  </si>
  <si>
    <t>1,4</t>
  </si>
  <si>
    <t>Polystichum Polyblepharum</t>
  </si>
  <si>
    <t>japanese lace fern</t>
  </si>
  <si>
    <t>showy, compact olive-green foliage</t>
  </si>
  <si>
    <t>Pontederia cordata</t>
  </si>
  <si>
    <t>pickeral weed</t>
  </si>
  <si>
    <t>american native with handsome blue flowers</t>
  </si>
  <si>
    <t>Pontederia cordata 'Alba'</t>
  </si>
  <si>
    <t>handsome white flowering form of pickeral weed</t>
  </si>
  <si>
    <t>1,7</t>
  </si>
  <si>
    <t>Pontederia Lanceolata</t>
  </si>
  <si>
    <t>blue  poker-like flowers overlance shaped leaves</t>
  </si>
  <si>
    <t>Preslia cervina</t>
  </si>
  <si>
    <t>water spearmint</t>
  </si>
  <si>
    <t>attractive lilac flowers and strongly scented foliage</t>
  </si>
  <si>
    <t>Preslia cervina alba</t>
  </si>
  <si>
    <t>Primula Beesiana</t>
  </si>
  <si>
    <t>candelabra primula</t>
  </si>
  <si>
    <t>smaller growing Chinese variety</t>
  </si>
  <si>
    <t>Primula bulleyana</t>
  </si>
  <si>
    <t>candelabra</t>
  </si>
  <si>
    <t>candelabra primula with orange-yellow flowers</t>
  </si>
  <si>
    <t>Primula denticulata</t>
  </si>
  <si>
    <t>himalayan primula</t>
  </si>
  <si>
    <t>impressive rounded heads of flowers</t>
  </si>
  <si>
    <t>Primula denticulata 'Alba'</t>
  </si>
  <si>
    <t>himilayan primula</t>
  </si>
  <si>
    <t>distinctive large spherical white flower heads</t>
  </si>
  <si>
    <t>Primula Denticulata Deep Rose</t>
  </si>
  <si>
    <t>drumstick primula</t>
  </si>
  <si>
    <t>beautiful deep rose flowers with a yellow eye</t>
  </si>
  <si>
    <t>Primula Denticulata Lilac</t>
  </si>
  <si>
    <t>tiny lilac-purple flowers in spring until early summer</t>
  </si>
  <si>
    <t>Primula denticulata 'Rubin'</t>
  </si>
  <si>
    <t>Asian native, stunning cylindrical flowers</t>
  </si>
  <si>
    <t>Primula florindae</t>
  </si>
  <si>
    <t>himalayan cowslip</t>
  </si>
  <si>
    <t>heavily scented Tibetan native primula</t>
  </si>
  <si>
    <t>Primula Japonica White</t>
  </si>
  <si>
    <t>candelabra primrose</t>
  </si>
  <si>
    <t>beautiful japanese primula with white flowers</t>
  </si>
  <si>
    <t>Primula 'Miller's Crimson'</t>
  </si>
  <si>
    <t>classic, elegant red, candleabra primula</t>
  </si>
  <si>
    <t>Primula Mix</t>
  </si>
  <si>
    <t>a mix of beautiful flowers hand picked by our nursery</t>
  </si>
  <si>
    <t>Primula rosea</t>
  </si>
  <si>
    <t>meadow primrose</t>
  </si>
  <si>
    <t>pretty primrose with rose red blooms</t>
  </si>
  <si>
    <t>Primula veris</t>
  </si>
  <si>
    <t>cowslip</t>
  </si>
  <si>
    <t>dainty lemon-yellow flowers over crinkly, green leaves</t>
  </si>
  <si>
    <t>Primula vialii</t>
  </si>
  <si>
    <t>orchid primula</t>
  </si>
  <si>
    <t>high impact purple flowers with red tips, unusual</t>
  </si>
  <si>
    <t>Primula vulgaris</t>
  </si>
  <si>
    <t>primrose</t>
  </si>
  <si>
    <t>native primrose, hails the start of spring</t>
  </si>
  <si>
    <t>Ranunculus flammula</t>
  </si>
  <si>
    <t>lesser spearwort</t>
  </si>
  <si>
    <t>wonderful little yellow buttercup flowers</t>
  </si>
  <si>
    <t>Ranunculus lingua grandiflora</t>
  </si>
  <si>
    <t>greater spearwort</t>
  </si>
  <si>
    <t>largest of the buttercup family</t>
  </si>
  <si>
    <t>Rumex Sanguineus</t>
  </si>
  <si>
    <t>red vein dock</t>
  </si>
  <si>
    <t>large green ovate leaves with red veins</t>
  </si>
  <si>
    <t>Sagittaria latifolia</t>
  </si>
  <si>
    <t>arrowhead</t>
  </si>
  <si>
    <t>emergant plant with broadleaf arrowhead leaves</t>
  </si>
  <si>
    <t>Sagittaria sagittifolia</t>
  </si>
  <si>
    <t>white flowers contrasting with green arrowhead foliage</t>
  </si>
  <si>
    <t>Saururus cernuus</t>
  </si>
  <si>
    <t>lizard's tail</t>
  </si>
  <si>
    <t>unusual flower resembling a lizard's tail</t>
  </si>
  <si>
    <t>Schizostylis Alba</t>
  </si>
  <si>
    <t>white flag</t>
  </si>
  <si>
    <t>pretty white flowers in the late summer</t>
  </si>
  <si>
    <t>Schizostylis Oregon Sunset</t>
  </si>
  <si>
    <t>Orange flag</t>
  </si>
  <si>
    <t>A summer sunset sky sums up the colours of this flower</t>
  </si>
  <si>
    <t xml:space="preserve">Schizostylis Pink      </t>
  </si>
  <si>
    <t>pink flag</t>
  </si>
  <si>
    <t>subtle pink flowers over iris-like foliage</t>
  </si>
  <si>
    <t>Schizostylis Red</t>
  </si>
  <si>
    <t>red flag</t>
  </si>
  <si>
    <t>deep red flowers throughout autumn</t>
  </si>
  <si>
    <t>Scirpus albescens</t>
  </si>
  <si>
    <t>striped rush</t>
  </si>
  <si>
    <t>contrasting longitudinal stripes of green and cream</t>
  </si>
  <si>
    <t>Scirpus lacustris</t>
  </si>
  <si>
    <t>bulrush</t>
  </si>
  <si>
    <t>a great native, suitable for larger ponds- BIG</t>
  </si>
  <si>
    <t>Scirpus Zebrinus</t>
  </si>
  <si>
    <t>zebra rush</t>
  </si>
  <si>
    <t>striking green and creamy-white horizontally banded stems</t>
  </si>
  <si>
    <t>Scrophularia Aquatica</t>
  </si>
  <si>
    <t>water figwort</t>
  </si>
  <si>
    <t>summer maroon blooms over nettle-like foliage</t>
  </si>
  <si>
    <t>Sisyrinchium Californicum</t>
  </si>
  <si>
    <t>yellow satin flower</t>
  </si>
  <si>
    <t>tiny iris-like foliage with an abundance of yellow flowers</t>
  </si>
  <si>
    <t>Sparganum erectum</t>
  </si>
  <si>
    <t>bur reed</t>
  </si>
  <si>
    <t>scented white flowers turn to spiky seed heads</t>
  </si>
  <si>
    <t>Sagittaria japonica</t>
  </si>
  <si>
    <t>double japanese arrowhead</t>
  </si>
  <si>
    <t xml:space="preserve">snowball’ flowers with striking arrow-shaped foliage. </t>
  </si>
  <si>
    <t>Thalia Dealbata</t>
  </si>
  <si>
    <t>alligator flag</t>
  </si>
  <si>
    <t xml:space="preserve">native to swamps and ponds in southern USA </t>
  </si>
  <si>
    <t>Tulbaghia Violacea</t>
  </si>
  <si>
    <t>society garlic</t>
  </si>
  <si>
    <t>offering large umbels of fragrant lilac flowers</t>
  </si>
  <si>
    <t>Typha angustifolia</t>
  </si>
  <si>
    <t>lesser reedmace</t>
  </si>
  <si>
    <t>often wrongly named lesser bulrush</t>
  </si>
  <si>
    <t>Typha Gracilis</t>
  </si>
  <si>
    <t>Typha latifolia</t>
  </si>
  <si>
    <t xml:space="preserve"> reedmace</t>
  </si>
  <si>
    <t>incorrectly named bullrush, large specimen</t>
  </si>
  <si>
    <t>Typha laxmanii</t>
  </si>
  <si>
    <t>slender reedmace</t>
  </si>
  <si>
    <t>probably the most elegant of the reedmace family</t>
  </si>
  <si>
    <t>Typha minima</t>
  </si>
  <si>
    <t>dwarf reedmace</t>
  </si>
  <si>
    <t>the most delicate of the reedmace, ideal for features</t>
  </si>
  <si>
    <t>Veronica beccabunga</t>
  </si>
  <si>
    <t>brooklime</t>
  </si>
  <si>
    <t>a real functional native, great for all ponds</t>
  </si>
  <si>
    <t>Zantedeschia aethiopica</t>
  </si>
  <si>
    <t>arum lily</t>
  </si>
  <si>
    <t>wonderull funnel-shaped white spathe-like flowers</t>
  </si>
  <si>
    <t>Zantedeschia 'Crowborough'</t>
  </si>
  <si>
    <t>discovered growing in a garden in England</t>
  </si>
  <si>
    <t>Total 1L Marginals (x10)</t>
  </si>
  <si>
    <t>water violet</t>
  </si>
  <si>
    <t>water crowfoot</t>
  </si>
  <si>
    <t>Barcode: 5021353001020</t>
  </si>
  <si>
    <t>Assorted Oxygenators</t>
  </si>
  <si>
    <t>1L Oxygenators</t>
  </si>
  <si>
    <t>Anagallis Tenella</t>
  </si>
  <si>
    <t>Callitriche</t>
  </si>
  <si>
    <t>starwort</t>
  </si>
  <si>
    <t>suited to deeper ponds, native and noninvasive</t>
  </si>
  <si>
    <t>Eleocharis Acicularis</t>
  </si>
  <si>
    <t>hairgrass</t>
  </si>
  <si>
    <t>tiny grass, ideal oxy. For the margins</t>
  </si>
  <si>
    <t>Hippuris vulgaris</t>
  </si>
  <si>
    <t>marestail</t>
  </si>
  <si>
    <t>a real tough plant, now a 1st choice oxy</t>
  </si>
  <si>
    <t>Hottonia palustris</t>
  </si>
  <si>
    <t>soft lilac-pink flowers throughout summer</t>
  </si>
  <si>
    <t>Hydrocotyle var.</t>
  </si>
  <si>
    <t>variegated pennywort</t>
  </si>
  <si>
    <t>dainty green foliage with cream edges</t>
  </si>
  <si>
    <t>Hydrocotyle Vulgaris</t>
  </si>
  <si>
    <t>marsh pennywort</t>
  </si>
  <si>
    <t>dainty circular green foliage</t>
  </si>
  <si>
    <t>red stemmed p. feather</t>
  </si>
  <si>
    <t>attractive red stems, green foliage</t>
  </si>
  <si>
    <t>Myriophyllum crispatum</t>
  </si>
  <si>
    <t>spiked milfoil</t>
  </si>
  <si>
    <t>olive green, feather-like foliage</t>
  </si>
  <si>
    <t>Myriophyllum Propium</t>
  </si>
  <si>
    <t>Spiked Water Milfoil</t>
  </si>
  <si>
    <t>attractive spikey appearance with tiny red flowers</t>
  </si>
  <si>
    <t>2,4</t>
  </si>
  <si>
    <t>Pilularia globulifera</t>
  </si>
  <si>
    <t>pillwort</t>
  </si>
  <si>
    <t>endangered native species of fern</t>
  </si>
  <si>
    <t>Ranunculus Aquatilis</t>
  </si>
  <si>
    <t>one of the few oxygenating to flower</t>
  </si>
  <si>
    <t>Scirpus Cernuus</t>
  </si>
  <si>
    <t>cotton bud grass</t>
  </si>
  <si>
    <t>grass, with tiny flowers, almost fibre optic</t>
  </si>
  <si>
    <t>Scirpus Isolepis</t>
  </si>
  <si>
    <t>bristle club rush</t>
  </si>
  <si>
    <t>compact grass suitable for the margins</t>
  </si>
  <si>
    <t>Total 1L Oxygenators (x10)</t>
  </si>
  <si>
    <t>24 per shelf</t>
  </si>
  <si>
    <t>Barcode: 5021353777116</t>
  </si>
  <si>
    <t>Pots(x3)</t>
  </si>
  <si>
    <t>x3</t>
  </si>
  <si>
    <t>2L Oxygenators</t>
  </si>
  <si>
    <t>Total 2L Oxygenators (x3)</t>
  </si>
  <si>
    <t>Barcode: 5021353002317</t>
  </si>
  <si>
    <t>2L Pondside</t>
  </si>
  <si>
    <t>Assorted Ferns</t>
  </si>
  <si>
    <t>Allium Ursinum</t>
  </si>
  <si>
    <t>wild garlic</t>
  </si>
  <si>
    <t>rounded head of white star-like flowers</t>
  </si>
  <si>
    <t>Asplenium scolopendrium</t>
  </si>
  <si>
    <t>harts tongue fern</t>
  </si>
  <si>
    <t>native fern, perfect for pondside planting</t>
  </si>
  <si>
    <t>Astilbe Assorted</t>
  </si>
  <si>
    <t>astilbe</t>
  </si>
  <si>
    <t>a selection of various shades of white, pink and red flowers</t>
  </si>
  <si>
    <t>Astilbe younique carmine</t>
  </si>
  <si>
    <t>compact habit with beautiful large flower carmine plume</t>
  </si>
  <si>
    <t>Astilbe younique cerise</t>
  </si>
  <si>
    <t>short, compact and rich cherry red flowers</t>
  </si>
  <si>
    <t>Astilbe younique salmon</t>
  </si>
  <si>
    <t>wonderful new hybrid with large flower plume</t>
  </si>
  <si>
    <t>Astilbe Silvery Pink</t>
  </si>
  <si>
    <t>dense plumes of feather-like silvery pink flowers</t>
  </si>
  <si>
    <t>Athyrium filix-femina</t>
  </si>
  <si>
    <t>lady fern</t>
  </si>
  <si>
    <t xml:space="preserve">graceful, bright green, filigree-like foliage </t>
  </si>
  <si>
    <t>Athyrium nipponicum</t>
  </si>
  <si>
    <t>Painted fern</t>
  </si>
  <si>
    <t>one of the most colourful ferns</t>
  </si>
  <si>
    <t>Athyrium nipponicum pictum</t>
  </si>
  <si>
    <t>Japanese painted fern</t>
  </si>
  <si>
    <t xml:space="preserve">striking, shades of green, purple on silver </t>
  </si>
  <si>
    <t>distinctive, elegant, comb-like fronds</t>
  </si>
  <si>
    <t>Our best available Cannas</t>
  </si>
  <si>
    <t>Canna ambassador</t>
  </si>
  <si>
    <t>Canna Australia</t>
  </si>
  <si>
    <t>Canna Eric Neubert</t>
  </si>
  <si>
    <t>Canna Happy Carmen</t>
  </si>
  <si>
    <t>beautiful flowers dark red and very compact</t>
  </si>
  <si>
    <t>Canna Happy Cleo</t>
  </si>
  <si>
    <t>vibrant orange petals over green foliage</t>
  </si>
  <si>
    <t>Canna Happy Isabel</t>
  </si>
  <si>
    <t>eye catching pink flower and green foliage</t>
  </si>
  <si>
    <t>Canna Happy Wilma</t>
  </si>
  <si>
    <t>large, blousy, lilylike blooms in a salmon shade</t>
  </si>
  <si>
    <t>Dryopteris affinis</t>
  </si>
  <si>
    <t>scaly male fern</t>
  </si>
  <si>
    <t>handsome shuttlecock-type fern</t>
  </si>
  <si>
    <t>Autumn fern</t>
  </si>
  <si>
    <t>evergreen Asian fern with bipinnate red/green fronds</t>
  </si>
  <si>
    <t>Dryopteris Felix Mas</t>
  </si>
  <si>
    <t>male fern</t>
  </si>
  <si>
    <t>deciduous with shuttlecock-like fronds</t>
  </si>
  <si>
    <t>Hemerocallis</t>
  </si>
  <si>
    <t>day lily</t>
  </si>
  <si>
    <t>assorted flower colours over green foliage</t>
  </si>
  <si>
    <t>Hosta Abiqua Drinking Gourd</t>
  </si>
  <si>
    <t>very large cupped leaf foliage, blue green.</t>
  </si>
  <si>
    <t>Hosta Anne</t>
  </si>
  <si>
    <t>Dark green thick leaves with wide creamy margin.</t>
  </si>
  <si>
    <t>Hosta Captains Adventures</t>
  </si>
  <si>
    <t>wide creamy-white margin and darker green streaking</t>
  </si>
  <si>
    <t>Hosta Don Stevens</t>
  </si>
  <si>
    <t>yellow-white margin &amp; red dotted scapes.</t>
  </si>
  <si>
    <t>Hosta Firn Line</t>
  </si>
  <si>
    <t>grey-green leaves with creamy-white margins.</t>
  </si>
  <si>
    <t>Hosta Fortunei Hyacinthina</t>
  </si>
  <si>
    <t>large glaucous-green leaves</t>
  </si>
  <si>
    <t>Hosta Fragrant Bouquet</t>
  </si>
  <si>
    <t>light green leaves  with a creamy white edge</t>
  </si>
  <si>
    <t>Hosta Francee</t>
  </si>
  <si>
    <t>very popular white edged 'Fortunei'</t>
  </si>
  <si>
    <t>Hosta Frances Williams</t>
  </si>
  <si>
    <t>large green and yellow margined heart-shaped leaves</t>
  </si>
  <si>
    <t>Hosta halcyon</t>
  </si>
  <si>
    <t>wonderful blue green textured foliage</t>
  </si>
  <si>
    <t>Hosta Morning Star</t>
  </si>
  <si>
    <t>dark green margin surrounds the yellow leaf centre.</t>
  </si>
  <si>
    <t>Hosta Patriot</t>
  </si>
  <si>
    <t xml:space="preserve">striking broad white margins, </t>
  </si>
  <si>
    <t>Hosta Pizzazz</t>
  </si>
  <si>
    <t>Blue with creamy later and a white edge.</t>
  </si>
  <si>
    <t>Hosta Sting</t>
  </si>
  <si>
    <t>thick dark green leaves with a white flamed center</t>
  </si>
  <si>
    <t>Hosta Sugar Daddy</t>
  </si>
  <si>
    <t>Round puckered blue leaves with a yellow margin.</t>
  </si>
  <si>
    <t>Hosta Tokudama Flavocircinalis</t>
  </si>
  <si>
    <t>Blue with yellow a margin and heavily rugose.</t>
  </si>
  <si>
    <t>Iris Sibirica Blue</t>
  </si>
  <si>
    <t>Siberian iris, showy blue flowers on slender stems</t>
  </si>
  <si>
    <t>Iris sibirica 'Happy Returns'</t>
  </si>
  <si>
    <t>Medium violet blue, heavily gold signal</t>
  </si>
  <si>
    <t>Iris sibirica 'Rosy Bows'</t>
  </si>
  <si>
    <t>ruffled blousy blooms are stunning over clumps foliage</t>
  </si>
  <si>
    <t>Iris sibirica 'Snow Queen'</t>
  </si>
  <si>
    <t>lilac-pink petals with a white veined base</t>
  </si>
  <si>
    <t>Ligularia dentata 'Desdemona'</t>
  </si>
  <si>
    <t>leopard plant</t>
  </si>
  <si>
    <t>originating from China, tall stems of yellow flowers</t>
  </si>
  <si>
    <t>Lycopus europaeus</t>
  </si>
  <si>
    <t>gypsywort</t>
  </si>
  <si>
    <t>native plant historically used to lower blood pressure</t>
  </si>
  <si>
    <t>Matteuccia struthiopteris</t>
  </si>
  <si>
    <t>ostrich fern</t>
  </si>
  <si>
    <t>large, pale green, lacy fronds</t>
  </si>
  <si>
    <t>Osmunda regalis</t>
  </si>
  <si>
    <t>royal fern</t>
  </si>
  <si>
    <t>a large, stunning fern, suited to the pond margins</t>
  </si>
  <si>
    <t>Polystichium Herrenhausen</t>
  </si>
  <si>
    <t>soft shield fern</t>
  </si>
  <si>
    <t>semi-evergreen fern, suited to the pondside</t>
  </si>
  <si>
    <t>Polystichum setiferum</t>
  </si>
  <si>
    <t>offering evergreen, soft, dark green fronds</t>
  </si>
  <si>
    <t>Rodgersia pinnata</t>
  </si>
  <si>
    <t>rodgersia</t>
  </si>
  <si>
    <t>striking plant for the bog garden</t>
  </si>
  <si>
    <t>Total 2L Pondside (x3)</t>
  </si>
  <si>
    <t>Barcode: 5021353014372</t>
  </si>
  <si>
    <t>2L Gardeners Choice</t>
  </si>
  <si>
    <t>sweet rush</t>
  </si>
  <si>
    <t>variegated sweet rush</t>
  </si>
  <si>
    <t>Carex acutiformis</t>
  </si>
  <si>
    <t>lesser pond sedge</t>
  </si>
  <si>
    <t>tall, indigenous sedge, unusual brown flower spikes</t>
  </si>
  <si>
    <t>Carex muskingumensis</t>
  </si>
  <si>
    <t>musk sedge</t>
  </si>
  <si>
    <t>feathery bright green foliage</t>
  </si>
  <si>
    <t>Carex panicea</t>
  </si>
  <si>
    <t>St Johns wort</t>
  </si>
  <si>
    <t>yes</t>
  </si>
  <si>
    <t>Japanese flag</t>
  </si>
  <si>
    <t>large claret blooms over green strap-like foliage</t>
  </si>
  <si>
    <t>Japanese water iris</t>
  </si>
  <si>
    <t>offering arching sword-like foliage and blue flowers</t>
  </si>
  <si>
    <t>white blooms with lilac markings, stunning</t>
  </si>
  <si>
    <t>Iris louisiana blue</t>
  </si>
  <si>
    <t>native of southeastern united states</t>
  </si>
  <si>
    <t>beautiful white/yellow blooms over mid-green leaves</t>
  </si>
  <si>
    <t>Iris louisiana yellow</t>
  </si>
  <si>
    <t>louisiana iris</t>
  </si>
  <si>
    <t>Iris pseudacorus 'Bastardii'</t>
  </si>
  <si>
    <t>yellow flag</t>
  </si>
  <si>
    <t>broad sword-like foliage and creamy yellow flowers</t>
  </si>
  <si>
    <t>Iris pseudacorus 'Berlin Tiger'</t>
  </si>
  <si>
    <t>flag</t>
  </si>
  <si>
    <t>striking pale yellow flowers with veined brown markings</t>
  </si>
  <si>
    <t>Iris pseudacorus 'Crème de la Crème'</t>
  </si>
  <si>
    <t>a beautiful variety of the yellow flag, creamy white flowers</t>
  </si>
  <si>
    <t>japanese water iris</t>
  </si>
  <si>
    <t>gorgeous rose-pink flowers with darker veining</t>
  </si>
  <si>
    <t>wonderful blue flowers over sword-like foliage</t>
  </si>
  <si>
    <t>Iris Versicolor Gerald Derby</t>
  </si>
  <si>
    <t>arching sword-like leaves, lovely claret flowers</t>
  </si>
  <si>
    <t>purple cardinal</t>
  </si>
  <si>
    <t>Penny royal</t>
  </si>
  <si>
    <t>golden yellow and green foliage, excellent filter feeder</t>
  </si>
  <si>
    <t>Pontederia lanceolata</t>
  </si>
  <si>
    <t>great spearwort</t>
  </si>
  <si>
    <t>buttercup yellow flowers over ovate green foliage</t>
  </si>
  <si>
    <t>V GOOD</t>
  </si>
  <si>
    <t>V. BIG</t>
  </si>
  <si>
    <t>a great native, suitable for larger ponds</t>
  </si>
  <si>
    <t>Sisyrinchium californicum</t>
  </si>
  <si>
    <t>satin flower</t>
  </si>
  <si>
    <t>yellow flowers, top of miniature Iris-type leaves</t>
  </si>
  <si>
    <t>Thalia dealbata</t>
  </si>
  <si>
    <t>reedmace</t>
  </si>
  <si>
    <t>compact and less invaisive than other reedmace</t>
  </si>
  <si>
    <t>hardy arum lily</t>
  </si>
  <si>
    <t>wonderful compact variety with cream speckled foliage</t>
  </si>
  <si>
    <t>Pure white blooms, Extremely high flower count</t>
  </si>
  <si>
    <t>Total 2L Gardeners Choice (x3)</t>
  </si>
  <si>
    <t>Pots</t>
  </si>
  <si>
    <t>3L Marginal with 2 plants</t>
  </si>
  <si>
    <t>3L Marginal with 3 plants</t>
  </si>
  <si>
    <t>Barcode: 5021353002300</t>
  </si>
  <si>
    <t>our selection</t>
  </si>
  <si>
    <t>5L Marginals</t>
  </si>
  <si>
    <t>Golden delight</t>
  </si>
  <si>
    <t>Acorus gramineus 'ogon'</t>
  </si>
  <si>
    <t>Carex Pendula</t>
  </si>
  <si>
    <t>Hypericum Elodes</t>
  </si>
  <si>
    <t>Iris pseudacorus 'variegatus'</t>
  </si>
  <si>
    <t>Siberian Iris</t>
  </si>
  <si>
    <t>flowers are white, of course, leaning toward ivory</t>
  </si>
  <si>
    <t>Siberian iris, showy white flowers on slender stems</t>
  </si>
  <si>
    <t>Mentha Aquatica</t>
  </si>
  <si>
    <t>Mentha Pulegium</t>
  </si>
  <si>
    <t>Nasturtium aquaticum</t>
  </si>
  <si>
    <t>Preslia Cervina</t>
  </si>
  <si>
    <t>Ranunculus Flammula</t>
  </si>
  <si>
    <t>Rumex Hydrolapathum</t>
  </si>
  <si>
    <t>great water dock</t>
  </si>
  <si>
    <t>this native also hearalds from Europe and Asia</t>
  </si>
  <si>
    <t>Typha Angustifolia</t>
  </si>
  <si>
    <t>Typha Latifolia</t>
  </si>
  <si>
    <t>Veronica Beccabunga</t>
  </si>
  <si>
    <t>wonderful funnel-shaped white spathe-like flowers</t>
  </si>
  <si>
    <t>Barcode: 5021353014884</t>
  </si>
  <si>
    <t>10L Marginals</t>
  </si>
  <si>
    <t>Caltha Palustris</t>
  </si>
  <si>
    <t>Iris Ensata Variegata</t>
  </si>
  <si>
    <t>Variegated Japanese flag</t>
  </si>
  <si>
    <t>gorgeous purple flowers over white and green striped foliage</t>
  </si>
  <si>
    <t>Typha Minima</t>
  </si>
  <si>
    <t>Total 10L Marginals (x1)</t>
  </si>
  <si>
    <t>8 per shelf</t>
  </si>
  <si>
    <t>8L Standard Planted Contour</t>
  </si>
  <si>
    <t>large finished product planted with at least 3 x different marginal varieties</t>
  </si>
  <si>
    <t>Larger Marginals</t>
  </si>
  <si>
    <t>8L Oxygenator Planted Contour</t>
  </si>
  <si>
    <t>a finished product with at least 4x different oxygenating marginals</t>
  </si>
  <si>
    <t>8L Scented Planted Contour</t>
  </si>
  <si>
    <t>a finished product with at least 4x different scented marginals</t>
  </si>
  <si>
    <t>8L Native Planted Contour</t>
  </si>
  <si>
    <t>a finished product with at least 4x different British marginals</t>
  </si>
  <si>
    <t>Total 8L Planted Contours (x1)</t>
  </si>
  <si>
    <t>Floating Plants - Tub</t>
  </si>
  <si>
    <t>Floating Plants</t>
  </si>
  <si>
    <t>Large Blue Pot- Pistia stratiotes</t>
  </si>
  <si>
    <t>water lettuce</t>
  </si>
  <si>
    <t>frogbit</t>
  </si>
  <si>
    <t>water butterfly wings</t>
  </si>
  <si>
    <t>water soldiers</t>
  </si>
  <si>
    <t>water chestnut</t>
  </si>
  <si>
    <t>Oxygenators</t>
  </si>
  <si>
    <t>water starwort</t>
  </si>
  <si>
    <t>hornwort</t>
  </si>
  <si>
    <t>broad-leaved pondweed</t>
  </si>
  <si>
    <t>water moss</t>
  </si>
  <si>
    <t>fringed waterlily</t>
  </si>
  <si>
    <t>x25</t>
  </si>
  <si>
    <t>Loose Hydrocharis morsus ranae</t>
  </si>
  <si>
    <t>frog-bit</t>
  </si>
  <si>
    <t>Floating Plants - Loose</t>
  </si>
  <si>
    <t>Loose Pistia Stratiotes</t>
  </si>
  <si>
    <t>Loose Salvinia Natans</t>
  </si>
  <si>
    <t>Loose Stratiotes Aloides</t>
  </si>
  <si>
    <t>Loose Stratiotes 'Rubrifolia'</t>
  </si>
  <si>
    <t>red water soldiers</t>
  </si>
  <si>
    <t>Loose Trapa Natans</t>
  </si>
  <si>
    <t>x4</t>
  </si>
  <si>
    <t>a wonderful sweetly scented deep marginal</t>
  </si>
  <si>
    <t>1L Assorted Waterlily Carrypack</t>
  </si>
  <si>
    <t>1L Pink Waterlily Carrypack</t>
  </si>
  <si>
    <t>1L Red Waterlily Carrypack</t>
  </si>
  <si>
    <t>1L White Waterlily Carrypack</t>
  </si>
  <si>
    <t>1L Yellow Waterlily Carrypack</t>
  </si>
  <si>
    <t>this white flowering collection is very much suited to water features and small ponds</t>
  </si>
  <si>
    <t>offering many shades of red flowers above small lily pads</t>
  </si>
  <si>
    <t>a collection of small waterlilies at home in smaller ponds, offering pink blooms</t>
  </si>
  <si>
    <t>wonderful small yellow blooms above small pads, yellow flowering</t>
  </si>
  <si>
    <t xml:space="preserve">Assorted Waterlilies </t>
  </si>
  <si>
    <t>See Below</t>
  </si>
  <si>
    <t>our best selection of small and medium sized lilies</t>
  </si>
  <si>
    <t>White Waterlily</t>
  </si>
  <si>
    <t>Pink Waterlily</t>
  </si>
  <si>
    <t>Red Waterlily</t>
  </si>
  <si>
    <t>Yellow Waterlily</t>
  </si>
  <si>
    <t>Copper Waterlily</t>
  </si>
  <si>
    <t>Tropical Waterlily</t>
  </si>
  <si>
    <t xml:space="preserve">Assorted Small Waterlilies </t>
  </si>
  <si>
    <t>Our best selection</t>
  </si>
  <si>
    <t>Small White Waterlily</t>
  </si>
  <si>
    <t>Small Red Waterlily</t>
  </si>
  <si>
    <t>Small Pink Waterlily</t>
  </si>
  <si>
    <t>Pygmaea Alba</t>
  </si>
  <si>
    <t>Pygmaea Rubra</t>
  </si>
  <si>
    <t>We will select with flowers</t>
  </si>
  <si>
    <t>2L Waterlilies</t>
  </si>
  <si>
    <t>Blue Waterlily</t>
  </si>
  <si>
    <t>Barcode: 5021353014709</t>
  </si>
  <si>
    <t>Assorted Named Waterlilies</t>
  </si>
  <si>
    <t>2L Named Waterlilies</t>
  </si>
  <si>
    <t>N. Alba</t>
  </si>
  <si>
    <t>our only native waterlily, white petals and golden yellow stamens</t>
  </si>
  <si>
    <t>N. Albatross</t>
  </si>
  <si>
    <t>wonderful large, star shaped flowers with long pure white petals/golden anthers</t>
  </si>
  <si>
    <t>N. Attraction</t>
  </si>
  <si>
    <t>attractive red flowers have broad petals and orange stamens</t>
  </si>
  <si>
    <t>N. Barbara Dobbins</t>
  </si>
  <si>
    <t>N. Charles de Meurville</t>
  </si>
  <si>
    <t>free flowering, large red blooms with outer petals flecked with white</t>
  </si>
  <si>
    <t>N. Charlene Strawn</t>
  </si>
  <si>
    <t>Rich yellow blooms fading to lighter yellow outer petals.</t>
  </si>
  <si>
    <t>N. Chromatella</t>
  </si>
  <si>
    <t>N. Collosea</t>
  </si>
  <si>
    <t>N. Colonel A J Welch</t>
  </si>
  <si>
    <t>beautiful canary-yellow blooms, lightly maroon marbled foliage</t>
  </si>
  <si>
    <t>N. Colorado</t>
  </si>
  <si>
    <t>N. Conqueror</t>
  </si>
  <si>
    <t>deep red blooms with incurving petals and bright yellow stamens</t>
  </si>
  <si>
    <t>N. Denver</t>
  </si>
  <si>
    <t>N. Fire Crest</t>
  </si>
  <si>
    <t>N. Frobelii</t>
  </si>
  <si>
    <t>N. Gladstonianna</t>
  </si>
  <si>
    <t>vigorous, large growing waterlily, large-cup shaped white flowers</t>
  </si>
  <si>
    <t>N. Gloriosa</t>
  </si>
  <si>
    <t>N. Gonnere</t>
  </si>
  <si>
    <t>N. Hollandia</t>
  </si>
  <si>
    <t>large double pale pink flowers, inner petals deeper coloured than outer ones</t>
  </si>
  <si>
    <t>N. Inner Light</t>
  </si>
  <si>
    <t>originating from the USA, wonderful yellow double-petalled blooms</t>
  </si>
  <si>
    <t>N. James Brydon</t>
  </si>
  <si>
    <t>very free-flowering, very adaptable and easy to grow</t>
  </si>
  <si>
    <t>N. Joey Tomocik</t>
  </si>
  <si>
    <t>relatively new hybrid, double yellow blossoms and free flowering</t>
  </si>
  <si>
    <t>N. Lemon Mist</t>
  </si>
  <si>
    <t>this beautiful variety has large, cup-shaped double flowers in rose pink</t>
  </si>
  <si>
    <t>N. Mangkala Ubol</t>
  </si>
  <si>
    <t>peachy yellow with brownish green pads that are flecked</t>
  </si>
  <si>
    <t>N. Marliacea Albida</t>
  </si>
  <si>
    <t xml:space="preserve">snow white flowers twith beautifully fragranted flowers </t>
  </si>
  <si>
    <t>N. Marliacea Carnea</t>
  </si>
  <si>
    <t>very pale pink flowers, leaves tinged purple</t>
  </si>
  <si>
    <t>N. Marliacea Chromatella</t>
  </si>
  <si>
    <t>yellow petals with green leaves heavily mottles with purple</t>
  </si>
  <si>
    <t>N. Marliacea Rosea</t>
  </si>
  <si>
    <t>pale pink blooms and glossy mid-green foliage</t>
  </si>
  <si>
    <t>N. Masaniello</t>
  </si>
  <si>
    <t>tidy cup shaped pink/red blooms</t>
  </si>
  <si>
    <t>N. Mayla</t>
  </si>
  <si>
    <t>N. Moorei</t>
  </si>
  <si>
    <t>rich yellow flowers with golden stamens, leaves are green with maroon blotches</t>
  </si>
  <si>
    <t>N. Mrs Richmond</t>
  </si>
  <si>
    <t>deep pink flowers with prolific foliage</t>
  </si>
  <si>
    <t>N. Odorata Alba</t>
  </si>
  <si>
    <t>N. Odorata Sulphurea</t>
  </si>
  <si>
    <t>N. Purple Joy - Tropical</t>
  </si>
  <si>
    <t>beautifully bicoloured, purple  and white petals with a yellow centre</t>
  </si>
  <si>
    <t>N. Rene Gerard</t>
  </si>
  <si>
    <t>pretty, rich red blooms with bright green leaves</t>
  </si>
  <si>
    <t>N. Rose Arey</t>
  </si>
  <si>
    <t>N. Rose Nymphe</t>
  </si>
  <si>
    <t>flowers are a pale waxy-pink with long outer petals, leaves are deep green</t>
  </si>
  <si>
    <t>N. Sioux</t>
  </si>
  <si>
    <t>N. Sunrise</t>
  </si>
  <si>
    <t>Extra large stellate shaped yellow blooms</t>
  </si>
  <si>
    <t>N. Viginalis</t>
  </si>
  <si>
    <t>N. Wanvisa</t>
  </si>
  <si>
    <t>strong orange-pink with stable yellowish speckles on the petals.</t>
  </si>
  <si>
    <t>Tropical Blue</t>
  </si>
  <si>
    <t>N. Yellow Bangpra</t>
  </si>
  <si>
    <t>Stunning yellow stamens with purple mottled leaves</t>
  </si>
  <si>
    <t>N. Almost Black</t>
  </si>
  <si>
    <t>very free flowering, dark blood-red blooms, one of the darkest reds</t>
  </si>
  <si>
    <t>12 per shelf</t>
  </si>
  <si>
    <t>Barcode: 5021353007565</t>
  </si>
  <si>
    <t>Our best selection with flowers</t>
  </si>
  <si>
    <t>5L Waterlilies</t>
  </si>
  <si>
    <t>free flowering, lovely yellow flowers over heavily mottled leaves</t>
  </si>
  <si>
    <t>modern hybrid, blooms are a salmon pink, that sit 3 to 4 inches above the water</t>
  </si>
  <si>
    <t>beautiful vivid red- wine cupped- shaped flowers throughout the summer</t>
  </si>
  <si>
    <t>gorgeous cup shaped, snow white flowers that are very fragrant</t>
  </si>
  <si>
    <t>fairly vigorous variety, with very pale pink flowers, leaves tinged purple</t>
  </si>
  <si>
    <t>beautiful stellate flowers are a rich pink with golden stamens, deep green leaves</t>
  </si>
  <si>
    <t>Total 5L Waterlilies (x1)</t>
  </si>
  <si>
    <t>3L Double Planted Waterlily (White, Red)</t>
  </si>
  <si>
    <t>3L Double Planted Waterlily (Yellow, Pink)</t>
  </si>
  <si>
    <t>Loose Jumbo Pistia Stratiotes</t>
  </si>
  <si>
    <t>established lily selected with buds/ flowers in white</t>
  </si>
  <si>
    <t>established lily selected with buds/ flowerst in pink</t>
  </si>
  <si>
    <t>established lily selected with buds/ flowers in red</t>
  </si>
  <si>
    <t>established lily selected with buds/ flowers in yellow</t>
  </si>
  <si>
    <t>offering an established lily selected with buds/ flowers</t>
  </si>
  <si>
    <t>28L Waterlilies</t>
  </si>
  <si>
    <t>Total 28L Waterlilies (Pots)</t>
  </si>
  <si>
    <t>Assorted Deep Water Plants</t>
  </si>
  <si>
    <t>Aponogeton Distachyum</t>
  </si>
  <si>
    <t>water hawthorne</t>
  </si>
  <si>
    <t>Nuphar Advenum</t>
  </si>
  <si>
    <t>spatterdock</t>
  </si>
  <si>
    <t>Nuphar luteum</t>
  </si>
  <si>
    <t>brandy bottle</t>
  </si>
  <si>
    <t>this native deep water plant is often referred to as 'poor mans lily'</t>
  </si>
  <si>
    <t>Nymphoides Peltata</t>
  </si>
  <si>
    <t>floating heart</t>
  </si>
  <si>
    <t>origination from East Asia and the Mediterranean</t>
  </si>
  <si>
    <t>Orontium aquaticum</t>
  </si>
  <si>
    <t>golden club</t>
  </si>
  <si>
    <t>offering striking yellow/white pokers over lush velvety leaves</t>
  </si>
  <si>
    <t>Vallisneria gigantea</t>
  </si>
  <si>
    <t>giant ribbon grass</t>
  </si>
  <si>
    <t>Barcode: 5021353014686</t>
  </si>
  <si>
    <t>2L Deep Water Plants</t>
  </si>
  <si>
    <t>Packs</t>
  </si>
  <si>
    <t>If you would like them barcoded please mark here:</t>
  </si>
  <si>
    <t>Mini Square 1L 11x11cm</t>
  </si>
  <si>
    <t>Small Square 2L 19x19cm</t>
  </si>
  <si>
    <t>Medium Square 5L 23x23cm</t>
  </si>
  <si>
    <t>Large Square 10L 28x28cm</t>
  </si>
  <si>
    <t>XL Square 28L 35x35cm</t>
  </si>
  <si>
    <t>Medium Round 2L 17cm</t>
  </si>
  <si>
    <t xml:space="preserve">Jumbo Round 24L </t>
  </si>
  <si>
    <t>Contour 8L</t>
  </si>
  <si>
    <t>Other Dry Goods</t>
  </si>
  <si>
    <t>Outers</t>
  </si>
  <si>
    <t>Replacement bags for dispenser x250</t>
  </si>
  <si>
    <t>for dispenser x250</t>
  </si>
  <si>
    <t>x250</t>
  </si>
  <si>
    <t>10x20" 150g</t>
  </si>
  <si>
    <t>18x24" 150g</t>
  </si>
  <si>
    <t>Point of Sale</t>
  </si>
  <si>
    <t>Marginal Poster</t>
  </si>
  <si>
    <t>Oxygenator POS Strip</t>
  </si>
  <si>
    <t>Wildlife POS Strip</t>
  </si>
  <si>
    <t>Trolley Deals</t>
  </si>
  <si>
    <t>Beaver Plants Order</t>
  </si>
  <si>
    <t>Category</t>
  </si>
  <si>
    <t>Product</t>
  </si>
  <si>
    <t>Quantity</t>
  </si>
  <si>
    <t>Product Name</t>
  </si>
  <si>
    <t>1L A</t>
  </si>
  <si>
    <t>1L N</t>
  </si>
  <si>
    <t>1L S</t>
  </si>
  <si>
    <t>1L s</t>
  </si>
  <si>
    <t>1L F</t>
  </si>
  <si>
    <t>1L H</t>
  </si>
  <si>
    <t>1L R</t>
  </si>
  <si>
    <t>2L A</t>
  </si>
  <si>
    <t>2L N</t>
  </si>
  <si>
    <t>2L S</t>
  </si>
  <si>
    <t>2L s</t>
  </si>
  <si>
    <t>2L F</t>
  </si>
  <si>
    <t>2L H</t>
  </si>
  <si>
    <t>2L R</t>
  </si>
  <si>
    <t>5L A</t>
  </si>
  <si>
    <t>5L N</t>
  </si>
  <si>
    <t>5L S</t>
  </si>
  <si>
    <t>5L s</t>
  </si>
  <si>
    <t>5L F</t>
  </si>
  <si>
    <t>5L H</t>
  </si>
  <si>
    <t>5L R</t>
  </si>
  <si>
    <t>10L A</t>
  </si>
  <si>
    <t>10L N</t>
  </si>
  <si>
    <t>10L S</t>
  </si>
  <si>
    <t>10L s</t>
  </si>
  <si>
    <t>10L F</t>
  </si>
  <si>
    <t>10L H</t>
  </si>
  <si>
    <t>10L R</t>
  </si>
  <si>
    <t>H 1L</t>
  </si>
  <si>
    <t>H 2L</t>
  </si>
  <si>
    <t>H 5L</t>
  </si>
  <si>
    <t>H 10L</t>
  </si>
  <si>
    <t>M</t>
  </si>
  <si>
    <t>Marginal</t>
  </si>
  <si>
    <t>m</t>
  </si>
  <si>
    <t>S</t>
  </si>
  <si>
    <t>s</t>
  </si>
  <si>
    <t>Iris sibirica Blue</t>
  </si>
  <si>
    <t>Assorted 2L Floating Island</t>
  </si>
  <si>
    <t>2L Floating Island</t>
  </si>
  <si>
    <t>8L Contour</t>
  </si>
  <si>
    <t>Deep Water</t>
  </si>
  <si>
    <t>Waterlilies By Colour</t>
  </si>
  <si>
    <t>Waterlilies Small</t>
  </si>
  <si>
    <t>1L Carry Pack</t>
  </si>
  <si>
    <t>Waterlilies Named</t>
  </si>
  <si>
    <t>Blue Pot Range</t>
  </si>
  <si>
    <t>Large Blue Pot</t>
  </si>
  <si>
    <t>Blue Bucket Pistia</t>
  </si>
  <si>
    <t>Ranunculus Hederaceus</t>
  </si>
  <si>
    <t>ivy leaf crowfoot</t>
  </si>
  <si>
    <t>Loose Pistia Rosette</t>
  </si>
  <si>
    <t>Rosette water lettuce</t>
  </si>
  <si>
    <t>Barcode: 5021353014990</t>
  </si>
  <si>
    <t>Shelf Deal</t>
  </si>
  <si>
    <t>2L with Floating Island</t>
  </si>
  <si>
    <t>Total Shelf Deals</t>
  </si>
  <si>
    <t>Polygonum Amphibium</t>
  </si>
  <si>
    <t>wonderful yellow flowers over mottled foilage</t>
  </si>
  <si>
    <t>large white flowers tinged pink</t>
  </si>
  <si>
    <t>produces wonderful tiny pink flowers</t>
  </si>
  <si>
    <t>pink flowers above the surface</t>
  </si>
  <si>
    <t>Lysimachia Sunburst</t>
  </si>
  <si>
    <t>beautiful striking purple flowers</t>
  </si>
  <si>
    <t>unusal sunshine yellow buds</t>
  </si>
  <si>
    <t>Rotala rotundifolia</t>
  </si>
  <si>
    <t>this is a dwarf waterlily with changebale flowers</t>
  </si>
  <si>
    <t>Dwarf Aurora</t>
  </si>
  <si>
    <t>filter feeding grass</t>
  </si>
  <si>
    <t>toothcup</t>
  </si>
  <si>
    <t>native to South East Asia</t>
  </si>
  <si>
    <t>Lilaeopsis brasilensis</t>
  </si>
  <si>
    <t>micro sword</t>
  </si>
  <si>
    <t>low growing grass like oxy</t>
  </si>
  <si>
    <t>greater reedmace</t>
  </si>
  <si>
    <t>variegated Norfolk reed</t>
  </si>
  <si>
    <t>American water iris</t>
  </si>
  <si>
    <t>Japanese Iris</t>
  </si>
  <si>
    <t>Egyptian paper reed</t>
  </si>
  <si>
    <t>dwarf var rush</t>
  </si>
  <si>
    <t xml:space="preserve"> red lysimachia</t>
  </si>
  <si>
    <t>water bistort</t>
  </si>
  <si>
    <t>1L Copper Waterlily Carrypack</t>
  </si>
  <si>
    <t>rose-pink, stellate flowers throughout summer</t>
  </si>
  <si>
    <t>White</t>
  </si>
  <si>
    <t>Red</t>
  </si>
  <si>
    <t>Yellow</t>
  </si>
  <si>
    <t>Pink</t>
  </si>
  <si>
    <t>N. Madame W.Gonnere</t>
  </si>
  <si>
    <t>Oval 4L</t>
  </si>
  <si>
    <t>Phalaris arundinacea</t>
  </si>
  <si>
    <t>reed canary grass</t>
  </si>
  <si>
    <t>tall clump forming grass</t>
  </si>
  <si>
    <t xml:space="preserve">Juncus articulatus </t>
  </si>
  <si>
    <t>joint-leaved rush</t>
  </si>
  <si>
    <t>4L Planted Marginal Oval</t>
  </si>
  <si>
    <t>10.5cm Round</t>
  </si>
  <si>
    <t>beautiful salmon pink flowers with luscious green leaves</t>
  </si>
  <si>
    <t>Copper</t>
  </si>
  <si>
    <t>8L Standard Planted Contours x8</t>
  </si>
  <si>
    <t>Gardeners Choice POS Strip</t>
  </si>
  <si>
    <t>Cyperus Haspan</t>
  </si>
  <si>
    <t>Dwarf papyrus</t>
  </si>
  <si>
    <t>miniature papyrus with small mop heads of flowers</t>
  </si>
  <si>
    <t>Achillea Ptarmica</t>
  </si>
  <si>
    <t>sneezewort</t>
  </si>
  <si>
    <t>Nymphaea Laydekeri Liliacea</t>
  </si>
  <si>
    <t>Nymphaea Lemon Mist</t>
  </si>
  <si>
    <t>Nymphaea Odorata Alba</t>
  </si>
  <si>
    <t>white flowering perennial adored by insects</t>
  </si>
  <si>
    <t>tolerant of salt water found in costal regions</t>
  </si>
  <si>
    <t>Canna Lemon</t>
  </si>
  <si>
    <t>Canna Mango</t>
  </si>
  <si>
    <t>Canna Orange Bronze</t>
  </si>
  <si>
    <t>Canna Scarlet Bronze</t>
  </si>
  <si>
    <t>scarlet red flowers over large bronze leaves</t>
  </si>
  <si>
    <t>Changeable</t>
  </si>
  <si>
    <t>Carex Riparia</t>
  </si>
  <si>
    <t>greater pond sedge</t>
  </si>
  <si>
    <t xml:space="preserve">tall green leaves and dark seed heads </t>
  </si>
  <si>
    <t>ziesty yellow flowers over green foilage</t>
  </si>
  <si>
    <t>showy scarlet-red blooms with bronze-green foilage</t>
  </si>
  <si>
    <t>wonderful orange/pink flowers with green foilage</t>
  </si>
  <si>
    <t>Sisyrinchium Bellum</t>
  </si>
  <si>
    <t>Blue-eyed grass</t>
  </si>
  <si>
    <t>N. Aurora</t>
  </si>
  <si>
    <t>this beautiful smaller variety has lovely orange/pink blooms</t>
  </si>
  <si>
    <t>N. Xiafei</t>
  </si>
  <si>
    <t>Canna Assorted</t>
  </si>
  <si>
    <t>strong scarlet red blooms with green foilage</t>
  </si>
  <si>
    <t>3L Double Waterlily</t>
  </si>
  <si>
    <t>Iris laevigata 'Mottled Beauty'</t>
  </si>
  <si>
    <t>1,5</t>
  </si>
  <si>
    <t>Variable</t>
  </si>
  <si>
    <t>lovely white flowers variably splashed with blue.</t>
  </si>
  <si>
    <t>1,8</t>
  </si>
  <si>
    <t>1,10</t>
  </si>
  <si>
    <t>1,12</t>
  </si>
  <si>
    <t>American water Iris</t>
  </si>
  <si>
    <t>dainty blue flowers are grown on miniature iris-like leaves.</t>
  </si>
  <si>
    <t>wonderful smalll lily with deep bright red flowers</t>
  </si>
  <si>
    <t>Canna Red</t>
  </si>
  <si>
    <t>Canna Rosea</t>
  </si>
  <si>
    <t>beautiful lemon yellow blooms</t>
  </si>
  <si>
    <t>compact canna with large apricot orange flowers</t>
  </si>
  <si>
    <t>striking bright red flowers with green leaves</t>
  </si>
  <si>
    <t>rose-red flag-like blooms held above large green leaves</t>
  </si>
  <si>
    <t>Floating Tub Assorted</t>
  </si>
  <si>
    <t>Floating Tub Hydrocharis morsus ranae</t>
  </si>
  <si>
    <t>Floating Tub Pistia Stratiotes</t>
  </si>
  <si>
    <t>Floating Tub Salvinia Natans</t>
  </si>
  <si>
    <t>Floating Tub Nymphoides peltata</t>
  </si>
  <si>
    <t>N. Burgundy Princess</t>
  </si>
  <si>
    <t>Scirpus zebrinus</t>
  </si>
  <si>
    <t>Scirpus cernuus</t>
  </si>
  <si>
    <t>Anagallis tenella</t>
  </si>
  <si>
    <t>pink bog pimpernel</t>
  </si>
  <si>
    <t>Sisyrinchium bellum</t>
  </si>
  <si>
    <t>Tulbaghia violacea</t>
  </si>
  <si>
    <t>Cyperus haspan</t>
  </si>
  <si>
    <t>Discounted Price</t>
  </si>
  <si>
    <t xml:space="preserve"> </t>
  </si>
  <si>
    <t>Aquatic Baskets</t>
  </si>
  <si>
    <t>height</t>
  </si>
  <si>
    <t>space</t>
  </si>
  <si>
    <t>Shelf</t>
  </si>
  <si>
    <t>Zantedeschia alpina</t>
  </si>
  <si>
    <t>Zantedeschia himalaya</t>
  </si>
  <si>
    <t>no. ordered</t>
  </si>
  <si>
    <t>stocking pos</t>
  </si>
  <si>
    <t>Plant Stocking Positions</t>
  </si>
  <si>
    <t xml:space="preserve">Week  </t>
  </si>
  <si>
    <t>Red mark = change from last week</t>
  </si>
  <si>
    <t>Stock</t>
  </si>
  <si>
    <t>Variety</t>
  </si>
  <si>
    <t>Size</t>
  </si>
  <si>
    <t>Comments</t>
  </si>
  <si>
    <t>Position</t>
  </si>
  <si>
    <t>Plant Cleaning Priority</t>
  </si>
  <si>
    <t>Page 1 of 2</t>
  </si>
  <si>
    <t>Page 2 of 2</t>
  </si>
  <si>
    <t>space p1</t>
  </si>
  <si>
    <t>location</t>
  </si>
  <si>
    <t>first hole at 20cm - top shelf 150cm</t>
  </si>
  <si>
    <t>order 2</t>
  </si>
  <si>
    <t>outer</t>
  </si>
  <si>
    <t>cat</t>
  </si>
  <si>
    <t>Base</t>
  </si>
  <si>
    <t>qty</t>
  </si>
  <si>
    <t>Location</t>
  </si>
  <si>
    <t>rank</t>
  </si>
  <si>
    <t>balance</t>
  </si>
  <si>
    <t>shelves</t>
  </si>
  <si>
    <t>Top</t>
  </si>
  <si>
    <t>Max</t>
  </si>
  <si>
    <t>Trolley 1</t>
  </si>
  <si>
    <t>Trolley 2</t>
  </si>
  <si>
    <t>position</t>
  </si>
  <si>
    <t>Cat</t>
  </si>
  <si>
    <t>shelf</t>
  </si>
  <si>
    <t>Outer</t>
  </si>
  <si>
    <t>Qty</t>
  </si>
  <si>
    <t>Item</t>
  </si>
  <si>
    <t>QTY</t>
  </si>
  <si>
    <t>Customer</t>
  </si>
  <si>
    <t>Round</t>
  </si>
  <si>
    <t>Picked</t>
  </si>
  <si>
    <t>Planted Contour Basket</t>
  </si>
  <si>
    <t/>
  </si>
  <si>
    <t>Shelf deals</t>
  </si>
  <si>
    <t>Assorted</t>
  </si>
  <si>
    <t>Trolley 3</t>
  </si>
  <si>
    <t>Trolley 4</t>
  </si>
  <si>
    <t>Trolley 5</t>
  </si>
  <si>
    <t>x2</t>
  </si>
  <si>
    <t>Contour</t>
  </si>
  <si>
    <t>WL</t>
  </si>
  <si>
    <t>correction</t>
  </si>
  <si>
    <t xml:space="preserve">Date: </t>
  </si>
  <si>
    <t>Aqua Basket Poster</t>
  </si>
  <si>
    <t>10 per shelf</t>
  </si>
  <si>
    <t>10L Marginals @ £11.42</t>
  </si>
  <si>
    <t>Loose @ £0.82 - Pack of 25</t>
  </si>
  <si>
    <r>
      <t>Loose @</t>
    </r>
    <r>
      <rPr>
        <b/>
        <u/>
        <sz val="7"/>
        <color rgb="FF000000"/>
        <rFont val="Calibri"/>
        <family val="2"/>
      </rPr>
      <t xml:space="preserve"> </t>
    </r>
    <r>
      <rPr>
        <sz val="8"/>
        <color rgb="FF000000"/>
        <rFont val="Calibri"/>
        <family val="2"/>
      </rPr>
      <t xml:space="preserve">£1.24 </t>
    </r>
    <r>
      <rPr>
        <sz val="7"/>
        <color rgb="FF000000"/>
        <rFont val="Calibri"/>
        <family val="2"/>
      </rPr>
      <t>- Pack of 25</t>
    </r>
  </si>
  <si>
    <t>Loose @ £1.24 - Pack of 25</t>
  </si>
  <si>
    <t>28L Waterlilies @ £36.00</t>
  </si>
  <si>
    <t>72p standard / 75p barcoded</t>
  </si>
  <si>
    <t>60 x 20L Premium Aquatic Compost</t>
  </si>
  <si>
    <t>Total 2L Floating Islands (x3)</t>
  </si>
  <si>
    <t>Total 5L Marginals (x2)</t>
  </si>
  <si>
    <t>Total 2L Waterlilies (x4)</t>
  </si>
  <si>
    <t>Total 2L Named Waterlilies (x2)</t>
  </si>
  <si>
    <t>Total 2L Deep Water (x2)</t>
  </si>
  <si>
    <t>Max size</t>
  </si>
  <si>
    <t>WL Fill</t>
  </si>
  <si>
    <t>WL Fill2</t>
  </si>
  <si>
    <t>contour fill</t>
  </si>
  <si>
    <t>contour fill 2</t>
  </si>
  <si>
    <t>Balance</t>
  </si>
  <si>
    <t>top</t>
  </si>
  <si>
    <t>left</t>
  </si>
  <si>
    <t>2nd top</t>
  </si>
  <si>
    <t>3rd top</t>
  </si>
  <si>
    <t>4th top</t>
  </si>
  <si>
    <t>Waterlily</t>
  </si>
  <si>
    <t>est trolleys</t>
  </si>
  <si>
    <t>WL/Cont</t>
  </si>
  <si>
    <t>total</t>
  </si>
  <si>
    <t>full shelf value</t>
  </si>
  <si>
    <t>code</t>
  </si>
  <si>
    <t>shelf no</t>
  </si>
  <si>
    <t>Shelf space</t>
  </si>
  <si>
    <t>Tel: 01342 833 144</t>
  </si>
  <si>
    <t>orders@beaverplants.co.uk</t>
  </si>
  <si>
    <t>space on trolley 1</t>
  </si>
  <si>
    <t>Trolley Builder</t>
  </si>
  <si>
    <t>No trolleys</t>
  </si>
  <si>
    <t>pos shelves</t>
  </si>
  <si>
    <t>no trolleys</t>
  </si>
  <si>
    <t>shelf fullness</t>
  </si>
  <si>
    <t>The Trolley Builder</t>
  </si>
  <si>
    <t>21cm Round Deco Pot - light blue</t>
  </si>
  <si>
    <t>21cm Round Deco Pot - light green</t>
  </si>
  <si>
    <t>21cm Round Deco Pot - light grey</t>
  </si>
  <si>
    <t>x5</t>
  </si>
  <si>
    <t>42cm Hexagonal Deco pot - light green</t>
  </si>
  <si>
    <t>42cm Hexagonal Deco pot - teracotta</t>
  </si>
  <si>
    <t>£10.00 each                      ideal for x3 2L Marginals s or 1-2 2L Waterlilies</t>
  </si>
  <si>
    <t>£5.00 each                      ideal for a 1L or 2L Marginal or 2L Waterlily</t>
  </si>
  <si>
    <t>The trolley builder diamgram on the right displays how full your last trolley is. Use this to ensure you order full trolleys of plants to receive free delivery. The system uses the plant height and size to build the trolley in the most efficent way possible. The system places the tallest plants on the top shelf first.</t>
  </si>
  <si>
    <t>Floating Tub Trapa bispinosa</t>
  </si>
  <si>
    <t>Floating Tub Nasturtium Aquaticum</t>
  </si>
  <si>
    <t>Floating Tub Callitriche</t>
  </si>
  <si>
    <t>Floating Tub Ceratophyllum demersum</t>
  </si>
  <si>
    <t>Floating Tub Potamogeton natans</t>
  </si>
  <si>
    <t>Floating Tub Fontinalis</t>
  </si>
  <si>
    <t>Floating Tub Hottonia palustris</t>
  </si>
  <si>
    <t>Floating Tub Stratiotes Aloides</t>
  </si>
  <si>
    <t>P</t>
  </si>
  <si>
    <t>Lobelia speciosa Fan red</t>
  </si>
  <si>
    <t>Lobelia speciosa Fan Blue</t>
  </si>
  <si>
    <t>Lobelia speciosa scarlet Bronze</t>
  </si>
  <si>
    <t>vivid blue flowers over bronze leaves</t>
  </si>
  <si>
    <t>vivid bronze flowers over bronze leaves</t>
  </si>
  <si>
    <t>red lobelia</t>
  </si>
  <si>
    <t>blue lobelia</t>
  </si>
  <si>
    <t>scarlet lobelia</t>
  </si>
  <si>
    <t>Houttuynia Flore Pleno</t>
  </si>
  <si>
    <t>Lobelia speciosa Fan Burgundy</t>
  </si>
  <si>
    <t>Lobelia speciosa Fan Scarlet</t>
  </si>
  <si>
    <t>burgundy lobelia</t>
  </si>
  <si>
    <t>narrow-petalled, scarlet flower spike</t>
  </si>
  <si>
    <t>deep wine-red five- lobed, tubular flowers in summer.</t>
  </si>
  <si>
    <t>blue-green leaves and spikes of white, double flowers</t>
  </si>
  <si>
    <t>Orange peel plant</t>
  </si>
  <si>
    <t xml:space="preserve">Myriophyllum red stem    </t>
  </si>
  <si>
    <t>2L Waterlilies x24 (x6 of each colour)</t>
  </si>
  <si>
    <t>purple blotched foliage and large bright yellow flowers</t>
  </si>
  <si>
    <t>beautiful pink flowers with orange inner stamens</t>
  </si>
  <si>
    <t>Primula Pulverulenta</t>
  </si>
  <si>
    <t>Lysimachia Punctata</t>
  </si>
  <si>
    <t>Astilbe Pink</t>
  </si>
  <si>
    <t>Astilbe Red</t>
  </si>
  <si>
    <t>Astilbe White</t>
  </si>
  <si>
    <t>Whorls of bright yellow cup-shaped flower</t>
  </si>
  <si>
    <t>yellow loosestrife</t>
  </si>
  <si>
    <t>Candelabra Primula</t>
  </si>
  <si>
    <t>lovely whorls of rich crimson flowers borne on tall</t>
  </si>
  <si>
    <t>goats beard</t>
  </si>
  <si>
    <t>amazing pink blooms with greem foilage</t>
  </si>
  <si>
    <t>striking red blooms with green foilage</t>
  </si>
  <si>
    <t>gotfeous white blooms with green foilage</t>
  </si>
  <si>
    <t xml:space="preserve">Assorted 2L Floating Island  x15 </t>
  </si>
  <si>
    <t>Canna Yellow</t>
  </si>
  <si>
    <t>beautiful sun-like flowers and green leaves</t>
  </si>
  <si>
    <t>8L Acorus gramineus 'Ogon'</t>
  </si>
  <si>
    <t>8L Lobelia Queen Victoria</t>
  </si>
  <si>
    <t>8L Veronica beccabunga</t>
  </si>
  <si>
    <t>Med</t>
  </si>
  <si>
    <t>Poly Bags 10x20"</t>
  </si>
  <si>
    <t xml:space="preserve">Poly Bags 18x24" </t>
  </si>
  <si>
    <t>Floating Tub Assorted Shelf x50</t>
  </si>
  <si>
    <t>blue/clear square 11cm pot with a plant inside</t>
  </si>
  <si>
    <t>miniature pennywort</t>
  </si>
  <si>
    <t>robust perennial with green, fleshy scalloped-edged leaves</t>
  </si>
  <si>
    <t>2,1</t>
  </si>
  <si>
    <t>2,2</t>
  </si>
  <si>
    <t>Gardeners Choice</t>
  </si>
  <si>
    <t>Gardeners Choice Oxygenators</t>
  </si>
  <si>
    <t>High</t>
  </si>
  <si>
    <t>large striking deep red flowers compliment bold foliage</t>
  </si>
  <si>
    <t>Canna Orange Shades</t>
  </si>
  <si>
    <t>has striking rich pink flowers and deep green foliage</t>
  </si>
  <si>
    <t>Hydrocotyle Novae-Zeelandiae</t>
  </si>
  <si>
    <t>Small Yellow Waterlily - Helvola</t>
  </si>
  <si>
    <t>2L plant with x2 different plants complete with floating island</t>
  </si>
  <si>
    <r>
      <t>2L Waterlilies x12 (x3 of each colour)</t>
    </r>
    <r>
      <rPr>
        <b/>
        <sz val="11"/>
        <color rgb="FFFF0000"/>
        <rFont val="Calibri"/>
        <family val="2"/>
        <scheme val="minor"/>
      </rPr>
      <t xml:space="preserve"> &amp; 8L Planted Contours x4</t>
    </r>
  </si>
  <si>
    <r>
      <t>Trolley Deals</t>
    </r>
    <r>
      <rPr>
        <sz val="20"/>
        <color theme="1"/>
        <rFont val="Calibri"/>
        <family val="2"/>
        <scheme val="minor"/>
      </rPr>
      <t xml:space="preserve"> -</t>
    </r>
    <r>
      <rPr>
        <b/>
        <sz val="20"/>
        <color theme="1"/>
        <rFont val="Calibri"/>
        <family val="2"/>
        <scheme val="minor"/>
      </rPr>
      <t xml:space="preserve"> </t>
    </r>
    <r>
      <rPr>
        <sz val="20"/>
        <color theme="1"/>
        <rFont val="Calibri"/>
        <family val="2"/>
        <scheme val="minor"/>
      </rPr>
      <t>For Easy Ordering</t>
    </r>
    <r>
      <rPr>
        <b/>
        <sz val="20"/>
        <color theme="1"/>
        <rFont val="Calibri"/>
        <family val="2"/>
        <scheme val="minor"/>
      </rPr>
      <t xml:space="preserve"> - Discounted</t>
    </r>
  </si>
  <si>
    <t>Littorella uniflora</t>
  </si>
  <si>
    <t>shoreweed</t>
  </si>
  <si>
    <t>Floating Tubs Range- x50 to include; Hydrocharis, Nymphoides, Nasturtium &amp; Pistia</t>
  </si>
  <si>
    <r>
      <t xml:space="preserve">Best Mix 1 - 2L Assorted Marginals x24 to include x3 each: </t>
    </r>
    <r>
      <rPr>
        <b/>
        <sz val="11"/>
        <rFont val="Calibri"/>
        <family val="2"/>
        <scheme val="minor"/>
      </rPr>
      <t>Acorus calamus Varigeata</t>
    </r>
    <r>
      <rPr>
        <b/>
        <sz val="11"/>
        <color rgb="FFFF0000"/>
        <rFont val="Calibri"/>
        <family val="2"/>
        <scheme val="minor"/>
      </rPr>
      <t>,</t>
    </r>
    <r>
      <rPr>
        <b/>
        <sz val="11"/>
        <rFont val="Calibri"/>
        <family val="2"/>
        <scheme val="minor"/>
      </rPr>
      <t xml:space="preserve"> Acorus Ogon, Houttuynia Flore Pleno, Houttuynia cordata variegata, Iris louisiana 'Black Gamecock', Lobelia Queen Victoria, Pontederia lanceolata &amp; Scirpus Zebrinus</t>
    </r>
  </si>
  <si>
    <r>
      <t xml:space="preserve">Best Mix 3 - 2L Assorted Marginals x24 to include x6 each: </t>
    </r>
    <r>
      <rPr>
        <b/>
        <sz val="11"/>
        <color theme="1"/>
        <rFont val="Calibri"/>
        <family val="2"/>
        <scheme val="minor"/>
      </rPr>
      <t xml:space="preserve">Iris Versicolor, Houttuynia Cordata Variegata, Pontederia Cordata &amp; </t>
    </r>
    <r>
      <rPr>
        <b/>
        <sz val="11"/>
        <rFont val="Calibri"/>
        <family val="2"/>
        <scheme val="minor"/>
      </rPr>
      <t>Zantedeschia aethiopica</t>
    </r>
  </si>
  <si>
    <t>Golden garters</t>
  </si>
  <si>
    <t>golden yellow foliage variegated with green stripes</t>
  </si>
  <si>
    <r>
      <t xml:space="preserve">Best Mix 2 - 2L Assorted Marginals x24 to include x6 each:- </t>
    </r>
    <r>
      <rPr>
        <b/>
        <sz val="11"/>
        <color theme="1"/>
        <rFont val="Calibri"/>
        <family val="2"/>
        <scheme val="minor"/>
      </rPr>
      <t>Cyperus Haspan, Iris Pseudacorus 'Variegatus', Lobelia Queen Victoria &amp; Thalia Dealbata</t>
    </r>
  </si>
  <si>
    <t>Loose Pistia Stratiotes BOGOF</t>
  </si>
  <si>
    <t>Floating Tub Pistia Stratiotes - FOC</t>
  </si>
  <si>
    <r>
      <t>Best Mix 1 - 1L Marginals x50 and x3 2L Marginals to include</t>
    </r>
    <r>
      <rPr>
        <sz val="11"/>
        <color rgb="FFFF0000"/>
        <rFont val="Calibri"/>
        <family val="2"/>
        <scheme val="minor"/>
      </rPr>
      <t>:</t>
    </r>
    <r>
      <rPr>
        <b/>
        <sz val="11"/>
        <rFont val="Calibri"/>
        <family val="2"/>
        <scheme val="minor"/>
      </rPr>
      <t xml:space="preserve"> Acorus Calamus Variegata, Cyperus Haspan, Equiestum Japonicum, Iris Pseudacorus &amp; Mentha Pulegium &amp; x3 2L Pontederia Lanceolata</t>
    </r>
  </si>
  <si>
    <r>
      <t>Best Mix 2 - 1L Marginals x50 and x3 2L Marginals to include:</t>
    </r>
    <r>
      <rPr>
        <b/>
        <sz val="11"/>
        <color theme="1"/>
        <rFont val="Calibri"/>
        <family val="2"/>
        <scheme val="minor"/>
      </rPr>
      <t xml:space="preserve"> Butomus Umbellatus, Cyperus Alternifolius,</t>
    </r>
    <r>
      <rPr>
        <b/>
        <sz val="11"/>
        <rFont val="Calibri"/>
        <family val="2"/>
        <scheme val="minor"/>
      </rPr>
      <t xml:space="preserve"> Lysimachia Nummularia 'Aurea', Myosotis Palustris, Pontederia Cordata  &amp; x3 2L Acorus Ogon</t>
    </r>
  </si>
  <si>
    <r>
      <rPr>
        <b/>
        <sz val="11"/>
        <color rgb="FFFF0000"/>
        <rFont val="Calibri"/>
        <family val="2"/>
        <scheme val="minor"/>
      </rPr>
      <t>Best Mix 3 - 1L Marginals x50 and x3 2L Marginals to include:</t>
    </r>
    <r>
      <rPr>
        <b/>
        <sz val="11"/>
        <rFont val="Calibri"/>
        <family val="2"/>
        <scheme val="minor"/>
      </rPr>
      <t xml:space="preserve">  Acorus Gram. Var, Alisma Parviflora, Houttuynia Variegata, Iris Ensata &amp; Typha Latifolia &amp; x3 2L Houttuynia Variegata</t>
    </r>
  </si>
  <si>
    <r>
      <rPr>
        <b/>
        <sz val="11"/>
        <color rgb="FFFF0000"/>
        <rFont val="Calibri"/>
        <family val="2"/>
        <scheme val="minor"/>
      </rPr>
      <t>Best Mix 4 - 1L Marginals x50 and x3 2L Marginals to include:</t>
    </r>
    <r>
      <rPr>
        <b/>
        <sz val="11"/>
        <color theme="1"/>
        <rFont val="Calibri"/>
        <family val="2"/>
        <scheme val="minor"/>
      </rPr>
      <t xml:space="preserve"> Alisma Plantago, Canna Assorted, Lythrum Salicaria, Preslia cervina &amp; Primula Millers Crimson &amp; x3 2L Lobelia Queen Victoria</t>
    </r>
  </si>
  <si>
    <r>
      <t>1L Oxygenators x50 and x3 2L Oxys to include: Eleocharis Acicularis, Lilaeopsis Brasiliensis</t>
    </r>
    <r>
      <rPr>
        <b/>
        <sz val="11"/>
        <rFont val="Calibri"/>
        <family val="2"/>
        <scheme val="minor"/>
      </rPr>
      <t>, Littorella uniflora, Myriophyllum Crispatum &amp; Scirpus Cernuus &amp; x3 2L Hottonia Palustris</t>
    </r>
  </si>
  <si>
    <t>Carnation Grass</t>
  </si>
  <si>
    <t>Read sweet grass</t>
  </si>
  <si>
    <t>1L Marginals @ £2.88</t>
  </si>
  <si>
    <t>1L Oxygenators @ £2.88</t>
  </si>
  <si>
    <t>Gardeners Choice @ £4.18</t>
  </si>
  <si>
    <t>8L Planted Contour @ £10.23</t>
  </si>
  <si>
    <t>2L Waterlilies @ £9.09</t>
  </si>
  <si>
    <t>2L Deep Water @ £7.00</t>
  </si>
  <si>
    <t>30p standard / 33p barcoded</t>
  </si>
  <si>
    <t>49p standard / 52p barcoded</t>
  </si>
  <si>
    <t>77p standard / 80p barcoded</t>
  </si>
  <si>
    <t>£1.10 standard / £1.13 barcoded</t>
  </si>
  <si>
    <t>£2.36 standard / £2.39 barcoded</t>
  </si>
  <si>
    <t>32p standard / 35p barcoded</t>
  </si>
  <si>
    <t>61p standard / 64p barcoded</t>
  </si>
  <si>
    <t>70p standard / 73p barcoded</t>
  </si>
  <si>
    <t>£3.66 standard / £3.69 barcoded</t>
  </si>
  <si>
    <t>£1.15 standard / £1.18 barcoded</t>
  </si>
  <si>
    <t>Wildlife Poster</t>
  </si>
  <si>
    <t>Oxygenators @ £4.18</t>
  </si>
  <si>
    <t>Marsilea Quadrifolia</t>
  </si>
  <si>
    <t>Upright water clover</t>
  </si>
  <si>
    <t>2,8</t>
  </si>
  <si>
    <t>2,9</t>
  </si>
  <si>
    <t>2,11</t>
  </si>
  <si>
    <t>foliage that resembles a four leaved clover</t>
  </si>
  <si>
    <t>60 per shelf</t>
  </si>
  <si>
    <t>Product code</t>
  </si>
  <si>
    <t>1MASS</t>
  </si>
  <si>
    <t>1MACA</t>
  </si>
  <si>
    <t>1MACV</t>
  </si>
  <si>
    <t>1MAGG</t>
  </si>
  <si>
    <t>1MAGO</t>
  </si>
  <si>
    <t>1MAGV</t>
  </si>
  <si>
    <t>1MACP</t>
  </si>
  <si>
    <t>1MALA</t>
  </si>
  <si>
    <t>1MAPA</t>
  </si>
  <si>
    <t>1MAPL</t>
  </si>
  <si>
    <t>1MAUR</t>
  </si>
  <si>
    <t>1MACL</t>
  </si>
  <si>
    <t>1MANO</t>
  </si>
  <si>
    <t>1MADV</t>
  </si>
  <si>
    <t>1MAIT</t>
  </si>
  <si>
    <t>1MFER</t>
  </si>
  <si>
    <t>1MBUM</t>
  </si>
  <si>
    <t>1MCAL</t>
  </si>
  <si>
    <t>1MCPL</t>
  </si>
  <si>
    <t>1MCPA</t>
  </si>
  <si>
    <t>1MCPF</t>
  </si>
  <si>
    <t>1MCPO</t>
  </si>
  <si>
    <t>1MCAN</t>
  </si>
  <si>
    <t>1MCPR</t>
  </si>
  <si>
    <t>1MCAC</t>
  </si>
  <si>
    <t>1MCBG</t>
  </si>
  <si>
    <t>1MCMU</t>
  </si>
  <si>
    <t>1MCPN</t>
  </si>
  <si>
    <t>1MCPE</t>
  </si>
  <si>
    <t>1MCPS</t>
  </si>
  <si>
    <t>1MCRI</t>
  </si>
  <si>
    <t>1MCCO</t>
  </si>
  <si>
    <t>1MCAT</t>
  </si>
  <si>
    <t>1MCGL</t>
  </si>
  <si>
    <t>1MCHD</t>
  </si>
  <si>
    <t>1MCLO</t>
  </si>
  <si>
    <t>1MCPP</t>
  </si>
  <si>
    <t>1MDER</t>
  </si>
  <si>
    <t>1MEJA</t>
  </si>
  <si>
    <t>1MERO</t>
  </si>
  <si>
    <t>1MESC</t>
  </si>
  <si>
    <t>1MEAN</t>
  </si>
  <si>
    <t>1MHFA</t>
  </si>
  <si>
    <t>1MFU</t>
  </si>
  <si>
    <t>1MHAS</t>
  </si>
  <si>
    <t>1MHCO</t>
  </si>
  <si>
    <t>1MHCB</t>
  </si>
  <si>
    <t>1MHCP</t>
  </si>
  <si>
    <t>1MHCF</t>
  </si>
  <si>
    <t>1MHCV</t>
  </si>
  <si>
    <t>1MHEL</t>
  </si>
  <si>
    <t>1MIEN</t>
  </si>
  <si>
    <t>1MIEV</t>
  </si>
  <si>
    <t>1MILM</t>
  </si>
  <si>
    <t>1MILS</t>
  </si>
  <si>
    <t>1MILO</t>
  </si>
  <si>
    <t>1MIAB</t>
  </si>
  <si>
    <t>1MILB</t>
  </si>
  <si>
    <t>1MIPS</t>
  </si>
  <si>
    <t>1MIPV</t>
  </si>
  <si>
    <t>1MIER</t>
  </si>
  <si>
    <t>1MISE</t>
  </si>
  <si>
    <t>1MISI</t>
  </si>
  <si>
    <t>1MISB</t>
  </si>
  <si>
    <t>1MISS</t>
  </si>
  <si>
    <t>1MIVE</t>
  </si>
  <si>
    <t>1MIVG</t>
  </si>
  <si>
    <t>1MIVK</t>
  </si>
  <si>
    <t>1MJEF</t>
  </si>
  <si>
    <t>1MJES</t>
  </si>
  <si>
    <t>1MJEN</t>
  </si>
  <si>
    <t>1MJIN</t>
  </si>
  <si>
    <t>1MLDP</t>
  </si>
  <si>
    <t>1MLCQ</t>
  </si>
  <si>
    <t>1MLSY</t>
  </si>
  <si>
    <t>1MLSYA</t>
  </si>
  <si>
    <t>1MLVE</t>
  </si>
  <si>
    <t>1MLFC</t>
  </si>
  <si>
    <t>1MLFA</t>
  </si>
  <si>
    <t>1MLCA</t>
  </si>
  <si>
    <t>1MLNU</t>
  </si>
  <si>
    <t>1MLNA</t>
  </si>
  <si>
    <t>1MLPU</t>
  </si>
  <si>
    <t>1MLSU</t>
  </si>
  <si>
    <t>1MLSL</t>
  </si>
  <si>
    <t>1MMRB</t>
  </si>
  <si>
    <t>1MMRA</t>
  </si>
  <si>
    <t>1MMAQ</t>
  </si>
  <si>
    <t>1MMPU</t>
  </si>
  <si>
    <t>1MMTR</t>
  </si>
  <si>
    <t>1MMGU</t>
  </si>
  <si>
    <t>1MMLI</t>
  </si>
  <si>
    <t>1MMQP</t>
  </si>
  <si>
    <t>1MMRI</t>
  </si>
  <si>
    <t>1MMPA</t>
  </si>
  <si>
    <t>1MMPL</t>
  </si>
  <si>
    <t>1MNAQ</t>
  </si>
  <si>
    <t>1MOFI</t>
  </si>
  <si>
    <t>1MOAF</t>
  </si>
  <si>
    <t>1MPAR</t>
  </si>
  <si>
    <t>1MPAP</t>
  </si>
  <si>
    <t>1MPAU</t>
  </si>
  <si>
    <t>1MPAV</t>
  </si>
  <si>
    <t>1MPLA</t>
  </si>
  <si>
    <t>1MPCA</t>
  </si>
  <si>
    <t>1MPCR</t>
  </si>
  <si>
    <t>1MPCE</t>
  </si>
  <si>
    <t>1MPCL</t>
  </si>
  <si>
    <t>1MPBE</t>
  </si>
  <si>
    <t>1MPDE</t>
  </si>
  <si>
    <t>1MPDA</t>
  </si>
  <si>
    <t>1MPDL</t>
  </si>
  <si>
    <t>1MPDR</t>
  </si>
  <si>
    <t>1MPFL</t>
  </si>
  <si>
    <t>1MPMC</t>
  </si>
  <si>
    <t>1MPAS</t>
  </si>
  <si>
    <t>1MPPV</t>
  </si>
  <si>
    <t>1MPRO</t>
  </si>
  <si>
    <t>1MPVE</t>
  </si>
  <si>
    <t>1MPVI</t>
  </si>
  <si>
    <t>1MPBU</t>
  </si>
  <si>
    <t>1MRFL</t>
  </si>
  <si>
    <t>1MRLG</t>
  </si>
  <si>
    <t>1MRSA</t>
  </si>
  <si>
    <t>1MSLA</t>
  </si>
  <si>
    <t>1MMSA</t>
  </si>
  <si>
    <t>1MSCE</t>
  </si>
  <si>
    <t>1MSAB</t>
  </si>
  <si>
    <t>1MSOS</t>
  </si>
  <si>
    <t>1MSMH</t>
  </si>
  <si>
    <t>1MSCM</t>
  </si>
  <si>
    <t>1MSAL</t>
  </si>
  <si>
    <t>1MSLC</t>
  </si>
  <si>
    <t>1MSZE</t>
  </si>
  <si>
    <t>1MSBE</t>
  </si>
  <si>
    <t>1MSCA</t>
  </si>
  <si>
    <t>1MSER</t>
  </si>
  <si>
    <t>1MSJA</t>
  </si>
  <si>
    <t>1MTDE</t>
  </si>
  <si>
    <t>1MTVI</t>
  </si>
  <si>
    <t>1MTAN</t>
  </si>
  <si>
    <t>1MTLA</t>
  </si>
  <si>
    <t>1MTLX</t>
  </si>
  <si>
    <t>1MTMI</t>
  </si>
  <si>
    <t>1MVBE</t>
  </si>
  <si>
    <t>1MZAE</t>
  </si>
  <si>
    <t>2MASG</t>
  </si>
  <si>
    <t>2MACA</t>
  </si>
  <si>
    <t>2MACV</t>
  </si>
  <si>
    <t>2MAGO</t>
  </si>
  <si>
    <t>2MAGV</t>
  </si>
  <si>
    <t>2MAPA</t>
  </si>
  <si>
    <t>2MAPL</t>
  </si>
  <si>
    <t>2MACL</t>
  </si>
  <si>
    <t>2MADV</t>
  </si>
  <si>
    <t>2ACH</t>
  </si>
  <si>
    <t>2MAST</t>
  </si>
  <si>
    <t>2MBUM</t>
  </si>
  <si>
    <t>2MCAL</t>
  </si>
  <si>
    <t>2MCPL</t>
  </si>
  <si>
    <t>2MCPA</t>
  </si>
  <si>
    <t>2MCPF</t>
  </si>
  <si>
    <t>2MCPO</t>
  </si>
  <si>
    <t>2MCAN</t>
  </si>
  <si>
    <t>2MCPR</t>
  </si>
  <si>
    <t>2MCAC</t>
  </si>
  <si>
    <t>2MCBG</t>
  </si>
  <si>
    <t>2MCMU</t>
  </si>
  <si>
    <t>2MCP</t>
  </si>
  <si>
    <t>2MCPE</t>
  </si>
  <si>
    <t>2MCCO</t>
  </si>
  <si>
    <t>2MCGL</t>
  </si>
  <si>
    <t>2MCHD</t>
  </si>
  <si>
    <t>2MCLO</t>
  </si>
  <si>
    <t>2MCPP</t>
  </si>
  <si>
    <t>2MCAT</t>
  </si>
  <si>
    <t>2MEJA</t>
  </si>
  <si>
    <t>2MERO</t>
  </si>
  <si>
    <t>2MESC</t>
  </si>
  <si>
    <t>2MHFA</t>
  </si>
  <si>
    <t>2MGRI</t>
  </si>
  <si>
    <t>2MGMA</t>
  </si>
  <si>
    <t>2MGAV</t>
  </si>
  <si>
    <t>2MGUN</t>
  </si>
  <si>
    <t>2MHOA</t>
  </si>
  <si>
    <t>2MHCP</t>
  </si>
  <si>
    <t>2MHCF</t>
  </si>
  <si>
    <t>2MHCV</t>
  </si>
  <si>
    <t>2MIEN</t>
  </si>
  <si>
    <t>2MIEV</t>
  </si>
  <si>
    <t>2MILM</t>
  </si>
  <si>
    <t>2MILS</t>
  </si>
  <si>
    <t>2MILO</t>
  </si>
  <si>
    <t>2MILA</t>
  </si>
  <si>
    <t>2MILB</t>
  </si>
  <si>
    <t>Large Round 3L 22cm</t>
  </si>
  <si>
    <t>2MIPS</t>
  </si>
  <si>
    <t>2MIPA</t>
  </si>
  <si>
    <t>2MIER</t>
  </si>
  <si>
    <t>2MISH</t>
  </si>
  <si>
    <t>2MISA</t>
  </si>
  <si>
    <t>2MISS</t>
  </si>
  <si>
    <t>2MIVD</t>
  </si>
  <si>
    <t>2MIVE</t>
  </si>
  <si>
    <t>2MIVG</t>
  </si>
  <si>
    <t>2MIVK</t>
  </si>
  <si>
    <t>2MJAR</t>
  </si>
  <si>
    <t>2MJEF</t>
  </si>
  <si>
    <t>2MJES</t>
  </si>
  <si>
    <t>2MJIN</t>
  </si>
  <si>
    <t>2MLDD</t>
  </si>
  <si>
    <t>2MLSFR</t>
  </si>
  <si>
    <t>2MLCQ</t>
  </si>
  <si>
    <t>2MLSFB</t>
  </si>
  <si>
    <t>2MLSFBU</t>
  </si>
  <si>
    <t>2MLSFS</t>
  </si>
  <si>
    <t>2MLSB</t>
  </si>
  <si>
    <t>2MLFC</t>
  </si>
  <si>
    <t>2MLNU</t>
  </si>
  <si>
    <t>2MLNA</t>
  </si>
  <si>
    <t>2MLSU</t>
  </si>
  <si>
    <t>2MLSL</t>
  </si>
  <si>
    <t>2MLCA</t>
  </si>
  <si>
    <t>2MLPV</t>
  </si>
  <si>
    <t>2MMAQ</t>
  </si>
  <si>
    <t>2MMPU</t>
  </si>
  <si>
    <t>2MMTR</t>
  </si>
  <si>
    <t>2MMQP</t>
  </si>
  <si>
    <t>2MMPA</t>
  </si>
  <si>
    <t>2MMLU</t>
  </si>
  <si>
    <t>2MMPL</t>
  </si>
  <si>
    <t>2MNAQ</t>
  </si>
  <si>
    <t>2MOAF</t>
  </si>
  <si>
    <t>2MPAR</t>
  </si>
  <si>
    <t>2MPAP</t>
  </si>
  <si>
    <t>2MPAU</t>
  </si>
  <si>
    <t>2MPAV</t>
  </si>
  <si>
    <t>2MPCR</t>
  </si>
  <si>
    <t>2MPCA</t>
  </si>
  <si>
    <t>2MPLA</t>
  </si>
  <si>
    <t>2MPVI</t>
  </si>
  <si>
    <t>2MRMU</t>
  </si>
  <si>
    <t>2MRLI</t>
  </si>
  <si>
    <t>2MSSA</t>
  </si>
  <si>
    <t>2MSLA</t>
  </si>
  <si>
    <t>2MSCE</t>
  </si>
  <si>
    <t>2MSAB</t>
  </si>
  <si>
    <t>2MSOS</t>
  </si>
  <si>
    <t>2MSCM</t>
  </si>
  <si>
    <t>2MSLC</t>
  </si>
  <si>
    <t>2MSZE</t>
  </si>
  <si>
    <t>2MSCA</t>
  </si>
  <si>
    <t>2MSER</t>
  </si>
  <si>
    <t>2MTDE</t>
  </si>
  <si>
    <t>2MTAN</t>
  </si>
  <si>
    <t>2MTV</t>
  </si>
  <si>
    <t>2MLTV</t>
  </si>
  <si>
    <t>2MLTX</t>
  </si>
  <si>
    <t>2MTMI</t>
  </si>
  <si>
    <t>2MVBE</t>
  </si>
  <si>
    <t>2MZAE</t>
  </si>
  <si>
    <t>2MFAS</t>
  </si>
  <si>
    <t>5MASS</t>
  </si>
  <si>
    <t>5MACA</t>
  </si>
  <si>
    <t>5MACV</t>
  </si>
  <si>
    <t>5MAGO</t>
  </si>
  <si>
    <t>5MAGV</t>
  </si>
  <si>
    <t>5MAPL</t>
  </si>
  <si>
    <t>5MACL</t>
  </si>
  <si>
    <t>5MADV</t>
  </si>
  <si>
    <t>5MAPI</t>
  </si>
  <si>
    <t>5MARE</t>
  </si>
  <si>
    <t>5MBUM</t>
  </si>
  <si>
    <t>5MCPL</t>
  </si>
  <si>
    <t>5MCPA</t>
  </si>
  <si>
    <t>5MCPF</t>
  </si>
  <si>
    <t>5MCPO</t>
  </si>
  <si>
    <t>5MCAN</t>
  </si>
  <si>
    <t>5MCBG</t>
  </si>
  <si>
    <t>5MCPE</t>
  </si>
  <si>
    <t>5MCPS</t>
  </si>
  <si>
    <t>5MCRI</t>
  </si>
  <si>
    <t>5MCAT</t>
  </si>
  <si>
    <t>5MCPP</t>
  </si>
  <si>
    <t>5MCP</t>
  </si>
  <si>
    <t>5MCC</t>
  </si>
  <si>
    <t>5MEJA</t>
  </si>
  <si>
    <t>5MEAN</t>
  </si>
  <si>
    <t>5MFUL</t>
  </si>
  <si>
    <t>5MGAV</t>
  </si>
  <si>
    <t>5MGUN</t>
  </si>
  <si>
    <t>5MHCO</t>
  </si>
  <si>
    <t>5MHAS</t>
  </si>
  <si>
    <t>5MCVB</t>
  </si>
  <si>
    <t>5MHCF</t>
  </si>
  <si>
    <t>5MHCV</t>
  </si>
  <si>
    <t>5MIEN</t>
  </si>
  <si>
    <t>5MIEV</t>
  </si>
  <si>
    <t>5MILO</t>
  </si>
  <si>
    <t>5MIPS</t>
  </si>
  <si>
    <t>5MIVE</t>
  </si>
  <si>
    <t>5MIVG</t>
  </si>
  <si>
    <t>5MIVK</t>
  </si>
  <si>
    <t>5MJEF</t>
  </si>
  <si>
    <t>5MJES</t>
  </si>
  <si>
    <t>5MJIN</t>
  </si>
  <si>
    <t>5MLCQ</t>
  </si>
  <si>
    <t>5MLAM</t>
  </si>
  <si>
    <t>5MLNA</t>
  </si>
  <si>
    <t>5MMAQ</t>
  </si>
  <si>
    <t>5MMTR</t>
  </si>
  <si>
    <t>5MMP</t>
  </si>
  <si>
    <t>5MMR</t>
  </si>
  <si>
    <t>5MNAQ</t>
  </si>
  <si>
    <t>5MOAF</t>
  </si>
  <si>
    <t>5MPAP</t>
  </si>
  <si>
    <t>5MPCO</t>
  </si>
  <si>
    <t>5MPCR</t>
  </si>
  <si>
    <t>5MPLA</t>
  </si>
  <si>
    <t>5MPCE</t>
  </si>
  <si>
    <t>5MRF</t>
  </si>
  <si>
    <t>5MRLG</t>
  </si>
  <si>
    <t>5MSAL</t>
  </si>
  <si>
    <t>5MSLC</t>
  </si>
  <si>
    <t>5MSZE</t>
  </si>
  <si>
    <t>5MSC</t>
  </si>
  <si>
    <t>5MSJA</t>
  </si>
  <si>
    <t>5MTDE</t>
  </si>
  <si>
    <t>5MTAN</t>
  </si>
  <si>
    <t>5MTLX</t>
  </si>
  <si>
    <t>5MTLA</t>
  </si>
  <si>
    <t>5MTMI</t>
  </si>
  <si>
    <t>5MVBE</t>
  </si>
  <si>
    <t>5MZAE</t>
  </si>
  <si>
    <t>1XASS</t>
  </si>
  <si>
    <t>1XANA</t>
  </si>
  <si>
    <t>1XCAL</t>
  </si>
  <si>
    <t>2XEAC</t>
  </si>
  <si>
    <t>1XHVU</t>
  </si>
  <si>
    <t>1XEAC</t>
  </si>
  <si>
    <t>1XHPA</t>
  </si>
  <si>
    <t>1XHNZ</t>
  </si>
  <si>
    <t>1XHVA</t>
  </si>
  <si>
    <t>1XHVL</t>
  </si>
  <si>
    <t>1XLBR</t>
  </si>
  <si>
    <t>1XLLU</t>
  </si>
  <si>
    <t>1XMQU</t>
  </si>
  <si>
    <t>1XMBR</t>
  </si>
  <si>
    <t>1XMC</t>
  </si>
  <si>
    <t>1XMPR</t>
  </si>
  <si>
    <t>1XPGL</t>
  </si>
  <si>
    <t>1XRAQ</t>
  </si>
  <si>
    <t>1XRHE</t>
  </si>
  <si>
    <t>1XRRO</t>
  </si>
  <si>
    <t>1XSCE</t>
  </si>
  <si>
    <t>1XSIS</t>
  </si>
  <si>
    <t>2XASS</t>
  </si>
  <si>
    <t>2XANA</t>
  </si>
  <si>
    <t>2XCAL</t>
  </si>
  <si>
    <t>2XHVU</t>
  </si>
  <si>
    <t>2XHPA</t>
  </si>
  <si>
    <t>2XHVA</t>
  </si>
  <si>
    <t>2XMQU</t>
  </si>
  <si>
    <t>2XMBR</t>
  </si>
  <si>
    <t>2XMPR</t>
  </si>
  <si>
    <t>2XPGL</t>
  </si>
  <si>
    <t>2XRAQ</t>
  </si>
  <si>
    <t>2XRHE</t>
  </si>
  <si>
    <t>2XSCE</t>
  </si>
  <si>
    <t>2XSIS</t>
  </si>
  <si>
    <t>2XHBZ</t>
  </si>
  <si>
    <t>2XMCR</t>
  </si>
  <si>
    <t>2DASS</t>
  </si>
  <si>
    <t>2DADI</t>
  </si>
  <si>
    <t>2DNAD</t>
  </si>
  <si>
    <t>2DNLU</t>
  </si>
  <si>
    <t>2DNPE</t>
  </si>
  <si>
    <t>2DOAQ</t>
  </si>
  <si>
    <t>2DPAM</t>
  </si>
  <si>
    <t>2WASS</t>
  </si>
  <si>
    <t>2WASW</t>
  </si>
  <si>
    <t>2WASP</t>
  </si>
  <si>
    <t>2WASR</t>
  </si>
  <si>
    <t>2WASY</t>
  </si>
  <si>
    <t>2WASC</t>
  </si>
  <si>
    <t>2WALB</t>
  </si>
  <si>
    <t>2WALT</t>
  </si>
  <si>
    <t>2WABL</t>
  </si>
  <si>
    <t>2WATT</t>
  </si>
  <si>
    <t>2WAUR</t>
  </si>
  <si>
    <t>2WBDO</t>
  </si>
  <si>
    <t>2WBUP</t>
  </si>
  <si>
    <t>2WCDM</t>
  </si>
  <si>
    <t>2WCST</t>
  </si>
  <si>
    <t>2WCHO</t>
  </si>
  <si>
    <t>2WCOS</t>
  </si>
  <si>
    <t>2WCWE</t>
  </si>
  <si>
    <t>2WCOL</t>
  </si>
  <si>
    <t>2WCON</t>
  </si>
  <si>
    <t>2WDEN</t>
  </si>
  <si>
    <t>2WFIR</t>
  </si>
  <si>
    <t>2WFRO</t>
  </si>
  <si>
    <t>2WGLA</t>
  </si>
  <si>
    <t>2WGLO</t>
  </si>
  <si>
    <t>2WMWG</t>
  </si>
  <si>
    <t>2WHOL</t>
  </si>
  <si>
    <t>2WILI</t>
  </si>
  <si>
    <t>2WJBR</t>
  </si>
  <si>
    <t>2WJTO</t>
  </si>
  <si>
    <t>2WLMI</t>
  </si>
  <si>
    <t>2WMUB</t>
  </si>
  <si>
    <t>2WMAL</t>
  </si>
  <si>
    <t>2WMCA</t>
  </si>
  <si>
    <t>2WMCH</t>
  </si>
  <si>
    <t>2WMRO</t>
  </si>
  <si>
    <t>2WMAS</t>
  </si>
  <si>
    <t>2WMAY</t>
  </si>
  <si>
    <t>2WMOO</t>
  </si>
  <si>
    <t>2WMRI</t>
  </si>
  <si>
    <t>2WOAL</t>
  </si>
  <si>
    <t>2WODS</t>
  </si>
  <si>
    <t>2WRGE</t>
  </si>
  <si>
    <t>2WRAR</t>
  </si>
  <si>
    <t>2WRNY</t>
  </si>
  <si>
    <t>2WSIO</t>
  </si>
  <si>
    <t>2WSUN</t>
  </si>
  <si>
    <t>2WVIR</t>
  </si>
  <si>
    <t>2WWAN</t>
  </si>
  <si>
    <t>2WYBA</t>
  </si>
  <si>
    <t>2WXI</t>
  </si>
  <si>
    <t>0FLHY</t>
  </si>
  <si>
    <t>0FLPI</t>
  </si>
  <si>
    <t>0FLPR</t>
  </si>
  <si>
    <t>0FLSN</t>
  </si>
  <si>
    <t>0FLSA</t>
  </si>
  <si>
    <t>0FLSR</t>
  </si>
  <si>
    <t>0BPAS</t>
  </si>
  <si>
    <t>0BPNP</t>
  </si>
  <si>
    <t>0BPHM</t>
  </si>
  <si>
    <t>0BPPS</t>
  </si>
  <si>
    <t>0BPSN</t>
  </si>
  <si>
    <t>0BPSA</t>
  </si>
  <si>
    <t>0BPTN</t>
  </si>
  <si>
    <t>0BPNA</t>
  </si>
  <si>
    <t>0BPCD</t>
  </si>
  <si>
    <t>0BPPN</t>
  </si>
  <si>
    <t>0BPHP</t>
  </si>
  <si>
    <t>Carex Assorted</t>
  </si>
  <si>
    <t>1MCAS</t>
  </si>
  <si>
    <t>Sedge</t>
  </si>
  <si>
    <t>Lesser pond sedge</t>
  </si>
  <si>
    <t>Pendulous sedge</t>
  </si>
  <si>
    <t>cyperus sedge</t>
  </si>
  <si>
    <t>forming compact tufts of green or variegated foliage</t>
  </si>
  <si>
    <t>Pots(x2)</t>
  </si>
  <si>
    <t>Primula rosea FOC</t>
  </si>
  <si>
    <r>
      <rPr>
        <b/>
        <sz val="15"/>
        <color rgb="FF000000"/>
        <rFont val="Calibri"/>
        <family val="2"/>
      </rPr>
      <t>2L Named Waterlilies</t>
    </r>
    <r>
      <rPr>
        <b/>
        <sz val="16"/>
        <color rgb="FF000000"/>
        <rFont val="Calibri"/>
        <family val="2"/>
      </rPr>
      <t xml:space="preserve"> </t>
    </r>
    <r>
      <rPr>
        <b/>
        <sz val="14"/>
        <color rgb="FF000000"/>
        <rFont val="Calibri"/>
        <family val="2"/>
      </rPr>
      <t>@£9.90</t>
    </r>
  </si>
  <si>
    <t>5L Marginals @ £7.00</t>
  </si>
  <si>
    <t>8L Iris Veriscolor</t>
  </si>
  <si>
    <t>Pondside @ £4.18</t>
  </si>
  <si>
    <t>Primula denticulata FOC</t>
  </si>
  <si>
    <t>Bacopa monnieri</t>
  </si>
  <si>
    <t>water hyssop</t>
  </si>
  <si>
    <t>lovely lemon foilage with small lilac flowers</t>
  </si>
  <si>
    <t xml:space="preserve">White </t>
  </si>
  <si>
    <t>attractive, bright green leaves with a red tint at the edges, with delicate white star-shaped flowers</t>
  </si>
  <si>
    <r>
      <t>Loose @</t>
    </r>
    <r>
      <rPr>
        <b/>
        <u/>
        <sz val="8"/>
        <color rgb="FF000000"/>
        <rFont val="Calibri"/>
        <family val="2"/>
      </rPr>
      <t xml:space="preserve"> </t>
    </r>
    <r>
      <rPr>
        <sz val="8"/>
        <color rgb="FF000000"/>
        <rFont val="Calibri"/>
        <family val="2"/>
      </rPr>
      <t>£1.39 - Pack of 25</t>
    </r>
  </si>
  <si>
    <t>Iris louisiana 'Her Highness'</t>
  </si>
  <si>
    <t>delightful small red water lily has brilliant red blooms</t>
  </si>
  <si>
    <t>dazzling white blooms, a very pretty iris.</t>
  </si>
  <si>
    <t>N. Perry's Baby Red</t>
  </si>
  <si>
    <t xml:space="preserve">Loose Floating Plants </t>
  </si>
  <si>
    <t xml:space="preserve">ALL TROLLEY DEALS ARE x1 FULL TROLLEY </t>
  </si>
  <si>
    <t>8L Oenanthe 'Flamingo'</t>
  </si>
  <si>
    <t>Hessian Squares (x100)</t>
  </si>
  <si>
    <t>Hessian Squares (x500)</t>
  </si>
  <si>
    <t>Orontium aquaticum FOC</t>
  </si>
  <si>
    <t>Total Floating Plants  (x1)</t>
  </si>
  <si>
    <t>Low</t>
  </si>
  <si>
    <t>8L Houttuynia cordata variegata</t>
  </si>
  <si>
    <t>8L Hippuris vulgaris</t>
  </si>
  <si>
    <t xml:space="preserve">8L Myriophyllum red stem    </t>
  </si>
  <si>
    <t>Dwarf Eygyptain Paper Grass</t>
  </si>
  <si>
    <t>mop-like heads of spikelets on triangular stems</t>
  </si>
  <si>
    <t>Cyperus percamenthus</t>
  </si>
  <si>
    <t>at £2.25 each blue round  19cm pot with a plant inside</t>
  </si>
  <si>
    <t>Total Large Blue Pot  (x3)</t>
  </si>
  <si>
    <t>Total Floating Pot  (x10)</t>
  </si>
  <si>
    <t>Barcode: 5021353015300</t>
  </si>
  <si>
    <t>Barcode: 5021353000191</t>
  </si>
  <si>
    <t>Large Blue Pot @ £2.25 nett         24 per shelf</t>
  </si>
  <si>
    <t>120x 10L Premium Aquatic Compost</t>
  </si>
  <si>
    <t>Colocasia esculenta 'Pink China'</t>
  </si>
  <si>
    <t>taro</t>
  </si>
  <si>
    <t>N. Rembrandt</t>
  </si>
  <si>
    <t>semi-double pink flowers with green leaves</t>
  </si>
  <si>
    <t>Colocasia esculenta 'Black Magic'</t>
  </si>
  <si>
    <t>2,5</t>
  </si>
  <si>
    <t>2,6</t>
  </si>
  <si>
    <t>2,7</t>
  </si>
  <si>
    <t>2,10</t>
  </si>
  <si>
    <t>2,12</t>
  </si>
  <si>
    <t>2,13</t>
  </si>
  <si>
    <t>2,14</t>
  </si>
  <si>
    <t>2,15</t>
  </si>
  <si>
    <t>heart-shaped light green leaves with pink-flushed stalks</t>
  </si>
  <si>
    <t xml:space="preserve">large heart-shaped purple-black leaves  </t>
  </si>
  <si>
    <t>black taro</t>
  </si>
  <si>
    <t>pink taro</t>
  </si>
  <si>
    <t>5L Waterlilies @ £12.11</t>
  </si>
  <si>
    <t>Doodia media</t>
  </si>
  <si>
    <t>Dryopteris stewartii</t>
  </si>
  <si>
    <t>Dryopteris affinis 'Cristata the King'</t>
  </si>
  <si>
    <t>Matteuccia orientalis</t>
  </si>
  <si>
    <t>Polystichum Tsus-simense</t>
  </si>
  <si>
    <t>Rasp fern</t>
  </si>
  <si>
    <t>King of the ferns</t>
  </si>
  <si>
    <t>Stewarts wood fern</t>
  </si>
  <si>
    <t>Korean rock fern</t>
  </si>
  <si>
    <t>sword shaped green fonds, leathery segments along brown rib</t>
  </si>
  <si>
    <t>tall elegant cresting fronds</t>
  </si>
  <si>
    <t>hardy semi-evergreen fern with shuttlecock fronds</t>
  </si>
  <si>
    <t>bright green sterile fronds surrounding long, narrower, fertile fronds</t>
  </si>
  <si>
    <t>neat rosettes of dark green fronds</t>
  </si>
  <si>
    <t>oriental ostrich fern</t>
  </si>
  <si>
    <r>
      <t xml:space="preserve">Decorative Water Feature Pots - </t>
    </r>
    <r>
      <rPr>
        <b/>
        <sz val="14"/>
        <color rgb="FFFF0000"/>
        <rFont val="Calibri"/>
        <family val="2"/>
      </rPr>
      <t>BUY 4 GET 1 FREE</t>
    </r>
  </si>
  <si>
    <t>x500</t>
  </si>
  <si>
    <t>Trolley Deal 1 - 240x 1L Marginal, 60x 1L Oxygenator &amp; 24x Gardeners Choice</t>
  </si>
  <si>
    <t>Trolley Deal 2 - 180x 1L Marginal, 60x 1L Oxygenator, 24x Gardeners Choice, 8x 8L Contour</t>
  </si>
  <si>
    <t>Trolley Deal 4 - 180x 1L Marginal, 60x 1L Oxygenators, 24x Gardeners Choice, x9 2L Floating Islands &amp; x12 2L Deep Water Marginals</t>
  </si>
  <si>
    <t>Trolley Deal 5 - 180x 1L Marginal, 24x Gardeners Choice, x15 2L Floating Islands &amp; 8x 8L Planted Contours</t>
  </si>
  <si>
    <t>Trolley Deal 3 - 180x 1L Marginal, 60x 1L Oxygenators, 24x Gardeners Choice, 12x 2L Deep Water Marginals &amp; 4x Contour</t>
  </si>
  <si>
    <t>Total</t>
  </si>
  <si>
    <t>x8</t>
  </si>
  <si>
    <t>clear round 15cm pot with plant inside</t>
  </si>
  <si>
    <t>Barcode: 5021353015805</t>
  </si>
  <si>
    <t>Floating Oxy Tubs @£2.14</t>
  </si>
  <si>
    <t>Egeria densa</t>
  </si>
  <si>
    <t>40 per shelf - limited stocks</t>
  </si>
  <si>
    <t>Floating Tub Menyanthes Trifoliata</t>
  </si>
  <si>
    <t>Total 1L Waterlily  (x4)</t>
  </si>
  <si>
    <t>Total 1L Deep Water Marginals  (x4)</t>
  </si>
  <si>
    <t>Pots(x4)</t>
  </si>
  <si>
    <t>Pots (x2)</t>
  </si>
  <si>
    <t>Pots(x10)</t>
  </si>
  <si>
    <t>Pots(x1)</t>
  </si>
  <si>
    <t>Pots(x5)</t>
  </si>
  <si>
    <t>1L Waterlilies</t>
  </si>
  <si>
    <t>1L Deep Water Plants</t>
  </si>
  <si>
    <r>
      <t xml:space="preserve">2L with Floating Island @ £6.72           </t>
    </r>
    <r>
      <rPr>
        <b/>
        <sz val="14"/>
        <color theme="1"/>
        <rFont val="Calibri"/>
        <family val="2"/>
        <scheme val="minor"/>
      </rPr>
      <t>15 per shelf</t>
    </r>
  </si>
  <si>
    <t>Small Copper Waterlily</t>
  </si>
  <si>
    <t>our best selection of small sized copper lilies</t>
  </si>
  <si>
    <t>In stock - 2/3 days delivery - £375.60 ex vat delivery included</t>
  </si>
  <si>
    <t>In stock - 2/3 days delivery - £318.60 ex vat delivery included</t>
  </si>
  <si>
    <t>Location order</t>
  </si>
  <si>
    <t>a</t>
  </si>
  <si>
    <t>ORDER BY MONDAY MIDDAY FOR GUARANTEED SAME WEEK DELIVERY!</t>
  </si>
  <si>
    <t>White water forget-me-not</t>
  </si>
  <si>
    <t>bright green foliage and pretty white flowers.</t>
  </si>
  <si>
    <r>
      <t xml:space="preserve">Floating Tubs Range @ £2.14      </t>
    </r>
    <r>
      <rPr>
        <b/>
        <sz val="14"/>
        <rFont val="Calibri"/>
        <family val="2"/>
      </rPr>
      <t>50 per shelf</t>
    </r>
  </si>
  <si>
    <t>1L Small Waterliliy @ £10.60 Nett Price</t>
  </si>
  <si>
    <t>1L Waterliliy @ £7.75 Nett Price</t>
  </si>
  <si>
    <t>1L Deep Water @ £5.75 Nett Price</t>
  </si>
  <si>
    <t>blooms are cup shaped with rich yellow stamens, lovely white flowers</t>
  </si>
  <si>
    <t>NEW</t>
  </si>
  <si>
    <t>Early Season Trolley Deal - 190x 1L Marginal, 60x 1L Oxygenators, 36x Gardeners Choice/Oxygenators &amp; x4 8L Planted Contours</t>
  </si>
  <si>
    <t>Floating Oxy Tub Ceratophyllum demersum</t>
  </si>
  <si>
    <t>Floating Oxy Tub Elodea Densa</t>
  </si>
  <si>
    <t>18.03.2024</t>
  </si>
  <si>
    <t>Week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</si>
</sst>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0.00;[Red]&quot;-&quot;[$£]#,##0.00"/>
    <numFmt numFmtId="166" formatCode="&quot; &quot;[$£]#,##0.00&quot; &quot;;&quot;-&quot;[$£]#,##0.00&quot; &quot;;&quot; &quot;[$£]&quot;-&quot;00&quot; &quot;;&quot; &quot;@&quot; &quot;"/>
    <numFmt numFmtId="167" formatCode="&quot; &quot;#,##0&quot; &quot;;&quot;-&quot;#,##0&quot; &quot;;&quot; -&quot;00&quot; &quot;;&quot; &quot;@&quot; &quot;"/>
    <numFmt numFmtId="168" formatCode="&quot; &quot;#,##0.000&quot; &quot;;&quot;-&quot;#,##0.000&quot; &quot;;&quot; -&quot;00&quot; &quot;;&quot; &quot;@&quot; &quot;"/>
    <numFmt numFmtId="169" formatCode="&quot; &quot;#,##0.00&quot; &quot;;&quot;-&quot;#,##0.00&quot; &quot;;&quot; -&quot;00&quot; &quot;;&quot; &quot;@&quot; &quot;"/>
    <numFmt numFmtId="170" formatCode="&quot;£&quot;#,##0.00"/>
    <numFmt numFmtId="171" formatCode="0.000"/>
  </numFmts>
  <fonts count="15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FFFFFF"/>
      <name val="Calibri"/>
      <family val="2"/>
    </font>
    <font>
      <b/>
      <sz val="11"/>
      <color rgb="FF000000"/>
      <name val="Calibri"/>
      <family val="2"/>
    </font>
    <font>
      <sz val="10"/>
      <color rgb="FF000000"/>
      <name val="Arial"/>
      <family val="2"/>
    </font>
    <font>
      <sz val="11"/>
      <color rgb="FFFF0000"/>
      <name val="Calibri"/>
      <family val="2"/>
    </font>
    <font>
      <sz val="9"/>
      <color rgb="FF000000"/>
      <name val="Calibri"/>
      <family val="2"/>
    </font>
    <font>
      <b/>
      <sz val="22"/>
      <color rgb="FF506C9A"/>
      <name val="Microsoft PhagsPa"/>
      <family val="2"/>
    </font>
    <font>
      <b/>
      <sz val="14"/>
      <color rgb="FFFF0000"/>
      <name val="Microsoft PhagsPa"/>
      <family val="2"/>
    </font>
    <font>
      <sz val="11"/>
      <color rgb="FF000000"/>
      <name val="Microsoft PhagsPa"/>
      <family val="2"/>
    </font>
    <font>
      <sz val="14"/>
      <color rgb="FF545454"/>
      <name val="Microsoft PhagsPa"/>
      <family val="2"/>
    </font>
    <font>
      <b/>
      <sz val="10"/>
      <color rgb="FF305496"/>
      <name val="Microsoft PhagsPa"/>
      <family val="2"/>
    </font>
    <font>
      <b/>
      <sz val="10"/>
      <color rgb="FF000000"/>
      <name val="Microsoft PhagsPa"/>
      <family val="2"/>
    </font>
    <font>
      <sz val="10"/>
      <color rgb="FF000000"/>
      <name val="Microsoft PhagsPa"/>
      <family val="2"/>
    </font>
    <font>
      <sz val="9"/>
      <color rgb="FF000000"/>
      <name val="Microsoft PhagsPa"/>
      <family val="2"/>
    </font>
    <font>
      <b/>
      <sz val="11"/>
      <color rgb="FF000000"/>
      <name val="Microsoft PhagsPa"/>
      <family val="2"/>
    </font>
    <font>
      <sz val="10"/>
      <color rgb="FF000000"/>
      <name val="Calibri"/>
      <family val="2"/>
    </font>
    <font>
      <b/>
      <sz val="12"/>
      <color rgb="FF000000"/>
      <name val="Calibri"/>
      <family val="2"/>
    </font>
    <font>
      <b/>
      <sz val="18"/>
      <color rgb="FF000000"/>
      <name val="Calibri"/>
      <family val="2"/>
    </font>
    <font>
      <b/>
      <sz val="10"/>
      <color rgb="FF000000"/>
      <name val="Calibri"/>
      <family val="2"/>
    </font>
    <font>
      <b/>
      <sz val="16"/>
      <color rgb="FFFF0000"/>
      <name val="Calibri"/>
      <family val="2"/>
    </font>
    <font>
      <sz val="7"/>
      <color rgb="FF000000"/>
      <name val="Calibri"/>
      <family val="2"/>
    </font>
    <font>
      <sz val="8"/>
      <color rgb="FF000000"/>
      <name val="Calibri"/>
      <family val="2"/>
    </font>
    <font>
      <b/>
      <sz val="8"/>
      <color rgb="FF000000"/>
      <name val="Calibri"/>
      <family val="2"/>
    </font>
    <font>
      <sz val="8"/>
      <color rgb="FF305496"/>
      <name val="Calibri"/>
      <family val="2"/>
    </font>
    <font>
      <b/>
      <sz val="16"/>
      <color rgb="FF000000"/>
      <name val="Calibri"/>
      <family val="2"/>
    </font>
    <font>
      <b/>
      <sz val="14"/>
      <color rgb="FF000000"/>
      <name val="Calibri"/>
      <family val="2"/>
    </font>
    <font>
      <sz val="11"/>
      <color rgb="FF305496"/>
      <name val="Calibri"/>
      <family val="2"/>
    </font>
    <font>
      <b/>
      <sz val="8"/>
      <color rgb="FFFF0000"/>
      <name val="Calibri"/>
      <family val="2"/>
    </font>
    <font>
      <b/>
      <sz val="9"/>
      <color rgb="FF000000"/>
      <name val="Calibri"/>
      <family val="2"/>
    </font>
    <font>
      <b/>
      <sz val="11"/>
      <color rgb="FFFFFFFF"/>
      <name val="Calibri"/>
      <family val="2"/>
    </font>
    <font>
      <i/>
      <sz val="8"/>
      <color rgb="FF305496"/>
      <name val="Calibri"/>
      <family val="2"/>
    </font>
    <font>
      <b/>
      <sz val="11"/>
      <color rgb="FFA6A6A6"/>
      <name val="Calibri"/>
      <family val="2"/>
    </font>
    <font>
      <sz val="7"/>
      <color rgb="FF000000"/>
      <name val="Calibri Light"/>
      <family val="2"/>
    </font>
    <font>
      <b/>
      <sz val="10"/>
      <color rgb="FFFFFFFF"/>
      <name val="Calibri"/>
      <family val="2"/>
    </font>
    <font>
      <b/>
      <sz val="9"/>
      <color rgb="FFFF0000"/>
      <name val="Calibri"/>
      <family val="2"/>
    </font>
    <font>
      <b/>
      <sz val="11"/>
      <color rgb="FF243E72"/>
      <name val="Calibri"/>
      <family val="2"/>
    </font>
    <font>
      <b/>
      <sz val="16"/>
      <color rgb="FF243E72"/>
      <name val="Calibri"/>
      <family val="2"/>
    </font>
    <font>
      <sz val="11"/>
      <color rgb="FF243E72"/>
      <name val="Calibri"/>
      <family val="2"/>
    </font>
    <font>
      <b/>
      <sz val="20"/>
      <color rgb="FF243E72"/>
      <name val="Calibri"/>
      <family val="2"/>
    </font>
    <font>
      <b/>
      <sz val="9"/>
      <color rgb="FF243E72"/>
      <name val="Calibri"/>
      <family val="2"/>
    </font>
    <font>
      <b/>
      <sz val="8"/>
      <color rgb="FF243E72"/>
      <name val="Calibri"/>
      <family val="2"/>
    </font>
    <font>
      <sz val="7"/>
      <color rgb="FF243E72"/>
      <name val="Calibri"/>
      <family val="2"/>
    </font>
    <font>
      <sz val="8"/>
      <color rgb="FF243E72"/>
      <name val="Calibri"/>
      <family val="2"/>
    </font>
    <font>
      <b/>
      <sz val="15"/>
      <color rgb="FF000000"/>
      <name val="Calibri"/>
      <family val="2"/>
    </font>
    <font>
      <sz val="9"/>
      <color rgb="FFFF0000"/>
      <name val="Calibri"/>
      <family val="2"/>
    </font>
    <font>
      <b/>
      <sz val="10"/>
      <color rgb="FFFF0000"/>
      <name val="Calibri"/>
      <family val="2"/>
    </font>
    <font>
      <b/>
      <sz val="12"/>
      <color rgb="FFFF0000"/>
      <name val="Calibri"/>
      <family val="2"/>
    </font>
    <font>
      <b/>
      <sz val="11"/>
      <color rgb="FF000000"/>
      <name val="Gulim"/>
      <family val="2"/>
      <charset val="129"/>
    </font>
    <font>
      <b/>
      <sz val="12"/>
      <color rgb="FF000000"/>
      <name val="Gulim"/>
      <family val="2"/>
      <charset val="129"/>
    </font>
    <font>
      <sz val="9"/>
      <color rgb="FF000000"/>
      <name val="Gulim"/>
      <family val="2"/>
      <charset val="129"/>
    </font>
    <font>
      <sz val="11"/>
      <color rgb="FF000000"/>
      <name val="Gulim"/>
      <family val="2"/>
      <charset val="129"/>
    </font>
    <font>
      <sz val="11"/>
      <color rgb="FFFF0000"/>
      <name val="Gulim"/>
      <family val="2"/>
      <charset val="129"/>
    </font>
    <font>
      <sz val="11"/>
      <color rgb="FFFFFFFF"/>
      <name val="Gulim"/>
      <family val="2"/>
      <charset val="129"/>
    </font>
    <font>
      <b/>
      <sz val="8"/>
      <color rgb="FFFFFFFF"/>
      <name val="Calibri"/>
      <family val="2"/>
    </font>
    <font>
      <b/>
      <sz val="11"/>
      <name val="Calibri"/>
      <family val="2"/>
    </font>
    <font>
      <sz val="7"/>
      <name val="Calibri"/>
      <family val="2"/>
    </font>
    <font>
      <b/>
      <sz val="11"/>
      <color theme="1"/>
      <name val="Calibri"/>
      <family val="2"/>
      <scheme val="minor"/>
    </font>
    <font>
      <b/>
      <sz val="16"/>
      <color theme="1"/>
      <name val="Calibri"/>
      <family val="2"/>
      <scheme val="minor"/>
    </font>
    <font>
      <sz val="8"/>
      <color theme="1"/>
      <name val="Calibri"/>
      <family val="2"/>
      <scheme val="minor"/>
    </font>
    <font>
      <b/>
      <sz val="11"/>
      <color rgb="FFFF0000"/>
      <name val="Calibri"/>
      <family val="2"/>
      <scheme val="minor"/>
    </font>
    <font>
      <b/>
      <sz val="9"/>
      <color theme="1"/>
      <name val="Calibri"/>
      <family val="2"/>
      <scheme val="minor"/>
    </font>
    <font>
      <sz val="9"/>
      <color theme="1"/>
      <name val="Calibri"/>
      <family val="2"/>
      <scheme val="minor"/>
    </font>
    <font>
      <b/>
      <sz val="9"/>
      <color theme="0" tint="-0.34998626667073579"/>
      <name val="Calibri"/>
      <family val="2"/>
      <scheme val="minor"/>
    </font>
    <font>
      <b/>
      <sz val="9"/>
      <name val="Calibri"/>
      <family val="2"/>
      <scheme val="minor"/>
    </font>
    <font>
      <sz val="8"/>
      <name val="Calibri"/>
      <family val="2"/>
    </font>
    <font>
      <sz val="11"/>
      <color theme="4" tint="-0.249977111117893"/>
      <name val="Calibri"/>
      <family val="2"/>
      <scheme val="minor"/>
    </font>
    <font>
      <b/>
      <u/>
      <sz val="7"/>
      <color rgb="FF000000"/>
      <name val="Calibri"/>
      <family val="2"/>
    </font>
    <font>
      <b/>
      <sz val="18"/>
      <color rgb="FF243E72"/>
      <name val="Calibri"/>
      <family val="2"/>
    </font>
    <font>
      <b/>
      <sz val="11"/>
      <color theme="0"/>
      <name val="Calibri"/>
      <family val="2"/>
    </font>
    <font>
      <b/>
      <sz val="12"/>
      <color rgb="FFFF0000"/>
      <name val="Arial"/>
      <family val="2"/>
    </font>
    <font>
      <b/>
      <sz val="11"/>
      <name val="Calibri"/>
      <family val="2"/>
      <scheme val="minor"/>
    </font>
    <font>
      <b/>
      <sz val="6"/>
      <color rgb="FF000000"/>
      <name val="Calibri"/>
      <family val="2"/>
    </font>
    <font>
      <sz val="7"/>
      <name val="Calibri"/>
      <family val="2"/>
      <scheme val="minor"/>
    </font>
    <font>
      <sz val="11"/>
      <name val="Calibri"/>
      <family val="2"/>
    </font>
    <font>
      <sz val="11"/>
      <color theme="0"/>
      <name val="Calibri"/>
      <family val="2"/>
    </font>
    <font>
      <b/>
      <sz val="8"/>
      <name val="Calibri"/>
      <family val="2"/>
    </font>
    <font>
      <b/>
      <sz val="16"/>
      <name val="Calibri"/>
      <family val="2"/>
    </font>
    <font>
      <i/>
      <sz val="8"/>
      <name val="Calibri"/>
      <family val="2"/>
    </font>
    <font>
      <b/>
      <sz val="10"/>
      <color rgb="FF243E72"/>
      <name val="Calibri"/>
      <family val="2"/>
    </font>
    <font>
      <b/>
      <sz val="9"/>
      <name val="Calibri"/>
      <family val="2"/>
    </font>
    <font>
      <b/>
      <sz val="10"/>
      <color theme="1"/>
      <name val="Calibri"/>
      <family val="2"/>
      <scheme val="minor"/>
    </font>
    <font>
      <b/>
      <sz val="11"/>
      <color rgb="FF000000"/>
      <name val="Gulim"/>
      <family val="2"/>
    </font>
    <font>
      <sz val="11"/>
      <name val="Gulim"/>
      <family val="2"/>
      <charset val="129"/>
    </font>
    <font>
      <sz val="16"/>
      <color rgb="FF000000"/>
      <name val="Calibri"/>
      <family val="2"/>
    </font>
    <font>
      <b/>
      <sz val="20"/>
      <color rgb="FF000000"/>
      <name val="Calibri"/>
      <family val="2"/>
    </font>
    <font>
      <sz val="14"/>
      <color rgb="FF000000"/>
      <name val="Calibri"/>
      <family val="2"/>
    </font>
    <font>
      <sz val="11"/>
      <color theme="0"/>
      <name val="Gulim"/>
      <family val="2"/>
      <charset val="129"/>
    </font>
    <font>
      <sz val="11"/>
      <color rgb="FFFF0000"/>
      <name val="Calibri"/>
      <family val="2"/>
      <scheme val="minor"/>
    </font>
    <font>
      <b/>
      <sz val="20"/>
      <color theme="1"/>
      <name val="Calibri"/>
      <family val="2"/>
      <scheme val="minor"/>
    </font>
    <font>
      <sz val="20"/>
      <color theme="1"/>
      <name val="Calibri"/>
      <family val="2"/>
      <scheme val="minor"/>
    </font>
    <font>
      <sz val="11"/>
      <color theme="0"/>
      <name val="Calibri"/>
      <family val="2"/>
      <scheme val="minor"/>
    </font>
    <font>
      <sz val="10.5"/>
      <color rgb="FF000000"/>
      <name val="Calibri"/>
      <family val="2"/>
    </font>
    <font>
      <sz val="20"/>
      <name val="Calibri"/>
      <family val="2"/>
    </font>
    <font>
      <sz val="1"/>
      <color rgb="FFFF0000"/>
      <name val="Calibri"/>
      <family val="2"/>
      <scheme val="minor"/>
    </font>
    <font>
      <sz val="11"/>
      <name val="Gulim"/>
      <family val="2"/>
    </font>
    <font>
      <b/>
      <sz val="11"/>
      <name val="Gulim"/>
      <family val="2"/>
    </font>
    <font>
      <sz val="11"/>
      <color theme="0"/>
      <name val="Gulim"/>
      <family val="2"/>
    </font>
    <font>
      <b/>
      <sz val="11"/>
      <color theme="0"/>
      <name val="Gulim"/>
      <family val="2"/>
    </font>
    <font>
      <sz val="11"/>
      <color rgb="FFFF0000"/>
      <name val="Gulim"/>
      <family val="2"/>
    </font>
    <font>
      <b/>
      <sz val="8"/>
      <color rgb="FFFF0000"/>
      <name val="Microsoft PhagsPa"/>
      <family val="2"/>
    </font>
    <font>
      <sz val="8"/>
      <color rgb="FF000000"/>
      <name val="Microsoft PhagsPa"/>
      <family val="2"/>
    </font>
    <font>
      <b/>
      <sz val="8"/>
      <color rgb="FF000000"/>
      <name val="Microsoft PhagsPa"/>
      <family val="2"/>
    </font>
    <font>
      <b/>
      <sz val="8"/>
      <color rgb="FFFF0000"/>
      <name val="Arial"/>
      <family val="2"/>
    </font>
    <font>
      <sz val="26"/>
      <color rgb="FFFF0000"/>
      <name val="Calibri"/>
      <family val="2"/>
    </font>
    <font>
      <sz val="8"/>
      <color rgb="FFFF0000"/>
      <name val="Calibri"/>
      <family val="2"/>
    </font>
    <font>
      <sz val="10"/>
      <name val="Calibri"/>
      <family val="2"/>
    </font>
    <font>
      <sz val="8"/>
      <color theme="1"/>
      <name val="Calibri"/>
      <family val="2"/>
    </font>
    <font>
      <b/>
      <sz val="14"/>
      <color rgb="FFFF0000"/>
      <name val="Calibri"/>
      <family val="2"/>
    </font>
    <font>
      <b/>
      <sz val="11"/>
      <color theme="3"/>
      <name val="Calibri"/>
      <family val="2"/>
      <scheme val="minor"/>
    </font>
    <font>
      <b/>
      <sz val="12"/>
      <color theme="1"/>
      <name val="Calibri"/>
      <family val="2"/>
      <scheme val="minor"/>
    </font>
    <font>
      <b/>
      <sz val="11"/>
      <color theme="9" tint="-0.499984740745262"/>
      <name val="Calibri"/>
      <family val="2"/>
      <scheme val="minor"/>
    </font>
    <font>
      <b/>
      <sz val="11"/>
      <color theme="4" tint="-0.249977111117893"/>
      <name val="Calibri"/>
      <family val="2"/>
      <scheme val="minor"/>
    </font>
    <font>
      <b/>
      <sz val="12"/>
      <color rgb="FFFFFFFF"/>
      <name val="Microsoft PhagsPa"/>
      <family val="2"/>
    </font>
    <font>
      <sz val="36"/>
      <color rgb="FF000000"/>
      <name val="Calibri"/>
      <family val="2"/>
    </font>
    <font>
      <b/>
      <sz val="8"/>
      <color theme="1"/>
      <name val="Calibri"/>
      <family val="2"/>
    </font>
    <font>
      <i/>
      <sz val="9"/>
      <color rgb="FF305496"/>
      <name val="Calibri"/>
      <family val="2"/>
    </font>
    <font>
      <b/>
      <sz val="10"/>
      <name val="Calibri"/>
      <family val="2"/>
    </font>
    <font>
      <b/>
      <sz val="10"/>
      <color theme="1"/>
      <name val="Calibri"/>
      <family val="2"/>
    </font>
    <font>
      <b/>
      <sz val="11"/>
      <color rgb="FFFF0000"/>
      <name val="Gulim"/>
      <family val="2"/>
    </font>
    <font>
      <i/>
      <sz val="9"/>
      <color theme="4"/>
      <name val="Calibri"/>
      <family val="2"/>
    </font>
    <font>
      <i/>
      <sz val="9"/>
      <color theme="8" tint="-0.499984740745262"/>
      <name val="Calibri"/>
      <family val="2"/>
    </font>
    <font>
      <i/>
      <sz val="9"/>
      <color theme="1"/>
      <name val="Calibri"/>
      <family val="2"/>
    </font>
    <font>
      <b/>
      <u/>
      <sz val="8"/>
      <color rgb="FF000000"/>
      <name val="Calibri"/>
      <family val="2"/>
    </font>
    <font>
      <b/>
      <sz val="16"/>
      <color rgb="FFFF0000"/>
      <name val="Calibri"/>
      <family val="2"/>
      <scheme val="minor"/>
    </font>
    <font>
      <sz val="10"/>
      <color theme="1"/>
      <name val="Calibri"/>
      <family val="2"/>
    </font>
    <font>
      <i/>
      <sz val="9"/>
      <color theme="3"/>
      <name val="Calibri"/>
      <family val="2"/>
    </font>
    <font>
      <i/>
      <sz val="9"/>
      <color rgb="FF000000"/>
      <name val="Calibri"/>
      <family val="2"/>
    </font>
    <font>
      <i/>
      <sz val="9"/>
      <color theme="8" tint="-0.249977111117893"/>
      <name val="Calibri"/>
      <family val="2"/>
    </font>
    <font>
      <b/>
      <sz val="8"/>
      <name val="Calibri"/>
      <family val="2"/>
      <scheme val="minor"/>
    </font>
    <font>
      <sz val="7"/>
      <color rgb="FFFF0000"/>
      <name val="Microsoft PhagsPa"/>
      <family val="2"/>
    </font>
    <font>
      <b/>
      <sz val="22"/>
      <color rgb="FFFF0000"/>
      <name val="Calibri"/>
      <family val="2"/>
    </font>
    <font>
      <sz val="1"/>
      <color theme="0"/>
      <name val="Calibri"/>
      <family val="2"/>
      <scheme val="minor"/>
    </font>
    <font>
      <b/>
      <sz val="8"/>
      <color rgb="FF000000"/>
      <name val="Calibri"/>
      <family val="2"/>
      <scheme val="minor"/>
    </font>
    <font>
      <sz val="10"/>
      <color theme="1"/>
      <name val="Calibri"/>
      <family val="2"/>
      <scheme val="minor"/>
    </font>
    <font>
      <sz val="10"/>
      <color rgb="FFFF0000"/>
      <name val="Calibri"/>
      <family val="2"/>
    </font>
    <font>
      <sz val="10"/>
      <color rgb="FF243E72"/>
      <name val="Calibri"/>
      <family val="2"/>
    </font>
    <font>
      <b/>
      <sz val="10"/>
      <color rgb="FFFFC000"/>
      <name val="Calibri"/>
      <family val="2"/>
    </font>
    <font>
      <b/>
      <sz val="10"/>
      <color theme="5" tint="-0.499984740745262"/>
      <name val="Calibri"/>
      <family val="2"/>
    </font>
    <font>
      <b/>
      <sz val="10"/>
      <color rgb="FFFF00FF"/>
      <name val="Calibri"/>
      <family val="2"/>
    </font>
    <font>
      <b/>
      <sz val="10"/>
      <color rgb="FFF8F200"/>
      <name val="Calibri"/>
      <family val="2"/>
    </font>
    <font>
      <b/>
      <sz val="10"/>
      <color rgb="FFFF0000"/>
      <name val="Arial"/>
      <family val="2"/>
    </font>
    <font>
      <sz val="36"/>
      <color rgb="FF000000"/>
      <name val="Arial"/>
      <family val="2"/>
    </font>
    <font>
      <sz val="11"/>
      <name val="Calibri"/>
      <family val="2"/>
      <scheme val="minor"/>
    </font>
    <font>
      <i/>
      <sz val="9"/>
      <color theme="4" tint="-0.249977111117893"/>
      <name val="Calibri"/>
      <family val="2"/>
    </font>
    <font>
      <b/>
      <sz val="13"/>
      <color rgb="FF000000"/>
      <name val="Calibri"/>
      <family val="2"/>
    </font>
    <font>
      <sz val="11"/>
      <color theme="1"/>
      <name val="Calibri"/>
      <family val="2"/>
    </font>
    <font>
      <b/>
      <sz val="14"/>
      <color theme="1"/>
      <name val="Calibri"/>
      <family val="2"/>
      <scheme val="minor"/>
    </font>
    <font>
      <b/>
      <sz val="8"/>
      <color theme="1"/>
      <name val="Calibri"/>
      <family val="2"/>
      <scheme val="minor"/>
    </font>
    <font>
      <b/>
      <sz val="14"/>
      <name val="Calibri"/>
      <family val="2"/>
    </font>
    <font>
      <b/>
      <sz val="12"/>
      <color theme="0"/>
      <name val="Arial"/>
      <family val="2"/>
    </font>
    <font>
      <sz val="10"/>
      <color theme="0"/>
      <name val="Calibri"/>
      <family val="2"/>
    </font>
  </fonts>
  <fills count="23">
    <fill>
      <patternFill patternType="none"/>
    </fill>
    <fill>
      <patternFill patternType="gray125"/>
    </fill>
    <fill>
      <patternFill patternType="solid">
        <fgColor rgb="FF808080"/>
        <bgColor rgb="FF808080"/>
      </patternFill>
    </fill>
    <fill>
      <patternFill patternType="solid">
        <fgColor rgb="FFD9D9D9"/>
        <bgColor rgb="FFD9D9D9"/>
      </patternFill>
    </fill>
    <fill>
      <patternFill patternType="solid">
        <fgColor rgb="FFFFFFFF"/>
        <bgColor rgb="FFFFFFFF"/>
      </patternFill>
    </fill>
    <fill>
      <patternFill patternType="solid">
        <fgColor rgb="FFFF0000"/>
        <bgColor rgb="FFFF0000"/>
      </patternFill>
    </fill>
    <fill>
      <patternFill patternType="solid">
        <fgColor rgb="FFA6A6A6"/>
        <bgColor rgb="FFA6A6A6"/>
      </patternFill>
    </fill>
    <fill>
      <patternFill patternType="solid">
        <fgColor rgb="FFDDEBF7"/>
        <bgColor rgb="FFDDEBF7"/>
      </patternFill>
    </fill>
    <fill>
      <patternFill patternType="solid">
        <fgColor rgb="FF4472C4"/>
        <bgColor rgb="FF4472C4"/>
      </patternFill>
    </fill>
    <fill>
      <patternFill patternType="solid">
        <fgColor theme="0"/>
        <bgColor indexed="64"/>
      </patternFill>
    </fill>
    <fill>
      <patternFill patternType="solid">
        <fgColor theme="0"/>
        <bgColor rgb="FF808080"/>
      </patternFill>
    </fill>
    <fill>
      <patternFill patternType="solid">
        <fgColor theme="0"/>
        <bgColor rgb="FFEDF1F9"/>
      </patternFill>
    </fill>
    <fill>
      <patternFill patternType="solid">
        <fgColor rgb="FFFF00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rgb="FFF2F8EE"/>
      </patternFill>
    </fill>
    <fill>
      <patternFill patternType="solid">
        <fgColor theme="0" tint="-0.249977111117893"/>
        <bgColor indexed="64"/>
      </patternFill>
    </fill>
  </fills>
  <borders count="359">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FF0000"/>
      </top>
      <bottom/>
      <diagonal/>
    </border>
    <border>
      <left/>
      <right style="medium">
        <color rgb="FFFF0000"/>
      </right>
      <top style="medium">
        <color rgb="FFFF0000"/>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rgb="FF000000"/>
      </bottom>
      <diagonal/>
    </border>
    <border>
      <left/>
      <right style="thin">
        <color rgb="FF000000"/>
      </right>
      <top style="medium">
        <color rgb="FFFF0000"/>
      </top>
      <bottom style="thin">
        <color rgb="FF000000"/>
      </bottom>
      <diagonal/>
    </border>
    <border>
      <left style="thin">
        <color rgb="FF000000"/>
      </left>
      <right/>
      <top style="medium">
        <color rgb="FFFF0000"/>
      </top>
      <bottom style="thin">
        <color rgb="FF000000"/>
      </bottom>
      <diagonal/>
    </border>
    <border>
      <left/>
      <right/>
      <top style="medium">
        <color rgb="FFFF0000"/>
      </top>
      <bottom style="thin">
        <color rgb="FF000000"/>
      </bottom>
      <diagonal/>
    </border>
    <border>
      <left/>
      <right style="medium">
        <color rgb="FFFF0000"/>
      </right>
      <top style="medium">
        <color rgb="FFFF0000"/>
      </top>
      <bottom style="thin">
        <color rgb="FF000000"/>
      </bottom>
      <diagonal/>
    </border>
    <border>
      <left style="medium">
        <color rgb="FFFF0000"/>
      </left>
      <right/>
      <top style="thin">
        <color rgb="FF000000"/>
      </top>
      <bottom style="thin">
        <color rgb="FF000000"/>
      </bottom>
      <diagonal/>
    </border>
    <border>
      <left/>
      <right style="medium">
        <color rgb="FFFF0000"/>
      </right>
      <top style="thin">
        <color rgb="FF000000"/>
      </top>
      <bottom style="thin">
        <color rgb="FF000000"/>
      </bottom>
      <diagonal/>
    </border>
    <border>
      <left style="medium">
        <color rgb="FFFF0000"/>
      </left>
      <right/>
      <top style="thin">
        <color rgb="FF000000"/>
      </top>
      <bottom style="medium">
        <color rgb="FFFF0000"/>
      </bottom>
      <diagonal/>
    </border>
    <border>
      <left/>
      <right style="thin">
        <color rgb="FF000000"/>
      </right>
      <top style="thin">
        <color rgb="FF000000"/>
      </top>
      <bottom style="medium">
        <color rgb="FFFF0000"/>
      </bottom>
      <diagonal/>
    </border>
    <border>
      <left style="thin">
        <color rgb="FF000000"/>
      </left>
      <right/>
      <top style="thin">
        <color rgb="FF000000"/>
      </top>
      <bottom style="medium">
        <color rgb="FFFF0000"/>
      </bottom>
      <diagonal/>
    </border>
    <border>
      <left/>
      <right/>
      <top style="thin">
        <color rgb="FF000000"/>
      </top>
      <bottom style="medium">
        <color rgb="FFFF0000"/>
      </bottom>
      <diagonal/>
    </border>
    <border>
      <left/>
      <right style="medium">
        <color rgb="FFFF0000"/>
      </right>
      <top style="thin">
        <color rgb="FF000000"/>
      </top>
      <bottom style="medium">
        <color rgb="FFFF0000"/>
      </bottom>
      <diagonal/>
    </border>
    <border>
      <left/>
      <right/>
      <top style="medium">
        <color rgb="FF00B050"/>
      </top>
      <bottom/>
      <diagonal/>
    </border>
    <border>
      <left/>
      <right style="medium">
        <color rgb="FF00B050"/>
      </right>
      <top style="medium">
        <color rgb="FF00B050"/>
      </top>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thin">
        <color rgb="FF000000"/>
      </bottom>
      <diagonal/>
    </border>
    <border>
      <left/>
      <right style="thin">
        <color rgb="FF000000"/>
      </right>
      <top style="medium">
        <color rgb="FF00B050"/>
      </top>
      <bottom style="thin">
        <color rgb="FF000000"/>
      </bottom>
      <diagonal/>
    </border>
    <border>
      <left style="thin">
        <color rgb="FF000000"/>
      </left>
      <right/>
      <top style="medium">
        <color rgb="FF00B050"/>
      </top>
      <bottom style="thin">
        <color rgb="FF000000"/>
      </bottom>
      <diagonal/>
    </border>
    <border>
      <left/>
      <right/>
      <top style="medium">
        <color rgb="FF00B050"/>
      </top>
      <bottom style="thin">
        <color rgb="FF000000"/>
      </bottom>
      <diagonal/>
    </border>
    <border>
      <left/>
      <right style="medium">
        <color rgb="FF00B050"/>
      </right>
      <top style="medium">
        <color rgb="FF00B050"/>
      </top>
      <bottom style="thin">
        <color rgb="FF000000"/>
      </bottom>
      <diagonal/>
    </border>
    <border>
      <left/>
      <right style="medium">
        <color rgb="FF00B050"/>
      </right>
      <top style="thin">
        <color rgb="FF000000"/>
      </top>
      <bottom style="thin">
        <color rgb="FF000000"/>
      </bottom>
      <diagonal/>
    </border>
    <border>
      <left style="medium">
        <color rgb="FF00B050"/>
      </left>
      <right/>
      <top style="thin">
        <color rgb="FF000000"/>
      </top>
      <bottom style="thin">
        <color rgb="FF000000"/>
      </bottom>
      <diagonal/>
    </border>
    <border>
      <left style="medium">
        <color rgb="FF00B050"/>
      </left>
      <right/>
      <top style="thin">
        <color rgb="FF000000"/>
      </top>
      <bottom style="medium">
        <color rgb="FF00B050"/>
      </bottom>
      <diagonal/>
    </border>
    <border>
      <left/>
      <right style="thin">
        <color rgb="FF000000"/>
      </right>
      <top style="thin">
        <color rgb="FF000000"/>
      </top>
      <bottom style="medium">
        <color rgb="FF00B050"/>
      </bottom>
      <diagonal/>
    </border>
    <border>
      <left style="thin">
        <color rgb="FF000000"/>
      </left>
      <right/>
      <top style="thin">
        <color rgb="FF000000"/>
      </top>
      <bottom style="medium">
        <color rgb="FF00B050"/>
      </bottom>
      <diagonal/>
    </border>
    <border>
      <left/>
      <right/>
      <top style="thin">
        <color rgb="FF000000"/>
      </top>
      <bottom style="medium">
        <color rgb="FF00B050"/>
      </bottom>
      <diagonal/>
    </border>
    <border>
      <left/>
      <right style="medium">
        <color rgb="FF00B050"/>
      </right>
      <top style="thin">
        <color rgb="FF000000"/>
      </top>
      <bottom style="medium">
        <color rgb="FF00B050"/>
      </bottom>
      <diagonal/>
    </border>
    <border>
      <left style="medium">
        <color rgb="FF00B050"/>
      </left>
      <right/>
      <top/>
      <bottom style="medium">
        <color rgb="FF00B050"/>
      </bottom>
      <diagonal/>
    </border>
    <border>
      <left/>
      <right style="thin">
        <color rgb="FF000000"/>
      </right>
      <top/>
      <bottom style="medium">
        <color rgb="FF00B050"/>
      </bottom>
      <diagonal/>
    </border>
    <border>
      <left style="thin">
        <color rgb="FF000000"/>
      </left>
      <right/>
      <top/>
      <bottom style="medium">
        <color rgb="FF00B050"/>
      </bottom>
      <diagonal/>
    </border>
    <border>
      <left style="medium">
        <color rgb="FF00B05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B050"/>
      </right>
      <top/>
      <bottom style="thin">
        <color rgb="FF000000"/>
      </bottom>
      <diagonal/>
    </border>
    <border>
      <left style="medium">
        <color rgb="FFA64C0E"/>
      </left>
      <right/>
      <top style="medium">
        <color rgb="FFA64C0E"/>
      </top>
      <bottom style="thin">
        <color rgb="FF000000"/>
      </bottom>
      <diagonal/>
    </border>
    <border>
      <left/>
      <right style="thin">
        <color rgb="FF000000"/>
      </right>
      <top style="medium">
        <color rgb="FFA64C0E"/>
      </top>
      <bottom style="thin">
        <color rgb="FF000000"/>
      </bottom>
      <diagonal/>
    </border>
    <border>
      <left style="thin">
        <color rgb="FF000000"/>
      </left>
      <right/>
      <top style="medium">
        <color rgb="FFA64C0E"/>
      </top>
      <bottom style="thin">
        <color rgb="FF000000"/>
      </bottom>
      <diagonal/>
    </border>
    <border>
      <left/>
      <right/>
      <top style="medium">
        <color rgb="FFA64C0E"/>
      </top>
      <bottom style="thin">
        <color rgb="FF000000"/>
      </bottom>
      <diagonal/>
    </border>
    <border>
      <left style="medium">
        <color rgb="FFA64C0E"/>
      </left>
      <right/>
      <top style="thin">
        <color rgb="FF000000"/>
      </top>
      <bottom style="thin">
        <color rgb="FF000000"/>
      </bottom>
      <diagonal/>
    </border>
    <border>
      <left/>
      <right style="medium">
        <color rgb="FFA64C0E"/>
      </right>
      <top style="thin">
        <color rgb="FF000000"/>
      </top>
      <bottom style="thin">
        <color rgb="FF000000"/>
      </bottom>
      <diagonal/>
    </border>
    <border>
      <left style="medium">
        <color rgb="FFA64C0E"/>
      </left>
      <right/>
      <top style="thin">
        <color rgb="FF000000"/>
      </top>
      <bottom style="medium">
        <color rgb="FFA64C0E"/>
      </bottom>
      <diagonal/>
    </border>
    <border>
      <left/>
      <right style="thin">
        <color rgb="FF000000"/>
      </right>
      <top style="thin">
        <color rgb="FF000000"/>
      </top>
      <bottom style="medium">
        <color rgb="FFA64C0E"/>
      </bottom>
      <diagonal/>
    </border>
    <border>
      <left style="thin">
        <color rgb="FF000000"/>
      </left>
      <right/>
      <top style="thin">
        <color rgb="FF000000"/>
      </top>
      <bottom style="medium">
        <color rgb="FFA64C0E"/>
      </bottom>
      <diagonal/>
    </border>
    <border>
      <left/>
      <right/>
      <top style="thin">
        <color rgb="FF000000"/>
      </top>
      <bottom style="medium">
        <color rgb="FFA64C0E"/>
      </bottom>
      <diagonal/>
    </border>
    <border>
      <left/>
      <right style="medium">
        <color rgb="FFA64C0E"/>
      </right>
      <top style="thin">
        <color rgb="FF000000"/>
      </top>
      <bottom style="medium">
        <color rgb="FFA64C0E"/>
      </bottom>
      <diagonal/>
    </border>
    <border>
      <left/>
      <right/>
      <top style="medium">
        <color rgb="FFA64C0E"/>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medium">
        <color rgb="FFFF0000"/>
      </left>
      <right/>
      <top/>
      <bottom style="thin">
        <color rgb="FF000000"/>
      </bottom>
      <diagonal/>
    </border>
    <border>
      <left/>
      <right style="medium">
        <color rgb="FFFF0000"/>
      </right>
      <top/>
      <bottom/>
      <diagonal/>
    </border>
    <border>
      <left/>
      <right/>
      <top style="medium">
        <color rgb="FF0070C0"/>
      </top>
      <bottom/>
      <diagonal/>
    </border>
    <border>
      <left/>
      <right/>
      <top/>
      <bottom style="medium">
        <color rgb="FF0070C0"/>
      </bottom>
      <diagonal/>
    </border>
    <border>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medium">
        <color rgb="FFE26714"/>
      </left>
      <right/>
      <top style="medium">
        <color rgb="FFE26714"/>
      </top>
      <bottom style="thin">
        <color rgb="FF000000"/>
      </bottom>
      <diagonal/>
    </border>
    <border>
      <left/>
      <right style="thin">
        <color rgb="FF0070C0"/>
      </right>
      <top style="medium">
        <color rgb="FFE26714"/>
      </top>
      <bottom style="thin">
        <color rgb="FF000000"/>
      </bottom>
      <diagonal/>
    </border>
    <border>
      <left style="thin">
        <color rgb="FF0070C0"/>
      </left>
      <right/>
      <top style="medium">
        <color rgb="FFE26714"/>
      </top>
      <bottom style="thin">
        <color rgb="FF000000"/>
      </bottom>
      <diagonal/>
    </border>
    <border>
      <left/>
      <right/>
      <top style="medium">
        <color rgb="FFE26714"/>
      </top>
      <bottom style="thin">
        <color rgb="FF000000"/>
      </bottom>
      <diagonal/>
    </border>
    <border>
      <left style="medium">
        <color rgb="FFE26714"/>
      </left>
      <right/>
      <top style="thin">
        <color rgb="FF000000"/>
      </top>
      <bottom style="thin">
        <color rgb="FF000000"/>
      </bottom>
      <diagonal/>
    </border>
    <border>
      <left/>
      <right style="thin">
        <color rgb="FF0070C0"/>
      </right>
      <top/>
      <bottom style="thin">
        <color rgb="FF000000"/>
      </bottom>
      <diagonal/>
    </border>
    <border>
      <left style="thin">
        <color rgb="FF0070C0"/>
      </left>
      <right/>
      <top style="thin">
        <color rgb="FF000000"/>
      </top>
      <bottom style="thin">
        <color rgb="FF000000"/>
      </bottom>
      <diagonal/>
    </border>
    <border>
      <left/>
      <right style="medium">
        <color rgb="FFE26714"/>
      </right>
      <top/>
      <bottom style="thin">
        <color rgb="FF000000"/>
      </bottom>
      <diagonal/>
    </border>
    <border>
      <left/>
      <right style="thin">
        <color rgb="FF0070C0"/>
      </right>
      <top style="thin">
        <color rgb="FF000000"/>
      </top>
      <bottom style="thin">
        <color rgb="FF000000"/>
      </bottom>
      <diagonal/>
    </border>
    <border>
      <left style="medium">
        <color rgb="FFE26714"/>
      </left>
      <right/>
      <top/>
      <bottom/>
      <diagonal/>
    </border>
    <border>
      <left/>
      <right style="thin">
        <color rgb="FF0070C0"/>
      </right>
      <top style="thin">
        <color rgb="FF000000"/>
      </top>
      <bottom/>
      <diagonal/>
    </border>
    <border>
      <left style="medium">
        <color rgb="FFE26714"/>
      </left>
      <right/>
      <top/>
      <bottom style="thin">
        <color rgb="FF000000"/>
      </bottom>
      <diagonal/>
    </border>
    <border>
      <left style="thin">
        <color rgb="FF0070C0"/>
      </left>
      <right/>
      <top/>
      <bottom style="thin">
        <color rgb="FF000000"/>
      </bottom>
      <diagonal/>
    </border>
    <border>
      <left/>
      <right/>
      <top style="thin">
        <color rgb="FF8EA9DB"/>
      </top>
      <bottom style="thin">
        <color rgb="FF8EA9DB"/>
      </bottom>
      <diagonal/>
    </border>
    <border>
      <left style="medium">
        <color rgb="FFE26714"/>
      </left>
      <right/>
      <top style="thin">
        <color rgb="FF000000"/>
      </top>
      <bottom style="medium">
        <color rgb="FFE26714"/>
      </bottom>
      <diagonal/>
    </border>
    <border>
      <left/>
      <right style="thin">
        <color rgb="FF0070C0"/>
      </right>
      <top/>
      <bottom style="medium">
        <color rgb="FFE26714"/>
      </bottom>
      <diagonal/>
    </border>
    <border>
      <left style="thin">
        <color rgb="FF0070C0"/>
      </left>
      <right/>
      <top style="thin">
        <color rgb="FF000000"/>
      </top>
      <bottom style="medium">
        <color rgb="FFE26714"/>
      </bottom>
      <diagonal/>
    </border>
    <border>
      <left/>
      <right/>
      <top style="thin">
        <color rgb="FF000000"/>
      </top>
      <bottom style="medium">
        <color rgb="FFE26714"/>
      </bottom>
      <diagonal/>
    </border>
    <border>
      <left/>
      <right style="thin">
        <color rgb="FF0070C0"/>
      </right>
      <top style="thin">
        <color rgb="FF000000"/>
      </top>
      <bottom style="medium">
        <color rgb="FFE26714"/>
      </bottom>
      <diagonal/>
    </border>
    <border>
      <left/>
      <right/>
      <top/>
      <bottom style="medium">
        <color rgb="FFE26714"/>
      </bottom>
      <diagonal/>
    </border>
    <border>
      <left/>
      <right style="medium">
        <color rgb="FFE26714"/>
      </right>
      <top style="thin">
        <color rgb="FF8EA9DB"/>
      </top>
      <bottom style="medium">
        <color rgb="FFE26714"/>
      </bottom>
      <diagonal/>
    </border>
    <border>
      <left/>
      <right/>
      <top style="medium">
        <color rgb="FFED7D31"/>
      </top>
      <bottom/>
      <diagonal/>
    </border>
    <border>
      <left style="thin">
        <color rgb="FF000000"/>
      </left>
      <right/>
      <top style="medium">
        <color rgb="FF0070C0"/>
      </top>
      <bottom style="thin">
        <color rgb="FF000000"/>
      </bottom>
      <diagonal/>
    </border>
    <border>
      <left/>
      <right/>
      <top style="medium">
        <color rgb="FF0070C0"/>
      </top>
      <bottom style="thin">
        <color rgb="FF000000"/>
      </bottom>
      <diagonal/>
    </border>
    <border>
      <left/>
      <right style="medium">
        <color rgb="FF0070C0"/>
      </right>
      <top style="medium">
        <color rgb="FF0070C0"/>
      </top>
      <bottom/>
      <diagonal/>
    </border>
    <border>
      <left/>
      <right style="medium">
        <color rgb="FF0070C0"/>
      </right>
      <top/>
      <bottom style="thin">
        <color rgb="FF000000"/>
      </bottom>
      <diagonal/>
    </border>
    <border>
      <left style="medium">
        <color rgb="FF0070C0"/>
      </left>
      <right/>
      <top style="thin">
        <color rgb="FF000000"/>
      </top>
      <bottom style="medium">
        <color rgb="FF0070C0"/>
      </bottom>
      <diagonal/>
    </border>
    <border>
      <left/>
      <right/>
      <top style="thin">
        <color rgb="FF000000"/>
      </top>
      <bottom style="medium">
        <color rgb="FF0070C0"/>
      </bottom>
      <diagonal/>
    </border>
    <border>
      <left/>
      <right style="medium">
        <color rgb="FF0070C0"/>
      </right>
      <top style="thin">
        <color rgb="FF000000"/>
      </top>
      <bottom style="medium">
        <color rgb="FF0070C0"/>
      </bottom>
      <diagonal/>
    </border>
    <border>
      <left style="medium">
        <color rgb="FF0070C0"/>
      </left>
      <right/>
      <top/>
      <bottom style="thin">
        <color rgb="FF000000"/>
      </bottom>
      <diagonal/>
    </border>
    <border>
      <left style="medium">
        <color rgb="FF0070C0"/>
      </left>
      <right/>
      <top style="thin">
        <color rgb="FF000000"/>
      </top>
      <bottom style="thin">
        <color rgb="FF000000"/>
      </bottom>
      <diagonal/>
    </border>
    <border>
      <left/>
      <right style="medium">
        <color rgb="FF0070C0"/>
      </right>
      <top style="thin">
        <color rgb="FF000000"/>
      </top>
      <bottom style="thin">
        <color rgb="FF000000"/>
      </bottom>
      <diagonal/>
    </border>
    <border>
      <left style="medium">
        <color rgb="FF0070C0"/>
      </left>
      <right/>
      <top style="thin">
        <color rgb="FF000000"/>
      </top>
      <bottom/>
      <diagonal/>
    </border>
    <border>
      <left/>
      <right style="thin">
        <color rgb="FF000000"/>
      </right>
      <top style="thin">
        <color rgb="FF000000"/>
      </top>
      <bottom style="medium">
        <color rgb="FF0070C0"/>
      </bottom>
      <diagonal/>
    </border>
    <border>
      <left style="thin">
        <color rgb="FF000000"/>
      </left>
      <right/>
      <top style="thin">
        <color rgb="FF000000"/>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thin">
        <color rgb="FF000000"/>
      </bottom>
      <diagonal/>
    </border>
    <border>
      <left/>
      <right style="thin">
        <color rgb="FF000000"/>
      </right>
      <top style="medium">
        <color rgb="FF0070C0"/>
      </top>
      <bottom style="thin">
        <color rgb="FF000000"/>
      </bottom>
      <diagonal/>
    </border>
    <border>
      <left/>
      <right style="medium">
        <color rgb="FF0070C0"/>
      </right>
      <top style="medium">
        <color rgb="FF0070C0"/>
      </top>
      <bottom style="thin">
        <color rgb="FF000000"/>
      </bottom>
      <diagonal/>
    </border>
    <border>
      <left/>
      <right style="thin">
        <color rgb="FF000000"/>
      </right>
      <top/>
      <bottom/>
      <diagonal/>
    </border>
    <border>
      <left style="thin">
        <color rgb="FF000000"/>
      </left>
      <right/>
      <top/>
      <bottom/>
      <diagonal/>
    </border>
    <border>
      <left/>
      <right style="medium">
        <color rgb="FF0070C0"/>
      </right>
      <top/>
      <bottom/>
      <diagonal/>
    </border>
    <border>
      <left/>
      <right style="thin">
        <color rgb="FF000000"/>
      </right>
      <top/>
      <bottom style="medium">
        <color rgb="FF0070C0"/>
      </bottom>
      <diagonal/>
    </border>
    <border>
      <left style="medium">
        <color rgb="FF0070C0"/>
      </left>
      <right/>
      <top/>
      <bottom style="medium">
        <color rgb="FF0070C0"/>
      </bottom>
      <diagonal/>
    </border>
    <border>
      <left style="thin">
        <color rgb="FF000000"/>
      </left>
      <right/>
      <top/>
      <bottom style="medium">
        <color rgb="FF0070C0"/>
      </bottom>
      <diagonal/>
    </border>
    <border>
      <left/>
      <right/>
      <top style="medium">
        <color rgb="FFE26714"/>
      </top>
      <bottom/>
      <diagonal/>
    </border>
    <border>
      <left/>
      <right style="medium">
        <color rgb="FFE26714"/>
      </right>
      <top style="medium">
        <color rgb="FFE26714"/>
      </top>
      <bottom/>
      <diagonal/>
    </border>
    <border>
      <left/>
      <right style="medium">
        <color rgb="FFE26714"/>
      </right>
      <top/>
      <bottom style="medium">
        <color rgb="FFE26714"/>
      </bottom>
      <diagonal/>
    </border>
    <border>
      <left style="thin">
        <color rgb="FF000000"/>
      </left>
      <right/>
      <top style="medium">
        <color rgb="FF0070C0"/>
      </top>
      <bottom/>
      <diagonal/>
    </border>
    <border>
      <left style="thin">
        <color rgb="FF8EA9DB"/>
      </left>
      <right/>
      <top style="thin">
        <color rgb="FF8EA9DB"/>
      </top>
      <bottom style="thin">
        <color rgb="FF8EA9DB"/>
      </bottom>
      <diagonal/>
    </border>
    <border>
      <left style="thin">
        <color rgb="FF000000"/>
      </left>
      <right/>
      <top style="thin">
        <color rgb="FF8EA9DB"/>
      </top>
      <bottom style="thin">
        <color rgb="FF8EA9DB"/>
      </bottom>
      <diagonal/>
    </border>
    <border>
      <left/>
      <right style="thin">
        <color rgb="FF000000"/>
      </right>
      <top style="thin">
        <color rgb="FF8EA9DB"/>
      </top>
      <bottom style="thin">
        <color rgb="FF8EA9DB"/>
      </bottom>
      <diagonal/>
    </border>
    <border>
      <left/>
      <right/>
      <top/>
      <bottom style="thin">
        <color auto="1"/>
      </bottom>
      <diagonal/>
    </border>
    <border>
      <left/>
      <right style="thin">
        <color auto="1"/>
      </right>
      <top/>
      <bottom style="medium">
        <color rgb="FFFF0000"/>
      </bottom>
      <diagonal/>
    </border>
    <border>
      <left style="thin">
        <color auto="1"/>
      </left>
      <right/>
      <top/>
      <bottom style="medium">
        <color rgb="FFFF0000"/>
      </bottom>
      <diagonal/>
    </border>
    <border>
      <left style="medium">
        <color rgb="FFFF0000"/>
      </left>
      <right/>
      <top style="medium">
        <color rgb="FFFF0000"/>
      </top>
      <bottom/>
      <diagonal/>
    </border>
    <border>
      <left style="thin">
        <color auto="1"/>
      </left>
      <right/>
      <top style="medium">
        <color rgb="FFFF0000"/>
      </top>
      <bottom/>
      <diagonal/>
    </border>
    <border>
      <left/>
      <right style="thin">
        <color auto="1"/>
      </right>
      <top/>
      <bottom/>
      <diagonal/>
    </border>
    <border>
      <left style="medium">
        <color rgb="FFFF0000"/>
      </left>
      <right/>
      <top/>
      <bottom style="medium">
        <color rgb="FFFF0000"/>
      </bottom>
      <diagonal/>
    </border>
    <border>
      <left/>
      <right style="thin">
        <color rgb="FF000000"/>
      </right>
      <top/>
      <bottom style="medium">
        <color rgb="FFFF0000"/>
      </bottom>
      <diagonal/>
    </border>
    <border>
      <left style="thin">
        <color rgb="FF000000"/>
      </left>
      <right/>
      <top style="medium">
        <color rgb="FFFF0000"/>
      </top>
      <bottom/>
      <diagonal/>
    </border>
    <border>
      <left style="thin">
        <color rgb="FF000000"/>
      </left>
      <right/>
      <top/>
      <bottom style="medium">
        <color rgb="FFFF0000"/>
      </bottom>
      <diagonal/>
    </border>
    <border>
      <left/>
      <right style="thin">
        <color rgb="FF000000"/>
      </right>
      <top style="medium">
        <color rgb="FFFF0000"/>
      </top>
      <bottom/>
      <diagonal/>
    </border>
    <border>
      <left style="thin">
        <color rgb="FF0070C0"/>
      </left>
      <right/>
      <top style="thin">
        <color theme="1"/>
      </top>
      <bottom style="thin">
        <color rgb="FF000000"/>
      </bottom>
      <diagonal/>
    </border>
    <border>
      <left/>
      <right/>
      <top style="thin">
        <color theme="1"/>
      </top>
      <bottom style="thin">
        <color rgb="FF000000"/>
      </bottom>
      <diagonal/>
    </border>
    <border>
      <left/>
      <right style="thin">
        <color rgb="FF0070C0"/>
      </right>
      <top style="thin">
        <color theme="1"/>
      </top>
      <bottom style="thin">
        <color rgb="FF000000"/>
      </bottom>
      <diagonal/>
    </border>
    <border>
      <left/>
      <right style="medium">
        <color rgb="FFE26714"/>
      </right>
      <top style="medium">
        <color rgb="FFE26714"/>
      </top>
      <bottom style="thin">
        <color auto="1"/>
      </bottom>
      <diagonal/>
    </border>
    <border>
      <left/>
      <right/>
      <top style="medium">
        <color rgb="FFE26714"/>
      </top>
      <bottom style="thin">
        <color auto="1"/>
      </bottom>
      <diagonal/>
    </border>
    <border>
      <left/>
      <right/>
      <top style="thin">
        <color theme="1"/>
      </top>
      <bottom style="thin">
        <color theme="1"/>
      </bottom>
      <diagonal/>
    </border>
    <border>
      <left/>
      <right/>
      <top/>
      <bottom style="medium">
        <color theme="5"/>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auto="1"/>
      </top>
      <bottom style="thin">
        <color auto="1"/>
      </bottom>
      <diagonal/>
    </border>
    <border>
      <left/>
      <right style="medium">
        <color rgb="FF0070C0"/>
      </right>
      <top style="thin">
        <color rgb="FF000000"/>
      </top>
      <bottom/>
      <diagonal/>
    </border>
    <border>
      <left style="medium">
        <color rgb="FFFF0000"/>
      </left>
      <right/>
      <top style="thin">
        <color rgb="FF000000"/>
      </top>
      <bottom/>
      <diagonal/>
    </border>
    <border>
      <left/>
      <right style="medium">
        <color rgb="FFFF0000"/>
      </right>
      <top style="thin">
        <color rgb="FF000000"/>
      </top>
      <bottom/>
      <diagonal/>
    </border>
    <border>
      <left style="thin">
        <color rgb="FF8EA9DB"/>
      </left>
      <right/>
      <top style="thin">
        <color rgb="FF8EA9DB"/>
      </top>
      <bottom style="thin">
        <color rgb="FF000000"/>
      </bottom>
      <diagonal/>
    </border>
    <border>
      <left style="medium">
        <color rgb="FFE26714"/>
      </left>
      <right/>
      <top style="thin">
        <color rgb="FF000000"/>
      </top>
      <bottom style="thin">
        <color theme="1"/>
      </bottom>
      <diagonal/>
    </border>
    <border>
      <left style="thin">
        <color auto="1"/>
      </left>
      <right/>
      <top/>
      <bottom style="thin">
        <color auto="1"/>
      </bottom>
      <diagonal/>
    </border>
    <border>
      <left style="medium">
        <color rgb="FFA64C0E"/>
      </left>
      <right/>
      <top/>
      <bottom style="thin">
        <color rgb="FF000000"/>
      </bottom>
      <diagonal/>
    </border>
    <border>
      <left/>
      <right style="medium">
        <color rgb="FFA64C0E"/>
      </right>
      <top/>
      <bottom style="thin">
        <color rgb="FF000000"/>
      </bottom>
      <diagonal/>
    </border>
    <border>
      <left/>
      <right style="medium">
        <color rgb="FFA64C0E"/>
      </right>
      <top style="medium">
        <color rgb="FFA64C0E"/>
      </top>
      <bottom/>
      <diagonal/>
    </border>
    <border>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0070C0"/>
      </left>
      <right/>
      <top style="medium">
        <color rgb="FF0070C0"/>
      </top>
      <bottom/>
      <diagonal/>
    </border>
    <border>
      <left/>
      <right style="thin">
        <color rgb="FF000000"/>
      </right>
      <top style="medium">
        <color rgb="FF0070C0"/>
      </top>
      <bottom/>
      <diagonal/>
    </border>
    <border>
      <left style="medium">
        <color rgb="FFFF0000"/>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medium">
        <color rgb="FFFF0000"/>
      </right>
      <top style="thin">
        <color auto="1"/>
      </top>
      <bottom style="thin">
        <color rgb="FF000000"/>
      </bottom>
      <diagonal/>
    </border>
    <border>
      <left/>
      <right/>
      <top style="thin">
        <color theme="1"/>
      </top>
      <bottom/>
      <diagonal/>
    </border>
    <border>
      <left/>
      <right/>
      <top style="thin">
        <color auto="1"/>
      </top>
      <bottom style="thin">
        <color rgb="FF0070C0"/>
      </bottom>
      <diagonal/>
    </border>
    <border>
      <left/>
      <right style="thin">
        <color rgb="FF000000"/>
      </right>
      <top style="thin">
        <color theme="1"/>
      </top>
      <bottom style="thin">
        <color rgb="FF000000"/>
      </bottom>
      <diagonal/>
    </border>
    <border>
      <left style="thin">
        <color rgb="FF000000"/>
      </left>
      <right/>
      <top style="thin">
        <color theme="1"/>
      </top>
      <bottom style="thin">
        <color rgb="FF000000"/>
      </bottom>
      <diagonal/>
    </border>
    <border>
      <left style="medium">
        <color rgb="FF0070C0"/>
      </left>
      <right/>
      <top style="thin">
        <color auto="1"/>
      </top>
      <bottom style="thin">
        <color auto="1"/>
      </bottom>
      <diagonal/>
    </border>
    <border>
      <left/>
      <right style="medium">
        <color rgb="FF0070C0"/>
      </right>
      <top style="thin">
        <color auto="1"/>
      </top>
      <bottom style="thin">
        <color auto="1"/>
      </bottom>
      <diagonal/>
    </border>
    <border>
      <left style="medium">
        <color rgb="FF00B050"/>
      </left>
      <right/>
      <top style="thin">
        <color rgb="FF000000"/>
      </top>
      <bottom style="thin">
        <color auto="1"/>
      </bottom>
      <diagonal/>
    </border>
    <border>
      <left/>
      <right style="thin">
        <color rgb="FF000000"/>
      </right>
      <top style="thin">
        <color rgb="FF000000"/>
      </top>
      <bottom style="thin">
        <color auto="1"/>
      </bottom>
      <diagonal/>
    </border>
    <border>
      <left style="medium">
        <color rgb="FFFF0000"/>
      </left>
      <right/>
      <top style="thin">
        <color rgb="FF000000"/>
      </top>
      <bottom style="thin">
        <color auto="1"/>
      </bottom>
      <diagonal/>
    </border>
    <border>
      <left/>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8EA9DB"/>
      </left>
      <right/>
      <top style="thin">
        <color rgb="FF8EA9DB"/>
      </top>
      <bottom/>
      <diagonal/>
    </border>
    <border>
      <left style="thin">
        <color rgb="FF8EA9DB"/>
      </left>
      <right/>
      <top/>
      <bottom style="thin">
        <color rgb="FF8EA9DB"/>
      </bottom>
      <diagonal/>
    </border>
    <border>
      <left style="medium">
        <color rgb="FFA64C0E"/>
      </left>
      <right/>
      <top style="thin">
        <color rgb="FF000000"/>
      </top>
      <bottom style="thin">
        <color auto="1"/>
      </bottom>
      <diagonal/>
    </border>
    <border>
      <left style="thin">
        <color rgb="FF000000"/>
      </left>
      <right/>
      <top style="thin">
        <color rgb="FF000000"/>
      </top>
      <bottom style="thin">
        <color auto="1"/>
      </bottom>
      <diagonal/>
    </border>
    <border>
      <left/>
      <right style="medium">
        <color rgb="FFA64C0E"/>
      </right>
      <top style="thin">
        <color rgb="FF000000"/>
      </top>
      <bottom style="thin">
        <color auto="1"/>
      </bottom>
      <diagonal/>
    </border>
    <border>
      <left style="medium">
        <color rgb="FF00B050"/>
      </left>
      <right/>
      <top/>
      <bottom/>
      <diagonal/>
    </border>
    <border>
      <left/>
      <right style="medium">
        <color rgb="FF00B050"/>
      </right>
      <top style="thin">
        <color rgb="FF000000"/>
      </top>
      <bottom/>
      <diagonal/>
    </border>
    <border>
      <left style="medium">
        <color rgb="FF00B050"/>
      </left>
      <right/>
      <top style="thin">
        <color theme="1"/>
      </top>
      <bottom style="thin">
        <color auto="1"/>
      </bottom>
      <diagonal/>
    </border>
    <border>
      <left/>
      <right style="thin">
        <color rgb="FF000000"/>
      </right>
      <top style="thin">
        <color theme="1"/>
      </top>
      <bottom style="thin">
        <color auto="1"/>
      </bottom>
      <diagonal/>
    </border>
    <border>
      <left/>
      <right style="medium">
        <color rgb="FF00B050"/>
      </right>
      <top style="thin">
        <color theme="1"/>
      </top>
      <bottom style="thin">
        <color rgb="FF000000"/>
      </bottom>
      <diagonal/>
    </border>
    <border>
      <left/>
      <right style="thin">
        <color rgb="FF000000"/>
      </right>
      <top style="thin">
        <color auto="1"/>
      </top>
      <bottom style="thin">
        <color auto="1"/>
      </bottom>
      <diagonal/>
    </border>
    <border>
      <left style="thin">
        <color theme="1"/>
      </left>
      <right/>
      <top style="thin">
        <color theme="1"/>
      </top>
      <bottom/>
      <diagonal/>
    </border>
    <border>
      <left style="thin">
        <color rgb="FF000000"/>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style="thin">
        <color theme="1"/>
      </top>
      <bottom/>
      <diagonal/>
    </border>
    <border>
      <left/>
      <right style="medium">
        <color theme="5"/>
      </right>
      <top style="thin">
        <color theme="1"/>
      </top>
      <bottom/>
      <diagonal/>
    </border>
    <border>
      <left style="medium">
        <color theme="5"/>
      </left>
      <right/>
      <top style="thin">
        <color auto="1"/>
      </top>
      <bottom style="thin">
        <color rgb="FF0070C0"/>
      </bottom>
      <diagonal/>
    </border>
    <border>
      <left/>
      <right style="medium">
        <color theme="5"/>
      </right>
      <top style="thin">
        <color auto="1"/>
      </top>
      <bottom style="thin">
        <color rgb="FF0070C0"/>
      </bottom>
      <diagonal/>
    </border>
    <border>
      <left style="medium">
        <color theme="5"/>
      </left>
      <right/>
      <top style="thin">
        <color rgb="FF0070C0"/>
      </top>
      <bottom style="thin">
        <color rgb="FF0070C0"/>
      </bottom>
      <diagonal/>
    </border>
    <border>
      <left style="medium">
        <color theme="5"/>
      </left>
      <right/>
      <top style="thin">
        <color rgb="FF0070C0"/>
      </top>
      <bottom style="medium">
        <color rgb="FF0070C0"/>
      </bottom>
      <diagonal/>
    </border>
    <border>
      <left style="medium">
        <color theme="5"/>
      </left>
      <right/>
      <top/>
      <bottom style="thin">
        <color rgb="FF0070C0"/>
      </bottom>
      <diagonal/>
    </border>
    <border>
      <left style="medium">
        <color theme="5"/>
      </left>
      <right/>
      <top style="medium">
        <color theme="5"/>
      </top>
      <bottom style="thin">
        <color theme="1"/>
      </bottom>
      <diagonal/>
    </border>
    <border>
      <left/>
      <right style="thin">
        <color rgb="FF0070C0"/>
      </right>
      <top style="medium">
        <color theme="5"/>
      </top>
      <bottom style="thin">
        <color theme="1"/>
      </bottom>
      <diagonal/>
    </border>
    <border>
      <left style="thin">
        <color rgb="FF0070C0"/>
      </left>
      <right/>
      <top style="medium">
        <color theme="5"/>
      </top>
      <bottom style="thin">
        <color theme="1"/>
      </bottom>
      <diagonal/>
    </border>
    <border>
      <left/>
      <right/>
      <top style="medium">
        <color theme="5"/>
      </top>
      <bottom style="thin">
        <color theme="1"/>
      </bottom>
      <diagonal/>
    </border>
    <border>
      <left/>
      <right style="medium">
        <color theme="5"/>
      </right>
      <top style="medium">
        <color theme="5"/>
      </top>
      <bottom style="thin">
        <color theme="1"/>
      </bottom>
      <diagonal/>
    </border>
    <border>
      <left/>
      <right style="medium">
        <color theme="5"/>
      </right>
      <top/>
      <bottom/>
      <diagonal/>
    </border>
    <border>
      <left style="medium">
        <color theme="5"/>
      </left>
      <right/>
      <top style="medium">
        <color theme="5"/>
      </top>
      <bottom/>
      <diagonal/>
    </border>
    <border>
      <left style="medium">
        <color theme="5"/>
      </left>
      <right/>
      <top style="thin">
        <color auto="1"/>
      </top>
      <bottom style="thin">
        <color theme="1"/>
      </bottom>
      <diagonal/>
    </border>
    <border>
      <left/>
      <right/>
      <top style="thin">
        <color auto="1"/>
      </top>
      <bottom style="thin">
        <color theme="1"/>
      </bottom>
      <diagonal/>
    </border>
    <border>
      <left style="thin">
        <color rgb="FF000000"/>
      </left>
      <right/>
      <top style="thin">
        <color auto="1"/>
      </top>
      <bottom style="thin">
        <color theme="1"/>
      </bottom>
      <diagonal/>
    </border>
    <border>
      <left/>
      <right style="thin">
        <color rgb="FF0070C0"/>
      </right>
      <top style="thin">
        <color auto="1"/>
      </top>
      <bottom style="thin">
        <color theme="1"/>
      </bottom>
      <diagonal/>
    </border>
    <border>
      <left style="thin">
        <color rgb="FF0070C0"/>
      </left>
      <right/>
      <top style="thin">
        <color auto="1"/>
      </top>
      <bottom style="thin">
        <color theme="1"/>
      </bottom>
      <diagonal/>
    </border>
    <border>
      <left/>
      <right style="medium">
        <color theme="5"/>
      </right>
      <top style="thin">
        <color auto="1"/>
      </top>
      <bottom style="thin">
        <color theme="1"/>
      </bottom>
      <diagonal/>
    </border>
    <border>
      <left style="medium">
        <color theme="5"/>
      </left>
      <right/>
      <top style="thin">
        <color theme="1"/>
      </top>
      <bottom style="thin">
        <color theme="1"/>
      </bottom>
      <diagonal/>
    </border>
    <border>
      <left/>
      <right style="thin">
        <color rgb="FF0070C0"/>
      </right>
      <top style="thin">
        <color theme="1"/>
      </top>
      <bottom style="thin">
        <color theme="1"/>
      </bottom>
      <diagonal/>
    </border>
    <border>
      <left style="thin">
        <color rgb="FF0070C0"/>
      </left>
      <right/>
      <top style="thin">
        <color theme="1"/>
      </top>
      <bottom style="thin">
        <color theme="1"/>
      </bottom>
      <diagonal/>
    </border>
    <border>
      <left/>
      <right style="medium">
        <color theme="5"/>
      </right>
      <top style="thin">
        <color theme="1"/>
      </top>
      <bottom style="thin">
        <color theme="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theme="5"/>
      </left>
      <right/>
      <top style="thin">
        <color auto="1"/>
      </top>
      <bottom style="medium">
        <color theme="5"/>
      </bottom>
      <diagonal/>
    </border>
    <border>
      <left/>
      <right/>
      <top style="thin">
        <color auto="1"/>
      </top>
      <bottom style="medium">
        <color theme="5"/>
      </bottom>
      <diagonal/>
    </border>
    <border>
      <left style="thin">
        <color rgb="FF0070C0"/>
      </left>
      <right/>
      <top style="thin">
        <color auto="1"/>
      </top>
      <bottom style="medium">
        <color theme="5"/>
      </bottom>
      <diagonal/>
    </border>
    <border>
      <left/>
      <right style="thin">
        <color rgb="FF0070C0"/>
      </right>
      <top style="thin">
        <color auto="1"/>
      </top>
      <bottom style="medium">
        <color theme="5"/>
      </bottom>
      <diagonal/>
    </border>
    <border>
      <left/>
      <right style="medium">
        <color theme="5"/>
      </right>
      <top style="thin">
        <color auto="1"/>
      </top>
      <bottom style="medium">
        <color theme="5"/>
      </bottom>
      <diagonal/>
    </border>
    <border>
      <left style="thin">
        <color theme="1"/>
      </left>
      <right/>
      <top style="medium">
        <color rgb="FFE26714"/>
      </top>
      <bottom style="thin">
        <color rgb="FF000000"/>
      </bottom>
      <diagonal/>
    </border>
    <border>
      <left style="thin">
        <color theme="1"/>
      </left>
      <right/>
      <top style="thin">
        <color rgb="FF000000"/>
      </top>
      <bottom style="thin">
        <color rgb="FF000000"/>
      </bottom>
      <diagonal/>
    </border>
    <border>
      <left style="thin">
        <color theme="1"/>
      </left>
      <right/>
      <top style="thin">
        <color rgb="FF8EA9DB"/>
      </top>
      <bottom style="thin">
        <color rgb="FF8EA9DB"/>
      </bottom>
      <diagonal/>
    </border>
    <border>
      <left style="thin">
        <color theme="1"/>
      </left>
      <right/>
      <top style="thin">
        <color theme="1"/>
      </top>
      <bottom style="thin">
        <color rgb="FF00000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medium">
        <color rgb="FFFF0000"/>
      </top>
      <bottom/>
      <diagonal/>
    </border>
    <border>
      <left/>
      <right/>
      <top style="medium">
        <color rgb="FF00B050"/>
      </top>
      <bottom style="thin">
        <color auto="1"/>
      </bottom>
      <diagonal/>
    </border>
    <border>
      <left style="thin">
        <color rgb="FF000000"/>
      </left>
      <right/>
      <top style="medium">
        <color rgb="FF00B050"/>
      </top>
      <bottom/>
      <diagonal/>
    </border>
    <border>
      <left style="medium">
        <color rgb="FF00B050"/>
      </left>
      <right/>
      <top style="medium">
        <color rgb="FF00B050"/>
      </top>
      <bottom/>
      <diagonal/>
    </border>
    <border>
      <left/>
      <right style="thin">
        <color rgb="FF000000"/>
      </right>
      <top style="medium">
        <color rgb="FF00B050"/>
      </top>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hair">
        <color auto="1"/>
      </left>
      <right/>
      <top style="hair">
        <color auto="1"/>
      </top>
      <bottom/>
      <diagonal/>
    </border>
    <border>
      <left style="thin">
        <color rgb="FF000000"/>
      </left>
      <right/>
      <top style="medium">
        <color rgb="FFA64C0E"/>
      </top>
      <bottom/>
      <diagonal/>
    </border>
    <border>
      <left style="thin">
        <color rgb="FF000000"/>
      </left>
      <right/>
      <top/>
      <bottom style="medium">
        <color rgb="FFA64C0E"/>
      </bottom>
      <diagonal/>
    </border>
    <border>
      <left/>
      <right/>
      <top/>
      <bottom style="medium">
        <color rgb="FFA64C0E"/>
      </bottom>
      <diagonal/>
    </border>
    <border>
      <left style="thin">
        <color rgb="FF000000"/>
      </left>
      <right/>
      <top style="medium">
        <color rgb="FFE26714"/>
      </top>
      <bottom/>
      <diagonal/>
    </border>
    <border>
      <left style="thin">
        <color rgb="FF000000"/>
      </left>
      <right/>
      <top/>
      <bottom style="medium">
        <color rgb="FFE26714"/>
      </bottom>
      <diagonal/>
    </border>
    <border>
      <left style="thin">
        <color rgb="FF000000"/>
      </left>
      <right/>
      <top/>
      <bottom style="medium">
        <color theme="5"/>
      </bottom>
      <diagonal/>
    </border>
    <border>
      <left style="medium">
        <color theme="5"/>
      </left>
      <right/>
      <top/>
      <bottom style="medium">
        <color theme="5"/>
      </bottom>
      <diagonal/>
    </border>
    <border>
      <left/>
      <right style="thin">
        <color rgb="FF000000"/>
      </right>
      <top/>
      <bottom style="medium">
        <color theme="5"/>
      </bottom>
      <diagonal/>
    </border>
    <border>
      <left/>
      <right style="thin">
        <color rgb="FF000000"/>
      </right>
      <top style="medium">
        <color theme="5"/>
      </top>
      <bottom/>
      <diagonal/>
    </border>
    <border>
      <left style="medium">
        <color rgb="FFE26714"/>
      </left>
      <right/>
      <top style="medium">
        <color rgb="FFE26714"/>
      </top>
      <bottom/>
      <diagonal/>
    </border>
    <border>
      <left/>
      <right style="thin">
        <color rgb="FF000000"/>
      </right>
      <top style="medium">
        <color rgb="FFE26714"/>
      </top>
      <bottom/>
      <diagonal/>
    </border>
    <border>
      <left style="medium">
        <color rgb="FFE26714"/>
      </left>
      <right/>
      <top/>
      <bottom style="medium">
        <color rgb="FFE26714"/>
      </bottom>
      <diagonal/>
    </border>
    <border>
      <left/>
      <right style="thin">
        <color rgb="FF000000"/>
      </right>
      <top/>
      <bottom style="medium">
        <color rgb="FFE26714"/>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top/>
      <bottom style="medium">
        <color auto="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right style="medium">
        <color auto="1"/>
      </right>
      <top/>
      <bottom/>
      <diagonal/>
    </border>
    <border>
      <left/>
      <right style="medium">
        <color auto="1"/>
      </right>
      <top/>
      <bottom style="medium">
        <color auto="1"/>
      </bottom>
      <diagonal/>
    </border>
    <border>
      <left/>
      <right style="medium">
        <color rgb="FFA64C0E"/>
      </right>
      <top/>
      <bottom style="medium">
        <color rgb="FFA64C0E"/>
      </bottom>
      <diagonal/>
    </border>
    <border>
      <left style="medium">
        <color rgb="FFA64C0E"/>
      </left>
      <right/>
      <top style="medium">
        <color rgb="FFA64C0E"/>
      </top>
      <bottom/>
      <diagonal/>
    </border>
    <border>
      <left/>
      <right style="thin">
        <color rgb="FF000000"/>
      </right>
      <top style="medium">
        <color rgb="FFA64C0E"/>
      </top>
      <bottom/>
      <diagonal/>
    </border>
    <border>
      <left style="medium">
        <color rgb="FFA64C0E"/>
      </left>
      <right/>
      <top/>
      <bottom style="medium">
        <color rgb="FFA64C0E"/>
      </bottom>
      <diagonal/>
    </border>
    <border>
      <left/>
      <right style="thin">
        <color rgb="FF000000"/>
      </right>
      <top/>
      <bottom style="medium">
        <color rgb="FFA64C0E"/>
      </bottom>
      <diagonal/>
    </border>
    <border>
      <left style="thin">
        <color rgb="FF0070C0"/>
      </left>
      <right style="thin">
        <color rgb="FF000000"/>
      </right>
      <top style="thin">
        <color auto="1"/>
      </top>
      <bottom style="thin">
        <color theme="1"/>
      </bottom>
      <diagonal/>
    </border>
    <border>
      <left style="thin">
        <color theme="1"/>
      </left>
      <right style="thin">
        <color theme="1"/>
      </right>
      <top style="thin">
        <color theme="1"/>
      </top>
      <bottom style="thin">
        <color theme="1"/>
      </bottom>
      <diagonal/>
    </border>
    <border>
      <left style="thin">
        <color theme="0" tint="-0.499984740745262"/>
      </left>
      <right style="hair">
        <color auto="1"/>
      </right>
      <top style="hair">
        <color theme="0" tint="-0.499984740745262"/>
      </top>
      <bottom style="hair">
        <color theme="0" tint="-0.499984740745262"/>
      </bottom>
      <diagonal/>
    </border>
    <border>
      <left style="hair">
        <color auto="1"/>
      </left>
      <right style="hair">
        <color auto="1"/>
      </right>
      <top style="hair">
        <color theme="0" tint="-0.499984740745262"/>
      </top>
      <bottom style="hair">
        <color theme="0" tint="-0.499984740745262"/>
      </bottom>
      <diagonal/>
    </border>
    <border>
      <left style="hair">
        <color auto="1"/>
      </left>
      <right style="thin">
        <color theme="0" tint="-0.499984740745262"/>
      </right>
      <top style="hair">
        <color theme="0" tint="-0.499984740745262"/>
      </top>
      <bottom style="hair">
        <color theme="0" tint="-0.499984740745262"/>
      </bottom>
      <diagonal/>
    </border>
    <border>
      <left style="thin">
        <color theme="0" tint="-0.499984740745262"/>
      </left>
      <right style="hair">
        <color auto="1"/>
      </right>
      <top style="hair">
        <color auto="1"/>
      </top>
      <bottom style="hair">
        <color auto="1"/>
      </bottom>
      <diagonal/>
    </border>
    <border>
      <left style="hair">
        <color auto="1"/>
      </left>
      <right style="thin">
        <color theme="0" tint="-0.499984740745262"/>
      </right>
      <top style="hair">
        <color auto="1"/>
      </top>
      <bottom style="hair">
        <color auto="1"/>
      </bottom>
      <diagonal/>
    </border>
    <border>
      <left style="thin">
        <color theme="0" tint="-0.499984740745262"/>
      </left>
      <right style="hair">
        <color auto="1"/>
      </right>
      <top style="hair">
        <color auto="1"/>
      </top>
      <bottom style="hair">
        <color theme="0" tint="-0.499984740745262"/>
      </bottom>
      <diagonal/>
    </border>
    <border>
      <left style="hair">
        <color auto="1"/>
      </left>
      <right style="hair">
        <color auto="1"/>
      </right>
      <top style="hair">
        <color auto="1"/>
      </top>
      <bottom style="hair">
        <color theme="0" tint="-0.499984740745262"/>
      </bottom>
      <diagonal/>
    </border>
    <border>
      <left style="hair">
        <color auto="1"/>
      </left>
      <right style="thin">
        <color theme="0" tint="-0.499984740745262"/>
      </right>
      <top style="hair">
        <color auto="1"/>
      </top>
      <bottom style="hair">
        <color theme="0" tint="-0.499984740745262"/>
      </bottom>
      <diagonal/>
    </border>
    <border>
      <left/>
      <right style="medium">
        <color rgb="FFE26714"/>
      </right>
      <top style="thin">
        <color rgb="FF000000"/>
      </top>
      <bottom style="thin">
        <color rgb="FF8EA9DB"/>
      </bottom>
      <diagonal/>
    </border>
    <border>
      <left/>
      <right style="medium">
        <color rgb="FFE26714"/>
      </right>
      <top style="thin">
        <color rgb="FF000000"/>
      </top>
      <bottom style="thin">
        <color rgb="FF000000"/>
      </bottom>
      <diagonal/>
    </border>
    <border>
      <left/>
      <right style="medium">
        <color rgb="FFC00000"/>
      </right>
      <top style="thin">
        <color rgb="FF000000"/>
      </top>
      <bottom style="thin">
        <color rgb="FF000000"/>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medium">
        <color rgb="FF00B050"/>
      </left>
      <right/>
      <top/>
      <bottom style="thin">
        <color auto="1"/>
      </bottom>
      <diagonal/>
    </border>
    <border>
      <left/>
      <right style="thin">
        <color rgb="FF000000"/>
      </right>
      <top/>
      <bottom style="thin">
        <color auto="1"/>
      </bottom>
      <diagonal/>
    </border>
    <border>
      <left style="thin">
        <color auto="1"/>
      </left>
      <right/>
      <top/>
      <bottom/>
      <diagonal/>
    </border>
    <border>
      <left style="thin">
        <color auto="1"/>
      </left>
      <right/>
      <top style="thin">
        <color auto="1"/>
      </top>
      <bottom style="medium">
        <color rgb="FF0070C0"/>
      </bottom>
      <diagonal/>
    </border>
    <border>
      <left/>
      <right/>
      <top style="thin">
        <color auto="1"/>
      </top>
      <bottom style="medium">
        <color rgb="FF0070C0"/>
      </bottom>
      <diagonal/>
    </border>
    <border>
      <left/>
      <right style="medium">
        <color rgb="FF0070C0"/>
      </right>
      <top style="thin">
        <color auto="1"/>
      </top>
      <bottom style="medium">
        <color rgb="FF0070C0"/>
      </bottom>
      <diagonal/>
    </border>
    <border>
      <left/>
      <right style="medium">
        <color rgb="FFFF0000"/>
      </right>
      <top style="thin">
        <color auto="1"/>
      </top>
      <bottom style="thin">
        <color auto="1"/>
      </bottom>
      <diagonal/>
    </border>
    <border>
      <left style="thin">
        <color rgb="FF8EA9DB"/>
      </left>
      <right/>
      <top style="thin">
        <color auto="1"/>
      </top>
      <bottom style="thin">
        <color auto="1"/>
      </bottom>
      <diagonal/>
    </border>
    <border>
      <left/>
      <right style="thin">
        <color indexed="64"/>
      </right>
      <top style="thin">
        <color indexed="64"/>
      </top>
      <bottom style="thin">
        <color rgb="FF000000"/>
      </bottom>
      <diagonal/>
    </border>
    <border>
      <left style="thin">
        <color rgb="FF0070C0"/>
      </left>
      <right/>
      <top style="thin">
        <color rgb="FF8EA9DB"/>
      </top>
      <bottom style="thin">
        <color auto="1"/>
      </bottom>
      <diagonal/>
    </border>
    <border>
      <left/>
      <right/>
      <top style="thin">
        <color rgb="FF0070C0"/>
      </top>
      <bottom style="thin">
        <color auto="1"/>
      </bottom>
      <diagonal/>
    </border>
    <border>
      <left/>
      <right style="thin">
        <color rgb="FF0070C0"/>
      </right>
      <top style="thin">
        <color rgb="FF0070C0"/>
      </top>
      <bottom style="thin">
        <color auto="1"/>
      </bottom>
      <diagonal/>
    </border>
    <border>
      <left style="thin">
        <color rgb="FF0070C0"/>
      </left>
      <right/>
      <top style="thin">
        <color auto="1"/>
      </top>
      <bottom style="thin">
        <color auto="1"/>
      </bottom>
      <diagonal/>
    </border>
    <border>
      <left/>
      <right/>
      <top style="medium">
        <color theme="5"/>
      </top>
      <bottom style="thin">
        <color auto="1"/>
      </bottom>
      <diagonal/>
    </border>
    <border>
      <left/>
      <right style="medium">
        <color theme="5"/>
      </right>
      <top style="thin">
        <color rgb="FF0070C0"/>
      </top>
      <bottom style="thin">
        <color auto="1"/>
      </bottom>
      <diagonal/>
    </border>
    <border>
      <left/>
      <right style="thin">
        <color rgb="FF0070C0"/>
      </right>
      <top style="thin">
        <color auto="1"/>
      </top>
      <bottom style="thin">
        <color auto="1"/>
      </bottom>
      <diagonal/>
    </border>
    <border>
      <left/>
      <right style="medium">
        <color theme="5"/>
      </right>
      <top style="thin">
        <color auto="1"/>
      </top>
      <bottom style="thin">
        <color auto="1"/>
      </bottom>
      <diagonal/>
    </border>
    <border>
      <left style="thin">
        <color rgb="FF0070C0"/>
      </left>
      <right/>
      <top style="thin">
        <color auto="1"/>
      </top>
      <bottom style="thin">
        <color rgb="FF8EA9DB"/>
      </bottom>
      <diagonal/>
    </border>
    <border>
      <left/>
      <right style="thin">
        <color rgb="FF0070C0"/>
      </right>
      <top style="thin">
        <color auto="1"/>
      </top>
      <bottom style="thin">
        <color rgb="FF0070C0"/>
      </bottom>
      <diagonal/>
    </border>
    <border>
      <left style="thin">
        <color rgb="FF0070C0"/>
      </left>
      <right/>
      <top/>
      <bottom style="thin">
        <color theme="1"/>
      </bottom>
      <diagonal/>
    </border>
    <border>
      <left/>
      <right/>
      <top style="medium">
        <color theme="5"/>
      </top>
      <bottom style="medium">
        <color theme="5"/>
      </bottom>
      <diagonal/>
    </border>
    <border>
      <left/>
      <right style="thin">
        <color rgb="FF0070C0"/>
      </right>
      <top/>
      <bottom/>
      <diagonal/>
    </border>
    <border>
      <left/>
      <right style="medium">
        <color theme="5"/>
      </right>
      <top/>
      <bottom style="thin">
        <color rgb="FF0070C0"/>
      </bottom>
      <diagonal/>
    </border>
    <border>
      <left style="medium">
        <color rgb="FF0070C0"/>
      </left>
      <right/>
      <top/>
      <bottom style="thin">
        <color auto="1"/>
      </bottom>
      <diagonal/>
    </border>
    <border>
      <left style="thin">
        <color rgb="FF000000"/>
      </left>
      <right/>
      <top/>
      <bottom style="thin">
        <color auto="1"/>
      </bottom>
      <diagonal/>
    </border>
    <border>
      <left/>
      <right style="medium">
        <color rgb="FF0070C0"/>
      </right>
      <top/>
      <bottom style="thin">
        <color auto="1"/>
      </bottom>
      <diagonal/>
    </border>
    <border>
      <left style="medium">
        <color rgb="FF0070C0"/>
      </left>
      <right/>
      <top style="thin">
        <color auto="1"/>
      </top>
      <bottom style="medium">
        <color rgb="FF0070C0"/>
      </bottom>
      <diagonal/>
    </border>
    <border>
      <left/>
      <right style="thin">
        <color rgb="FF000000"/>
      </right>
      <top style="thin">
        <color auto="1"/>
      </top>
      <bottom style="medium">
        <color rgb="FF0070C0"/>
      </bottom>
      <diagonal/>
    </border>
    <border>
      <left style="thin">
        <color rgb="FF000000"/>
      </left>
      <right/>
      <top style="thin">
        <color auto="1"/>
      </top>
      <bottom style="medium">
        <color rgb="FF0070C0"/>
      </bottom>
      <diagonal/>
    </border>
    <border>
      <left style="medium">
        <color rgb="FFFF0000"/>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theme="5"/>
      </left>
      <right/>
      <top/>
      <bottom style="thin">
        <color auto="1"/>
      </bottom>
      <diagonal/>
    </border>
    <border>
      <left style="medium">
        <color theme="5"/>
      </left>
      <right/>
      <top style="thin">
        <color rgb="FF0070C0"/>
      </top>
      <bottom/>
      <diagonal/>
    </border>
    <border>
      <left/>
      <right/>
      <top style="thin">
        <color rgb="FF4472C4"/>
      </top>
      <bottom/>
      <diagonal/>
    </border>
    <border>
      <left/>
      <right/>
      <top style="thin">
        <color rgb="FF0070C0"/>
      </top>
      <bottom/>
      <diagonal/>
    </border>
    <border>
      <left/>
      <right style="medium">
        <color theme="5"/>
      </right>
      <top style="thin">
        <color rgb="FF0070C0"/>
      </top>
      <bottom/>
      <diagonal/>
    </border>
    <border>
      <left/>
      <right style="thin">
        <color rgb="FF0070C0"/>
      </right>
      <top/>
      <bottom style="thin">
        <color theme="1"/>
      </bottom>
      <diagonal/>
    </border>
    <border>
      <left style="thin">
        <color rgb="FF8EA9DB"/>
      </left>
      <right/>
      <top style="medium">
        <color theme="5"/>
      </top>
      <bottom style="thin">
        <color rgb="FF8EA9DB"/>
      </bottom>
      <diagonal/>
    </border>
    <border>
      <left style="thin">
        <color rgb="FF8EA9DB"/>
      </left>
      <right/>
      <top style="thin">
        <color rgb="FF8EA9DB"/>
      </top>
      <bottom style="medium">
        <color theme="5"/>
      </bottom>
      <diagonal/>
    </border>
    <border>
      <left style="thin">
        <color rgb="FF0070C0"/>
      </left>
      <right/>
      <top style="thin">
        <color theme="1"/>
      </top>
      <bottom/>
      <diagonal/>
    </border>
    <border>
      <left/>
      <right style="thin">
        <color rgb="FF0070C0"/>
      </right>
      <top style="thin">
        <color theme="1"/>
      </top>
      <bottom/>
      <diagonal/>
    </border>
    <border>
      <left style="thin">
        <color rgb="FF0070C0"/>
      </left>
      <right/>
      <top style="thin">
        <color auto="1"/>
      </top>
      <bottom/>
      <diagonal/>
    </border>
    <border>
      <left style="medium">
        <color theme="5"/>
      </left>
      <right/>
      <top/>
      <bottom style="medium">
        <color rgb="FF0070C0"/>
      </bottom>
      <diagonal/>
    </border>
    <border>
      <left/>
      <right style="medium">
        <color theme="5"/>
      </right>
      <top/>
      <bottom style="medium">
        <color rgb="FF0070C0"/>
      </bottom>
      <diagonal/>
    </border>
    <border>
      <left style="medium">
        <color theme="5"/>
      </left>
      <right/>
      <top style="medium">
        <color theme="5"/>
      </top>
      <bottom style="thin">
        <color theme="1" tint="4.9989318521683403E-2"/>
      </bottom>
      <diagonal/>
    </border>
    <border>
      <left/>
      <right/>
      <top style="medium">
        <color theme="5"/>
      </top>
      <bottom style="thin">
        <color theme="1" tint="4.9989318521683403E-2"/>
      </bottom>
      <diagonal/>
    </border>
    <border>
      <left style="thin">
        <color rgb="FF8EA9DB"/>
      </left>
      <right/>
      <top style="medium">
        <color theme="5"/>
      </top>
      <bottom style="thin">
        <color theme="1" tint="4.9989318521683403E-2"/>
      </bottom>
      <diagonal/>
    </border>
    <border>
      <left/>
      <right style="thin">
        <color rgb="FF0070C0"/>
      </right>
      <top style="medium">
        <color theme="5"/>
      </top>
      <bottom style="thin">
        <color theme="1" tint="4.9989318521683403E-2"/>
      </bottom>
      <diagonal/>
    </border>
    <border>
      <left/>
      <right style="medium">
        <color theme="5"/>
      </right>
      <top style="medium">
        <color theme="5"/>
      </top>
      <bottom style="thin">
        <color theme="1" tint="4.9989318521683403E-2"/>
      </bottom>
      <diagonal/>
    </border>
    <border>
      <left/>
      <right style="thin">
        <color rgb="FF0070C0"/>
      </right>
      <top/>
      <bottom style="medium">
        <color theme="5"/>
      </bottom>
      <diagonal/>
    </border>
    <border>
      <left style="thin">
        <color rgb="FF8EA9DB"/>
      </left>
      <right/>
      <top/>
      <bottom style="medium">
        <color theme="5"/>
      </bottom>
      <diagonal/>
    </border>
    <border>
      <left style="thin">
        <color rgb="FF0070C0"/>
      </left>
      <right/>
      <top/>
      <bottom style="medium">
        <color theme="5"/>
      </bottom>
      <diagonal/>
    </border>
    <border>
      <left style="thin">
        <color theme="1"/>
      </left>
      <right/>
      <top style="thin">
        <color theme="1"/>
      </top>
      <bottom style="medium">
        <color theme="5"/>
      </bottom>
      <diagonal/>
    </border>
  </borders>
  <cellStyleXfs count="16">
    <xf numFmtId="0" fontId="0" fillId="0" borderId="0"/>
    <xf numFmtId="169"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5" fillId="0" borderId="0" applyNumberFormat="0" applyAlignment="0" applyProtection="0"/>
    <xf numFmtId="0" fontId="5" fillId="0" borderId="0" applyNumberFormat="0" applyFill="0" applyBorder="0" applyAlignment="0" applyProtection="0"/>
    <xf numFmtId="0" fontId="4" fillId="2" borderId="0" applyNumberFormat="0" applyFont="0" applyBorder="0" applyAlignment="0" applyProtection="0"/>
    <xf numFmtId="0" fontId="4" fillId="0" borderId="0" applyNumberFormat="0" applyFont="0" applyFill="0" applyBorder="0" applyAlignment="0" applyProtection="0"/>
    <xf numFmtId="0" fontId="4" fillId="0" borderId="1" applyNumberFormat="0" applyFont="0" applyFill="0" applyAlignment="0" applyProtection="0"/>
    <xf numFmtId="0" fontId="6" fillId="0" borderId="0" applyNumberFormat="0" applyFill="0" applyBorder="0" applyAlignment="0" applyProtection="0"/>
    <xf numFmtId="0" fontId="4" fillId="3" borderId="0" applyNumberFormat="0" applyFont="0" applyBorder="0" applyAlignment="0" applyProtection="0"/>
    <xf numFmtId="0" fontId="6" fillId="3" borderId="0" applyNumberFormat="0" applyBorder="0" applyAlignment="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cellStyleXfs>
  <cellXfs count="1272">
    <xf numFmtId="0" fontId="0" fillId="0" borderId="0" xfId="0"/>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5" fillId="0" borderId="0" xfId="0" applyFont="1" applyAlignment="1">
      <alignment vertical="center"/>
    </xf>
    <xf numFmtId="0" fontId="11" fillId="0" borderId="2" xfId="0" applyFont="1" applyBorder="1" applyAlignment="1">
      <alignment horizontal="left" vertical="center"/>
    </xf>
    <xf numFmtId="0" fontId="12" fillId="0" borderId="0" xfId="0" applyFont="1" applyAlignment="1">
      <alignment vertical="center"/>
    </xf>
    <xf numFmtId="0" fontId="13" fillId="0" borderId="2" xfId="0" applyFont="1" applyBorder="1" applyAlignment="1">
      <alignment horizontal="left"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12" fillId="0" borderId="3" xfId="0" applyFont="1" applyBorder="1" applyAlignment="1">
      <alignment vertical="center"/>
    </xf>
    <xf numFmtId="0" fontId="11" fillId="0" borderId="3" xfId="0" applyFont="1" applyBorder="1" applyAlignment="1">
      <alignment horizontal="righ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4" fillId="0" borderId="3" xfId="0" applyFont="1" applyBorder="1" applyAlignment="1">
      <alignment horizontal="right" vertical="center"/>
    </xf>
    <xf numFmtId="0" fontId="12" fillId="0" borderId="1" xfId="0" applyFont="1" applyBorder="1" applyAlignment="1">
      <alignment vertical="center"/>
    </xf>
    <xf numFmtId="0" fontId="16" fillId="0" borderId="1" xfId="0" applyFont="1" applyBorder="1" applyAlignment="1">
      <alignment vertical="center"/>
    </xf>
    <xf numFmtId="0" fontId="17" fillId="0" borderId="1" xfId="0" applyFont="1" applyBorder="1" applyAlignment="1">
      <alignment vertical="center"/>
    </xf>
    <xf numFmtId="0" fontId="18" fillId="0" borderId="0" xfId="0" applyFont="1" applyAlignment="1">
      <alignment horizontal="right" vertical="center"/>
    </xf>
    <xf numFmtId="0" fontId="16" fillId="0" borderId="0" xfId="0" applyFont="1" applyAlignment="1">
      <alignment horizontal="left" vertical="center"/>
    </xf>
    <xf numFmtId="166" fontId="18" fillId="0" borderId="0" xfId="2" applyFont="1" applyAlignment="1">
      <alignment vertical="center"/>
    </xf>
    <xf numFmtId="0" fontId="17" fillId="0" borderId="0" xfId="0" applyFont="1" applyAlignment="1">
      <alignment vertical="center"/>
    </xf>
    <xf numFmtId="0" fontId="6" fillId="0" borderId="0" xfId="0" applyFont="1" applyAlignment="1">
      <alignment horizontal="center" vertical="center"/>
    </xf>
    <xf numFmtId="0" fontId="25" fillId="0" borderId="6" xfId="0" applyFont="1" applyBorder="1" applyAlignment="1">
      <alignment vertical="center"/>
    </xf>
    <xf numFmtId="0" fontId="25" fillId="0" borderId="3" xfId="0" applyFont="1" applyBorder="1" applyAlignment="1">
      <alignment vertical="center"/>
    </xf>
    <xf numFmtId="0" fontId="24" fillId="0" borderId="3" xfId="0" applyFont="1" applyBorder="1" applyAlignment="1">
      <alignment horizontal="left" vertical="center"/>
    </xf>
    <xf numFmtId="0" fontId="6" fillId="0" borderId="3" xfId="0" applyFont="1" applyBorder="1" applyAlignment="1">
      <alignment horizontal="center" vertical="center"/>
    </xf>
    <xf numFmtId="0" fontId="22" fillId="0" borderId="3" xfId="0" applyFont="1" applyBorder="1" applyAlignment="1">
      <alignment horizontal="center"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2" fillId="0" borderId="9" xfId="0" applyFont="1" applyBorder="1" applyAlignment="1">
      <alignment horizontal="left" vertical="center"/>
    </xf>
    <xf numFmtId="0" fontId="6" fillId="0" borderId="9" xfId="0" applyFont="1" applyBorder="1" applyAlignment="1">
      <alignment vertical="center"/>
    </xf>
    <xf numFmtId="0" fontId="32"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center" vertical="center"/>
    </xf>
    <xf numFmtId="0" fontId="24" fillId="0" borderId="13" xfId="0" applyFont="1" applyBorder="1" applyAlignment="1">
      <alignment horizontal="left" vertical="center"/>
    </xf>
    <xf numFmtId="0" fontId="6" fillId="0" borderId="14" xfId="0" applyFont="1" applyBorder="1" applyAlignment="1">
      <alignment horizontal="center" vertical="center"/>
    </xf>
    <xf numFmtId="0" fontId="22" fillId="0" borderId="14" xfId="0" applyFont="1" applyBorder="1" applyAlignment="1">
      <alignment horizontal="center" vertical="center"/>
    </xf>
    <xf numFmtId="0" fontId="32"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4" fillId="0" borderId="6" xfId="0" applyFont="1" applyBorder="1" applyAlignment="1">
      <alignment horizontal="left" vertical="center"/>
    </xf>
    <xf numFmtId="0" fontId="32" fillId="0" borderId="3" xfId="0" applyFont="1" applyBorder="1" applyAlignment="1">
      <alignment horizontal="center" vertical="center"/>
    </xf>
    <xf numFmtId="0" fontId="6" fillId="0" borderId="17" xfId="0" applyFont="1" applyBorder="1" applyAlignment="1">
      <alignment horizontal="center" vertical="center"/>
    </xf>
    <xf numFmtId="0" fontId="36" fillId="0" borderId="6" xfId="0" applyFont="1" applyBorder="1" applyAlignment="1">
      <alignment horizontal="left" vertical="center"/>
    </xf>
    <xf numFmtId="0" fontId="27" fillId="0" borderId="5" xfId="0" applyFont="1" applyBorder="1" applyAlignment="1">
      <alignment horizontal="right" vertical="center"/>
    </xf>
    <xf numFmtId="0" fontId="34" fillId="0" borderId="5" xfId="0" applyFont="1" applyBorder="1" applyAlignment="1">
      <alignment horizontal="right" vertical="center"/>
    </xf>
    <xf numFmtId="0" fontId="6" fillId="4" borderId="16" xfId="0" applyFont="1" applyFill="1" applyBorder="1" applyAlignment="1">
      <alignment horizontal="center" vertical="center"/>
    </xf>
    <xf numFmtId="0" fontId="6" fillId="7" borderId="18" xfId="0" applyFont="1" applyFill="1" applyBorder="1" applyAlignment="1">
      <alignment horizontal="center" vertical="center"/>
    </xf>
    <xf numFmtId="0" fontId="34" fillId="0" borderId="19" xfId="0" applyFont="1" applyBorder="1" applyAlignment="1">
      <alignment horizontal="right" vertical="center"/>
    </xf>
    <xf numFmtId="0" fontId="24" fillId="0" borderId="21" xfId="0" applyFont="1" applyBorder="1" applyAlignment="1">
      <alignment horizontal="left" vertical="center"/>
    </xf>
    <xf numFmtId="0" fontId="6" fillId="0" borderId="21" xfId="0" applyFont="1" applyBorder="1" applyAlignment="1">
      <alignment horizontal="center" vertical="center"/>
    </xf>
    <xf numFmtId="0" fontId="22" fillId="0" borderId="21" xfId="0" applyFont="1" applyBorder="1" applyAlignment="1">
      <alignment horizontal="center" vertical="center"/>
    </xf>
    <xf numFmtId="0" fontId="32" fillId="0" borderId="21" xfId="0"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0" fillId="0" borderId="7" xfId="0" applyBorder="1" applyAlignment="1">
      <alignment vertical="center"/>
    </xf>
    <xf numFmtId="0" fontId="6" fillId="0" borderId="7" xfId="0" applyFont="1" applyBorder="1" applyAlignment="1">
      <alignment horizontal="right" vertical="center"/>
    </xf>
    <xf numFmtId="0" fontId="32" fillId="0" borderId="7" xfId="0" applyFont="1" applyBorder="1" applyAlignment="1">
      <alignment horizontal="righ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0" fontId="32" fillId="0" borderId="25"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horizontal="center" vertical="center"/>
    </xf>
    <xf numFmtId="0" fontId="24" fillId="0" borderId="30" xfId="0" applyFont="1" applyBorder="1" applyAlignment="1">
      <alignment horizontal="lef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4" fillId="0" borderId="37" xfId="0"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3" xfId="0" applyFont="1" applyBorder="1" applyAlignment="1">
      <alignment horizontal="center" vertical="center"/>
    </xf>
    <xf numFmtId="0" fontId="35" fillId="6" borderId="30" xfId="0" applyFont="1" applyFill="1" applyBorder="1" applyAlignment="1">
      <alignment horizontal="center" vertical="center"/>
    </xf>
    <xf numFmtId="0" fontId="32" fillId="0" borderId="2" xfId="0" applyFont="1" applyBorder="1" applyAlignment="1">
      <alignment horizontal="center" vertical="center"/>
    </xf>
    <xf numFmtId="0" fontId="6" fillId="0" borderId="2" xfId="0" applyFont="1" applyBorder="1" applyAlignment="1">
      <alignment horizontal="center" vertical="center"/>
    </xf>
    <xf numFmtId="0" fontId="6" fillId="0" borderId="39" xfId="0" applyFont="1" applyBorder="1" applyAlignment="1">
      <alignment horizontal="center" vertical="center"/>
    </xf>
    <xf numFmtId="0" fontId="24" fillId="0" borderId="25"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vertical="center"/>
    </xf>
    <xf numFmtId="0" fontId="0" fillId="0" borderId="23" xfId="0" applyBorder="1" applyAlignment="1">
      <alignment vertical="center"/>
    </xf>
    <xf numFmtId="0" fontId="9" fillId="0" borderId="23" xfId="0" applyFont="1" applyBorder="1" applyAlignment="1">
      <alignment vertical="center"/>
    </xf>
    <xf numFmtId="0" fontId="6" fillId="0" borderId="23" xfId="0" applyFont="1" applyBorder="1" applyAlignment="1">
      <alignment horizontal="right" vertical="center"/>
    </xf>
    <xf numFmtId="0" fontId="6" fillId="0" borderId="42" xfId="0" applyFont="1" applyBorder="1" applyAlignment="1">
      <alignment horizontal="center" vertical="center"/>
    </xf>
    <xf numFmtId="0" fontId="25" fillId="0" borderId="44" xfId="0" applyFont="1" applyBorder="1" applyAlignment="1">
      <alignment vertical="center"/>
    </xf>
    <xf numFmtId="0" fontId="25" fillId="0" borderId="2" xfId="0" applyFont="1" applyBorder="1" applyAlignment="1">
      <alignment vertical="center"/>
    </xf>
    <xf numFmtId="0" fontId="27" fillId="0" borderId="43" xfId="0" applyFont="1" applyBorder="1" applyAlignment="1">
      <alignment horizontal="right" vertical="center"/>
    </xf>
    <xf numFmtId="0" fontId="24" fillId="0" borderId="2" xfId="0" applyFont="1" applyBorder="1" applyAlignment="1">
      <alignment horizontal="left" vertical="center"/>
    </xf>
    <xf numFmtId="0" fontId="6" fillId="0" borderId="45" xfId="0" applyFont="1" applyBorder="1" applyAlignment="1">
      <alignment horizontal="center" vertical="center"/>
    </xf>
    <xf numFmtId="0" fontId="32" fillId="0" borderId="0" xfId="0" applyFont="1" applyAlignment="1">
      <alignment vertical="center"/>
    </xf>
    <xf numFmtId="0" fontId="6" fillId="0" borderId="0" xfId="0" applyFont="1" applyAlignment="1">
      <alignment vertical="center"/>
    </xf>
    <xf numFmtId="0" fontId="6" fillId="0" borderId="46" xfId="0" applyFont="1" applyBorder="1" applyAlignment="1">
      <alignment horizontal="center" vertical="center"/>
    </xf>
    <xf numFmtId="0" fontId="25" fillId="0" borderId="48" xfId="0" applyFont="1" applyBorder="1" applyAlignment="1">
      <alignment vertical="center"/>
    </xf>
    <xf numFmtId="0" fontId="24" fillId="0" borderId="49" xfId="0" applyFont="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0" fillId="0" borderId="3" xfId="0" applyBorder="1" applyAlignment="1">
      <alignment horizontal="center" vertical="center"/>
    </xf>
    <xf numFmtId="0" fontId="6" fillId="7" borderId="50" xfId="0" applyFont="1" applyFill="1" applyBorder="1" applyAlignment="1">
      <alignment horizontal="center" vertical="center"/>
    </xf>
    <xf numFmtId="0" fontId="25" fillId="0" borderId="5" xfId="0" applyFont="1" applyBorder="1" applyAlignment="1">
      <alignment horizontal="right" vertical="center"/>
    </xf>
    <xf numFmtId="0" fontId="6" fillId="0" borderId="52" xfId="0" applyFont="1" applyBorder="1" applyAlignment="1">
      <alignment horizontal="center" vertical="center"/>
    </xf>
    <xf numFmtId="0" fontId="25" fillId="0" borderId="53" xfId="0" applyFont="1" applyBorder="1" applyAlignment="1">
      <alignment horizontal="right" vertical="center"/>
    </xf>
    <xf numFmtId="0" fontId="24" fillId="0" borderId="55" xfId="0" applyFont="1" applyBorder="1" applyAlignment="1">
      <alignment horizontal="left" vertical="center"/>
    </xf>
    <xf numFmtId="0" fontId="6" fillId="0" borderId="55" xfId="0" applyFont="1" applyBorder="1" applyAlignment="1">
      <alignment horizontal="center" vertical="center"/>
    </xf>
    <xf numFmtId="0" fontId="22"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7" xfId="0" applyFont="1" applyBorder="1" applyAlignment="1">
      <alignment vertical="center"/>
    </xf>
    <xf numFmtId="0" fontId="0" fillId="0" borderId="57" xfId="0" applyBorder="1" applyAlignment="1">
      <alignment vertical="center"/>
    </xf>
    <xf numFmtId="0" fontId="9" fillId="0" borderId="57" xfId="0" applyFont="1" applyBorder="1" applyAlignment="1">
      <alignment vertical="center"/>
    </xf>
    <xf numFmtId="0" fontId="6" fillId="0" borderId="57" xfId="0" applyFont="1" applyBorder="1" applyAlignment="1">
      <alignment horizontal="right" vertical="center"/>
    </xf>
    <xf numFmtId="0" fontId="25" fillId="0" borderId="13" xfId="0" applyFont="1" applyBorder="1" applyAlignment="1">
      <alignment vertical="center"/>
    </xf>
    <xf numFmtId="0" fontId="27" fillId="0" borderId="12" xfId="0" applyFont="1" applyBorder="1" applyAlignment="1">
      <alignment horizontal="right" vertical="center"/>
    </xf>
    <xf numFmtId="0" fontId="24" fillId="0" borderId="14" xfId="0" applyFont="1" applyBorder="1" applyAlignment="1">
      <alignment horizontal="left" vertical="center"/>
    </xf>
    <xf numFmtId="0" fontId="6" fillId="6" borderId="14" xfId="0" applyFont="1" applyFill="1" applyBorder="1" applyAlignment="1">
      <alignment horizontal="center" vertical="center"/>
    </xf>
    <xf numFmtId="0" fontId="6" fillId="0" borderId="18" xfId="0" applyFont="1" applyBorder="1" applyAlignment="1">
      <alignment horizontal="center" vertical="center"/>
    </xf>
    <xf numFmtId="0" fontId="25" fillId="0" borderId="20" xfId="0" applyFont="1" applyBorder="1" applyAlignment="1">
      <alignment vertical="center"/>
    </xf>
    <xf numFmtId="0" fontId="27" fillId="0" borderId="19" xfId="0" applyFont="1" applyBorder="1" applyAlignment="1">
      <alignment horizontal="right" vertical="center"/>
    </xf>
    <xf numFmtId="0" fontId="9" fillId="0" borderId="7" xfId="0" applyFont="1" applyBorder="1" applyAlignment="1">
      <alignment vertical="center"/>
    </xf>
    <xf numFmtId="0" fontId="0" fillId="0" borderId="1" xfId="0"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6" fillId="0" borderId="6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61" xfId="0" applyFont="1" applyBorder="1" applyAlignment="1">
      <alignment horizontal="center" vertical="center"/>
    </xf>
    <xf numFmtId="0" fontId="6" fillId="0" borderId="62" xfId="0" applyFont="1" applyBorder="1" applyAlignment="1">
      <alignment vertical="center"/>
    </xf>
    <xf numFmtId="0" fontId="25" fillId="0" borderId="5" xfId="0" applyFont="1" applyBorder="1" applyAlignment="1">
      <alignment vertical="center"/>
    </xf>
    <xf numFmtId="0" fontId="6" fillId="0" borderId="0" xfId="0" applyFont="1" applyAlignment="1">
      <alignment horizontal="right" vertical="center"/>
    </xf>
    <xf numFmtId="0" fontId="39"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68" xfId="0" applyFont="1" applyBorder="1" applyAlignment="1">
      <alignment horizontal="center" vertical="center"/>
    </xf>
    <xf numFmtId="0" fontId="24" fillId="0" borderId="70" xfId="0" applyFont="1" applyBorder="1" applyAlignment="1">
      <alignment horizontal="left" vertical="center"/>
    </xf>
    <xf numFmtId="0" fontId="6" fillId="0" borderId="72" xfId="0" applyFont="1" applyBorder="1" applyAlignment="1">
      <alignment horizontal="center" vertical="center"/>
    </xf>
    <xf numFmtId="0" fontId="25" fillId="0" borderId="73" xfId="0" applyFont="1" applyBorder="1" applyAlignment="1">
      <alignment horizontal="right" vertical="center"/>
    </xf>
    <xf numFmtId="0" fontId="24" fillId="0" borderId="74" xfId="0" applyFont="1" applyBorder="1" applyAlignment="1">
      <alignment horizontal="left" vertical="center"/>
    </xf>
    <xf numFmtId="0" fontId="0" fillId="0" borderId="2" xfId="0" applyBorder="1" applyAlignment="1">
      <alignment vertical="center"/>
    </xf>
    <xf numFmtId="0" fontId="6" fillId="0" borderId="75" xfId="0" applyFont="1" applyBorder="1" applyAlignment="1">
      <alignment horizontal="center" vertical="center"/>
    </xf>
    <xf numFmtId="0" fontId="6" fillId="0" borderId="77" xfId="0" applyFont="1" applyBorder="1" applyAlignment="1">
      <alignment horizontal="center" vertical="center"/>
    </xf>
    <xf numFmtId="0" fontId="25" fillId="0" borderId="0" xfId="0" applyFont="1" applyAlignment="1">
      <alignment vertical="center"/>
    </xf>
    <xf numFmtId="0" fontId="0" fillId="0" borderId="3" xfId="0" applyBorder="1" applyAlignment="1">
      <alignment vertical="center"/>
    </xf>
    <xf numFmtId="0" fontId="6" fillId="0" borderId="79" xfId="0" applyFont="1" applyBorder="1" applyAlignment="1">
      <alignment horizontal="center" vertical="center"/>
    </xf>
    <xf numFmtId="0" fontId="0" fillId="0" borderId="81" xfId="0" applyBorder="1" applyAlignment="1">
      <alignment vertical="center"/>
    </xf>
    <xf numFmtId="0" fontId="6" fillId="0" borderId="82" xfId="0" applyFont="1" applyBorder="1" applyAlignment="1">
      <alignment horizontal="center" vertical="center"/>
    </xf>
    <xf numFmtId="0" fontId="25" fillId="0" borderId="86" xfId="0" applyFont="1" applyBorder="1" applyAlignment="1">
      <alignment horizontal="right" vertical="center"/>
    </xf>
    <xf numFmtId="0" fontId="24" fillId="0" borderId="84" xfId="0" applyFont="1" applyBorder="1" applyAlignment="1">
      <alignment horizontal="left" vertical="center"/>
    </xf>
    <xf numFmtId="0" fontId="6" fillId="0" borderId="85" xfId="0" applyFont="1" applyBorder="1" applyAlignment="1">
      <alignment horizontal="center" vertical="center"/>
    </xf>
    <xf numFmtId="0" fontId="22" fillId="0" borderId="85" xfId="0" applyFont="1" applyBorder="1" applyAlignment="1">
      <alignment horizontal="center" vertical="center"/>
    </xf>
    <xf numFmtId="0" fontId="32" fillId="0" borderId="87"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xf>
    <xf numFmtId="0" fontId="6" fillId="0" borderId="89" xfId="0" applyFont="1" applyBorder="1" applyAlignment="1">
      <alignment horizontal="center" vertical="center"/>
    </xf>
    <xf numFmtId="0" fontId="6" fillId="0" borderId="89" xfId="0" applyFont="1" applyBorder="1" applyAlignment="1">
      <alignment vertical="center"/>
    </xf>
    <xf numFmtId="0" fontId="46" fillId="0" borderId="89" xfId="0" applyFont="1" applyBorder="1" applyAlignment="1">
      <alignment horizontal="right" vertical="center"/>
    </xf>
    <xf numFmtId="0" fontId="45" fillId="0" borderId="89" xfId="0" applyFont="1" applyBorder="1" applyAlignment="1">
      <alignment horizontal="left" vertical="center"/>
    </xf>
    <xf numFmtId="0" fontId="39" fillId="0" borderId="89" xfId="0" applyFont="1" applyBorder="1" applyAlignment="1">
      <alignment horizontal="center" vertical="center"/>
    </xf>
    <xf numFmtId="1" fontId="44" fillId="0" borderId="89" xfId="0" applyNumberFormat="1" applyFont="1" applyBorder="1" applyAlignment="1">
      <alignment horizontal="center" vertical="center"/>
    </xf>
    <xf numFmtId="0" fontId="0" fillId="0" borderId="63" xfId="0" applyBorder="1" applyAlignment="1">
      <alignment vertical="center"/>
    </xf>
    <xf numFmtId="0" fontId="0" fillId="0" borderId="92" xfId="0" applyBorder="1" applyAlignment="1">
      <alignment vertical="center"/>
    </xf>
    <xf numFmtId="0" fontId="0" fillId="0" borderId="95" xfId="0" applyBorder="1" applyAlignment="1">
      <alignment vertical="center"/>
    </xf>
    <xf numFmtId="0" fontId="6" fillId="0" borderId="97" xfId="0" applyFont="1" applyBorder="1" applyAlignment="1">
      <alignment horizontal="center" vertical="center"/>
    </xf>
    <xf numFmtId="0" fontId="25" fillId="0" borderId="43" xfId="0" applyFont="1" applyBorder="1" applyAlignment="1">
      <alignment vertical="center"/>
    </xf>
    <xf numFmtId="0" fontId="6" fillId="0" borderId="93"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94" xfId="0" applyFont="1" applyBorder="1" applyAlignment="1">
      <alignment horizontal="center" vertical="center"/>
    </xf>
    <xf numFmtId="0" fontId="25" fillId="0" borderId="102" xfId="0" applyFont="1" applyBorder="1" applyAlignment="1">
      <alignment vertical="center"/>
    </xf>
    <xf numFmtId="0" fontId="25" fillId="0" borderId="101" xfId="0" applyFont="1" applyBorder="1" applyAlignment="1">
      <alignment vertical="center"/>
    </xf>
    <xf numFmtId="0" fontId="24" fillId="0" borderId="95" xfId="0" applyFont="1" applyBorder="1" applyAlignment="1">
      <alignment horizontal="left" vertical="center"/>
    </xf>
    <xf numFmtId="0" fontId="6" fillId="0" borderId="96" xfId="0" applyFont="1" applyBorder="1" applyAlignment="1">
      <alignment horizontal="center" vertical="center"/>
    </xf>
    <xf numFmtId="0" fontId="6" fillId="0" borderId="63" xfId="0" applyFont="1" applyBorder="1" applyAlignment="1">
      <alignment vertical="center"/>
    </xf>
    <xf numFmtId="0" fontId="9" fillId="0" borderId="63" xfId="0" applyFont="1" applyBorder="1" applyAlignment="1">
      <alignment vertical="center"/>
    </xf>
    <xf numFmtId="0" fontId="6" fillId="0" borderId="63" xfId="0" applyFont="1" applyBorder="1" applyAlignment="1">
      <alignment horizontal="right" vertical="center"/>
    </xf>
    <xf numFmtId="0" fontId="30" fillId="0" borderId="63" xfId="0" applyFont="1" applyBorder="1" applyAlignment="1">
      <alignment horizontal="left" vertical="center"/>
    </xf>
    <xf numFmtId="0" fontId="30" fillId="0" borderId="92" xfId="0" applyFont="1" applyBorder="1" applyAlignment="1">
      <alignment horizontal="left" vertical="center"/>
    </xf>
    <xf numFmtId="0" fontId="32" fillId="0" borderId="64" xfId="0" applyFont="1" applyBorder="1" applyAlignment="1">
      <alignment vertical="center"/>
    </xf>
    <xf numFmtId="0" fontId="6" fillId="0" borderId="64" xfId="0" applyFont="1" applyBorder="1" applyAlignment="1">
      <alignment vertical="center"/>
    </xf>
    <xf numFmtId="0" fontId="6" fillId="0" borderId="103" xfId="0" applyFont="1" applyBorder="1" applyAlignment="1">
      <alignment vertical="center"/>
    </xf>
    <xf numFmtId="0" fontId="6" fillId="0" borderId="104" xfId="0" applyFont="1" applyBorder="1" applyAlignment="1">
      <alignment horizontal="center" vertical="center"/>
    </xf>
    <xf numFmtId="0" fontId="25" fillId="0" borderId="90" xfId="0" applyFont="1" applyBorder="1" applyAlignment="1">
      <alignment vertical="center"/>
    </xf>
    <xf numFmtId="0" fontId="25" fillId="0" borderId="105" xfId="0" applyFont="1" applyBorder="1" applyAlignment="1">
      <alignment horizontal="right" vertical="center"/>
    </xf>
    <xf numFmtId="0" fontId="24" fillId="0" borderId="91" xfId="0" applyFont="1" applyBorder="1" applyAlignment="1">
      <alignment horizontal="left" vertical="center"/>
    </xf>
    <xf numFmtId="0" fontId="6" fillId="0" borderId="91" xfId="0" applyFont="1" applyBorder="1" applyAlignment="1">
      <alignment horizontal="center" vertical="center"/>
    </xf>
    <xf numFmtId="0" fontId="22" fillId="0" borderId="91" xfId="0" applyFont="1" applyBorder="1" applyAlignment="1">
      <alignment horizontal="center" vertical="center"/>
    </xf>
    <xf numFmtId="0" fontId="6" fillId="0" borderId="106" xfId="0" applyFont="1" applyBorder="1" applyAlignment="1">
      <alignment horizontal="center" vertical="center"/>
    </xf>
    <xf numFmtId="0" fontId="22" fillId="0" borderId="1" xfId="0" applyFont="1" applyBorder="1" applyAlignment="1">
      <alignment horizontal="center" vertical="center"/>
    </xf>
    <xf numFmtId="0" fontId="6" fillId="7" borderId="94" xfId="0" applyFont="1" applyFill="1" applyBorder="1" applyAlignment="1">
      <alignment horizontal="center" vertical="center"/>
    </xf>
    <xf numFmtId="0" fontId="6" fillId="0" borderId="95" xfId="0" applyFont="1" applyBorder="1" applyAlignment="1">
      <alignment horizontal="center" vertical="center"/>
    </xf>
    <xf numFmtId="0" fontId="22" fillId="0" borderId="95" xfId="0" applyFont="1" applyBorder="1" applyAlignment="1">
      <alignment horizontal="center" vertical="center"/>
    </xf>
    <xf numFmtId="0" fontId="32" fillId="0" borderId="95" xfId="0" applyFont="1" applyBorder="1" applyAlignment="1">
      <alignment horizontal="center" vertical="center"/>
    </xf>
    <xf numFmtId="0" fontId="35" fillId="0" borderId="91" xfId="0" applyFont="1" applyBorder="1" applyAlignment="1">
      <alignment horizontal="center" vertical="center"/>
    </xf>
    <xf numFmtId="1" fontId="26" fillId="0" borderId="101" xfId="0" applyNumberFormat="1" applyFont="1" applyBorder="1" applyAlignment="1">
      <alignment vertical="center"/>
    </xf>
    <xf numFmtId="0" fontId="35" fillId="0" borderId="95" xfId="0" applyFont="1" applyBorder="1" applyAlignment="1">
      <alignment horizontal="center" vertical="center"/>
    </xf>
    <xf numFmtId="0" fontId="6" fillId="0" borderId="111" xfId="0" applyFont="1" applyBorder="1" applyAlignment="1">
      <alignment horizontal="center" vertical="center"/>
    </xf>
    <xf numFmtId="0" fontId="25" fillId="0" borderId="64" xfId="0" applyFont="1" applyBorder="1" applyAlignment="1">
      <alignment vertical="center"/>
    </xf>
    <xf numFmtId="0" fontId="24" fillId="0" borderId="64" xfId="0" applyFont="1" applyBorder="1" applyAlignment="1">
      <alignment horizontal="left" vertical="center"/>
    </xf>
    <xf numFmtId="0" fontId="35" fillId="0" borderId="64" xfId="0" applyFont="1" applyBorder="1" applyAlignment="1">
      <alignment horizontal="center" vertical="center"/>
    </xf>
    <xf numFmtId="0" fontId="22" fillId="0" borderId="64" xfId="0" applyFont="1" applyBorder="1" applyAlignment="1">
      <alignment horizontal="center" vertical="center"/>
    </xf>
    <xf numFmtId="0" fontId="32" fillId="0" borderId="64" xfId="0" applyFont="1" applyBorder="1" applyAlignment="1">
      <alignment horizontal="center" vertical="center"/>
    </xf>
    <xf numFmtId="0" fontId="6" fillId="0" borderId="103" xfId="0" applyFont="1" applyBorder="1" applyAlignment="1">
      <alignment horizontal="center" vertical="center"/>
    </xf>
    <xf numFmtId="0" fontId="5" fillId="0" borderId="63" xfId="0" applyFont="1" applyBorder="1" applyAlignment="1">
      <alignment vertical="center"/>
    </xf>
    <xf numFmtId="0" fontId="25" fillId="0" borderId="43" xfId="0" applyFont="1" applyBorder="1" applyAlignment="1">
      <alignment horizontal="right" vertical="center"/>
    </xf>
    <xf numFmtId="0" fontId="35" fillId="0" borderId="0" xfId="0" applyFont="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22" fillId="0" borderId="2" xfId="0" applyFont="1" applyBorder="1" applyAlignment="1">
      <alignment horizontal="center" vertical="center"/>
    </xf>
    <xf numFmtId="0" fontId="6" fillId="0" borderId="109" xfId="0" applyFont="1" applyBorder="1" applyAlignment="1">
      <alignment vertical="center"/>
    </xf>
    <xf numFmtId="0" fontId="6" fillId="7" borderId="98" xfId="0" applyFont="1" applyFill="1" applyBorder="1" applyAlignment="1">
      <alignment horizontal="center" vertical="center"/>
    </xf>
    <xf numFmtId="0" fontId="25" fillId="0" borderId="110" xfId="0" applyFont="1" applyBorder="1" applyAlignment="1">
      <alignment vertical="center"/>
    </xf>
    <xf numFmtId="0" fontId="24" fillId="0" borderId="102" xfId="0" applyFont="1" applyBorder="1" applyAlignment="1">
      <alignment horizontal="left" vertical="center"/>
    </xf>
    <xf numFmtId="0" fontId="27" fillId="0" borderId="101" xfId="0" applyFont="1" applyBorder="1" applyAlignment="1">
      <alignment horizontal="right" vertical="center"/>
    </xf>
    <xf numFmtId="0" fontId="6" fillId="6" borderId="2" xfId="0" applyFont="1" applyFill="1" applyBorder="1" applyAlignment="1">
      <alignment horizontal="center" vertical="center"/>
    </xf>
    <xf numFmtId="0" fontId="28" fillId="0" borderId="2" xfId="0" applyFont="1" applyBorder="1" applyAlignment="1">
      <alignment vertical="center"/>
    </xf>
    <xf numFmtId="0" fontId="26" fillId="0" borderId="2" xfId="0" applyFont="1" applyBorder="1" applyAlignment="1">
      <alignment horizontal="right" vertical="center"/>
    </xf>
    <xf numFmtId="0" fontId="22" fillId="0" borderId="4" xfId="0" applyFont="1" applyBorder="1" applyAlignment="1">
      <alignment vertical="center"/>
    </xf>
    <xf numFmtId="0" fontId="6" fillId="0" borderId="43" xfId="0" applyFont="1" applyBorder="1" applyAlignment="1">
      <alignment horizontal="right" vertical="center"/>
    </xf>
    <xf numFmtId="0" fontId="19" fillId="0" borderId="3" xfId="0" applyFont="1" applyBorder="1" applyAlignment="1">
      <alignment vertical="center"/>
    </xf>
    <xf numFmtId="0" fontId="9" fillId="0" borderId="3" xfId="0" applyFont="1" applyBorder="1" applyAlignment="1">
      <alignment vertical="center"/>
    </xf>
    <xf numFmtId="0" fontId="0" fillId="0" borderId="5" xfId="0" applyBorder="1" applyAlignment="1">
      <alignment horizontal="right" vertical="center"/>
    </xf>
    <xf numFmtId="0" fontId="19" fillId="0" borderId="2" xfId="0" applyFont="1" applyBorder="1" applyAlignment="1">
      <alignment vertical="center"/>
    </xf>
    <xf numFmtId="0" fontId="9" fillId="0" borderId="2" xfId="0" applyFont="1" applyBorder="1" applyAlignment="1">
      <alignment vertical="center"/>
    </xf>
    <xf numFmtId="0" fontId="19" fillId="0" borderId="1" xfId="0" applyFont="1" applyBorder="1" applyAlignment="1">
      <alignment vertical="center"/>
    </xf>
    <xf numFmtId="0" fontId="5" fillId="0" borderId="1" xfId="0" applyFont="1" applyBorder="1" applyAlignment="1">
      <alignment vertical="center"/>
    </xf>
    <xf numFmtId="0" fontId="49" fillId="0" borderId="3" xfId="0" applyFont="1" applyBorder="1" applyAlignment="1">
      <alignment vertical="center"/>
    </xf>
    <xf numFmtId="0" fontId="8" fillId="0" borderId="3" xfId="0" applyFont="1" applyBorder="1" applyAlignment="1">
      <alignment horizontal="center" vertical="center"/>
    </xf>
    <xf numFmtId="0" fontId="6" fillId="0" borderId="44" xfId="0" applyFont="1" applyBorder="1" applyAlignment="1">
      <alignment horizontal="center" vertical="center"/>
    </xf>
    <xf numFmtId="0" fontId="51" fillId="0" borderId="0" xfId="0" applyFont="1"/>
    <xf numFmtId="0" fontId="52" fillId="0" borderId="0" xfId="0" applyFont="1" applyAlignment="1">
      <alignment horizontal="center" vertical="center"/>
    </xf>
    <xf numFmtId="0" fontId="54" fillId="0" borderId="0" xfId="0" applyFont="1"/>
    <xf numFmtId="0" fontId="55" fillId="0" borderId="0" xfId="0" applyFont="1"/>
    <xf numFmtId="0" fontId="56" fillId="0" borderId="0" xfId="0" applyFont="1"/>
    <xf numFmtId="0" fontId="54" fillId="0" borderId="0" xfId="0" applyFont="1" applyAlignment="1">
      <alignment horizontal="left"/>
    </xf>
    <xf numFmtId="0" fontId="51" fillId="0" borderId="0" xfId="0" applyFont="1" applyAlignment="1">
      <alignment horizontal="right"/>
    </xf>
    <xf numFmtId="166" fontId="54" fillId="0" borderId="0" xfId="0" applyNumberFormat="1" applyFont="1"/>
    <xf numFmtId="0" fontId="51" fillId="0" borderId="4" xfId="0" applyFont="1" applyBorder="1"/>
    <xf numFmtId="0" fontId="51" fillId="0" borderId="107" xfId="0" applyFont="1" applyBorder="1"/>
    <xf numFmtId="0" fontId="54" fillId="0" borderId="59" xfId="0" applyFont="1" applyBorder="1"/>
    <xf numFmtId="0" fontId="51" fillId="0" borderId="6" xfId="0" applyFont="1" applyBorder="1"/>
    <xf numFmtId="0" fontId="54" fillId="0" borderId="5" xfId="0" applyFont="1" applyBorder="1" applyAlignment="1">
      <alignment horizontal="right"/>
    </xf>
    <xf numFmtId="0" fontId="54" fillId="0" borderId="4" xfId="0" applyFont="1" applyBorder="1"/>
    <xf numFmtId="0" fontId="54" fillId="0" borderId="58" xfId="0" applyFont="1" applyBorder="1" applyAlignment="1">
      <alignment horizontal="right"/>
    </xf>
    <xf numFmtId="0" fontId="37" fillId="8" borderId="117" xfId="0" applyFont="1" applyFill="1" applyBorder="1" applyAlignment="1">
      <alignment vertical="center"/>
    </xf>
    <xf numFmtId="0" fontId="57" fillId="8" borderId="118" xfId="0" applyFont="1" applyFill="1" applyBorder="1" applyAlignment="1">
      <alignment horizontal="left" vertical="center"/>
    </xf>
    <xf numFmtId="0" fontId="57" fillId="8" borderId="81" xfId="0" applyFont="1" applyFill="1" applyBorder="1" applyAlignment="1">
      <alignment horizontal="left" vertical="center"/>
    </xf>
    <xf numFmtId="0" fontId="57" fillId="8" borderId="119" xfId="0" applyFont="1" applyFill="1" applyBorder="1" applyAlignment="1">
      <alignment vertical="center"/>
    </xf>
    <xf numFmtId="0" fontId="57" fillId="8" borderId="81" xfId="0" applyFont="1" applyFill="1" applyBorder="1" applyAlignment="1">
      <alignment vertical="center"/>
    </xf>
    <xf numFmtId="0" fontId="33" fillId="8" borderId="81" xfId="0" applyFont="1" applyFill="1" applyBorder="1" applyAlignment="1">
      <alignment vertical="center"/>
    </xf>
    <xf numFmtId="0" fontId="33" fillId="8" borderId="0" xfId="0" applyFont="1" applyFill="1" applyAlignment="1">
      <alignment vertical="center"/>
    </xf>
    <xf numFmtId="0" fontId="19" fillId="0" borderId="117" xfId="0" applyFont="1" applyBorder="1" applyAlignment="1">
      <alignment vertical="center"/>
    </xf>
    <xf numFmtId="0" fontId="0" fillId="0" borderId="118" xfId="0" applyBorder="1" applyAlignment="1">
      <alignment horizontal="center" vertical="center"/>
    </xf>
    <xf numFmtId="0" fontId="0" fillId="0" borderId="81" xfId="0" applyBorder="1" applyAlignment="1">
      <alignment horizontal="center" vertical="center"/>
    </xf>
    <xf numFmtId="0" fontId="0" fillId="0" borderId="119" xfId="0" applyBorder="1" applyAlignment="1">
      <alignment vertical="center"/>
    </xf>
    <xf numFmtId="0" fontId="0" fillId="2" borderId="118" xfId="0" applyFill="1" applyBorder="1" applyAlignment="1">
      <alignment horizontal="center" vertical="center"/>
    </xf>
    <xf numFmtId="0" fontId="0" fillId="2" borderId="81" xfId="0" applyFill="1" applyBorder="1" applyAlignment="1">
      <alignment horizontal="center" vertical="center"/>
    </xf>
    <xf numFmtId="0" fontId="0" fillId="2" borderId="81" xfId="0" applyFill="1" applyBorder="1" applyAlignment="1">
      <alignment vertical="center"/>
    </xf>
    <xf numFmtId="0" fontId="0" fillId="2" borderId="119" xfId="0" applyFill="1" applyBorder="1" applyAlignment="1">
      <alignment vertical="center"/>
    </xf>
    <xf numFmtId="0" fontId="0" fillId="0" borderId="117" xfId="0" applyBorder="1" applyAlignment="1">
      <alignment vertical="center"/>
    </xf>
    <xf numFmtId="0" fontId="19" fillId="0" borderId="117" xfId="0" applyFont="1" applyBorder="1"/>
    <xf numFmtId="0" fontId="0" fillId="0" borderId="118" xfId="0" applyBorder="1" applyAlignment="1">
      <alignment horizontal="left" vertical="center"/>
    </xf>
    <xf numFmtId="0" fontId="19" fillId="0" borderId="0" xfId="0" applyFont="1"/>
    <xf numFmtId="0" fontId="0" fillId="0" borderId="108" xfId="0" applyBorder="1" applyAlignment="1">
      <alignment horizontal="left"/>
    </xf>
    <xf numFmtId="0" fontId="0" fillId="0" borderId="107" xfId="0" applyBorder="1"/>
    <xf numFmtId="0" fontId="0" fillId="2" borderId="108" xfId="0" applyFill="1" applyBorder="1" applyAlignment="1">
      <alignment horizontal="left"/>
    </xf>
    <xf numFmtId="0" fontId="0" fillId="2" borderId="0" xfId="0" applyFill="1"/>
    <xf numFmtId="0" fontId="0" fillId="2" borderId="107" xfId="0" applyFill="1" applyBorder="1"/>
    <xf numFmtId="0" fontId="0" fillId="2" borderId="0" xfId="0" applyFill="1" applyAlignment="1">
      <alignment horizontal="left"/>
    </xf>
    <xf numFmtId="0" fontId="0" fillId="0" borderId="81" xfId="0" applyBorder="1" applyAlignment="1">
      <alignment horizontal="left" vertical="center"/>
    </xf>
    <xf numFmtId="0" fontId="3" fillId="0" borderId="0" xfId="0" applyFont="1" applyAlignment="1">
      <alignment vertical="center"/>
    </xf>
    <xf numFmtId="0" fontId="6" fillId="0" borderId="132" xfId="0" applyFont="1" applyBorder="1" applyAlignment="1">
      <alignment horizontal="center" vertical="center"/>
    </xf>
    <xf numFmtId="0" fontId="69" fillId="0" borderId="7" xfId="0" applyFont="1" applyBorder="1" applyAlignment="1">
      <alignment vertical="center"/>
    </xf>
    <xf numFmtId="0" fontId="69" fillId="0" borderId="8" xfId="0" applyFont="1" applyBorder="1" applyAlignment="1">
      <alignment vertical="center"/>
    </xf>
    <xf numFmtId="0" fontId="0" fillId="0" borderId="113" xfId="0" applyBorder="1"/>
    <xf numFmtId="0" fontId="0" fillId="0" borderId="114" xfId="0" applyBorder="1"/>
    <xf numFmtId="0" fontId="0" fillId="0" borderId="87" xfId="0" applyBorder="1"/>
    <xf numFmtId="0" fontId="0" fillId="0" borderId="115" xfId="0" applyBorder="1"/>
    <xf numFmtId="0" fontId="0" fillId="0" borderId="135" xfId="0" applyBorder="1" applyAlignment="1">
      <alignment vertical="center"/>
    </xf>
    <xf numFmtId="0" fontId="22" fillId="0" borderId="135" xfId="0" applyFont="1" applyBorder="1" applyAlignment="1">
      <alignment horizontal="center" vertical="center"/>
    </xf>
    <xf numFmtId="0" fontId="6" fillId="0" borderId="135" xfId="0" applyFont="1" applyBorder="1" applyAlignment="1">
      <alignment horizontal="center" vertical="center"/>
    </xf>
    <xf numFmtId="0" fontId="32" fillId="0" borderId="137" xfId="0" applyFont="1" applyBorder="1" applyAlignment="1">
      <alignment vertical="center"/>
    </xf>
    <xf numFmtId="0" fontId="68" fillId="0" borderId="69" xfId="0" applyFont="1" applyBorder="1" applyAlignment="1">
      <alignment horizontal="right" vertical="center"/>
    </xf>
    <xf numFmtId="0" fontId="19" fillId="0" borderId="3" xfId="0" applyFont="1" applyBorder="1" applyAlignment="1">
      <alignment horizontal="right" vertical="center"/>
    </xf>
    <xf numFmtId="0" fontId="19" fillId="0" borderId="5" xfId="0" applyFont="1" applyBorder="1" applyAlignment="1">
      <alignment horizontal="right" vertical="center"/>
    </xf>
    <xf numFmtId="0" fontId="27" fillId="0" borderId="58" xfId="0" applyFont="1" applyBorder="1" applyAlignment="1">
      <alignment horizontal="right" vertical="center"/>
    </xf>
    <xf numFmtId="0" fontId="24" fillId="0" borderId="1" xfId="0" applyFont="1" applyBorder="1" applyAlignment="1">
      <alignment horizontal="left" vertical="center"/>
    </xf>
    <xf numFmtId="0" fontId="6" fillId="0" borderId="141" xfId="0" applyFont="1" applyBorder="1" applyAlignment="1">
      <alignment horizontal="center" vertical="center"/>
    </xf>
    <xf numFmtId="0" fontId="28" fillId="0" borderId="63" xfId="0" applyFont="1" applyBorder="1" applyAlignment="1">
      <alignment vertical="center"/>
    </xf>
    <xf numFmtId="0" fontId="28" fillId="0" borderId="64" xfId="0" applyFont="1" applyBorder="1" applyAlignment="1">
      <alignment vertical="center"/>
    </xf>
    <xf numFmtId="0" fontId="64" fillId="0" borderId="0" xfId="0" applyFont="1" applyAlignment="1">
      <alignment horizontal="center" vertical="center"/>
    </xf>
    <xf numFmtId="0" fontId="65" fillId="0" borderId="0" xfId="0" applyFont="1" applyAlignment="1">
      <alignment horizontal="right" vertical="center"/>
    </xf>
    <xf numFmtId="0" fontId="65" fillId="0" borderId="0" xfId="0" applyFont="1" applyAlignment="1">
      <alignment horizontal="left" vertical="center"/>
    </xf>
    <xf numFmtId="0" fontId="66" fillId="0" borderId="0" xfId="0" applyFont="1" applyAlignment="1">
      <alignment horizontal="center" vertical="center"/>
    </xf>
    <xf numFmtId="0" fontId="67" fillId="0" borderId="0" xfId="0" applyFont="1" applyAlignment="1">
      <alignment horizontal="center" vertical="center"/>
    </xf>
    <xf numFmtId="1" fontId="26" fillId="0" borderId="58" xfId="0" applyNumberFormat="1" applyFont="1" applyBorder="1" applyAlignment="1">
      <alignment vertical="center"/>
    </xf>
    <xf numFmtId="0" fontId="38" fillId="0" borderId="1" xfId="0" applyFont="1" applyBorder="1" applyAlignment="1">
      <alignment horizontal="center" vertical="center"/>
    </xf>
    <xf numFmtId="0" fontId="26" fillId="0" borderId="2" xfId="0" applyFont="1" applyBorder="1" applyAlignment="1">
      <alignment horizontal="left"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145"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30" fillId="0" borderId="57" xfId="0" applyFont="1" applyBorder="1" applyAlignment="1">
      <alignment horizontal="left" vertical="center"/>
    </xf>
    <xf numFmtId="0" fontId="30" fillId="0" borderId="149" xfId="0" applyFont="1" applyBorder="1" applyAlignment="1">
      <alignment horizontal="left" vertical="center"/>
    </xf>
    <xf numFmtId="0" fontId="2" fillId="0" borderId="0" xfId="0" applyFont="1" applyAlignment="1">
      <alignment vertical="center"/>
    </xf>
    <xf numFmtId="1" fontId="75" fillId="0" borderId="5" xfId="0" applyNumberFormat="1" applyFont="1" applyBorder="1" applyAlignment="1">
      <alignment vertical="center"/>
    </xf>
    <xf numFmtId="1" fontId="75" fillId="0" borderId="110" xfId="0" applyNumberFormat="1" applyFont="1" applyBorder="1" applyAlignment="1">
      <alignment vertical="center"/>
    </xf>
    <xf numFmtId="0" fontId="50" fillId="0" borderId="3" xfId="0" applyFont="1" applyBorder="1" applyAlignment="1">
      <alignment horizontal="center" wrapText="1"/>
    </xf>
    <xf numFmtId="0" fontId="50" fillId="0" borderId="3" xfId="0" applyFont="1" applyBorder="1" applyAlignment="1">
      <alignment horizontal="center" vertical="center"/>
    </xf>
    <xf numFmtId="0" fontId="50" fillId="0" borderId="3" xfId="0" applyFont="1" applyBorder="1" applyAlignment="1">
      <alignment horizontal="center" vertical="center" wrapText="1"/>
    </xf>
    <xf numFmtId="0" fontId="50" fillId="0" borderId="3" xfId="0" applyFont="1" applyBorder="1" applyAlignment="1">
      <alignment vertical="top"/>
    </xf>
    <xf numFmtId="0" fontId="73" fillId="0" borderId="0" xfId="0" applyFont="1" applyAlignment="1">
      <alignment vertical="center"/>
    </xf>
    <xf numFmtId="0" fontId="6" fillId="0" borderId="155" xfId="0" applyFont="1" applyBorder="1" applyAlignment="1">
      <alignment horizontal="center" vertical="center"/>
    </xf>
    <xf numFmtId="0" fontId="24" fillId="0" borderId="158" xfId="0" applyFont="1" applyBorder="1" applyAlignment="1">
      <alignment horizontal="left" vertical="center"/>
    </xf>
    <xf numFmtId="0" fontId="6" fillId="0" borderId="158" xfId="0" applyFont="1" applyBorder="1" applyAlignment="1">
      <alignment horizontal="center" vertical="center"/>
    </xf>
    <xf numFmtId="0" fontId="22" fillId="0" borderId="158" xfId="0" applyFont="1" applyBorder="1" applyAlignment="1">
      <alignment horizontal="center" vertical="center"/>
    </xf>
    <xf numFmtId="0" fontId="6" fillId="0" borderId="159" xfId="0" applyFont="1" applyBorder="1" applyAlignment="1">
      <alignment horizontal="center" vertical="center"/>
    </xf>
    <xf numFmtId="0" fontId="76" fillId="0" borderId="0" xfId="0" applyFont="1" applyAlignment="1">
      <alignment horizontal="left" vertical="center"/>
    </xf>
    <xf numFmtId="0" fontId="31" fillId="0" borderId="3" xfId="0" applyFont="1" applyBorder="1" applyAlignment="1">
      <alignment horizontal="center" vertical="center"/>
    </xf>
    <xf numFmtId="0" fontId="6" fillId="0" borderId="160" xfId="0" applyFont="1" applyBorder="1" applyAlignment="1">
      <alignment horizontal="center" vertical="center"/>
    </xf>
    <xf numFmtId="0" fontId="39" fillId="0" borderId="160" xfId="0" applyFont="1" applyBorder="1" applyAlignment="1">
      <alignment horizontal="center" vertical="center"/>
    </xf>
    <xf numFmtId="1" fontId="44" fillId="0" borderId="160" xfId="0" applyNumberFormat="1" applyFont="1" applyBorder="1" applyAlignment="1">
      <alignment vertical="center"/>
    </xf>
    <xf numFmtId="0" fontId="39" fillId="0" borderId="161" xfId="0" applyFont="1" applyBorder="1" applyAlignment="1">
      <alignment horizontal="center" vertical="center"/>
    </xf>
    <xf numFmtId="1" fontId="44" fillId="0" borderId="161" xfId="0" applyNumberFormat="1" applyFont="1" applyBorder="1" applyAlignment="1">
      <alignment vertical="center"/>
    </xf>
    <xf numFmtId="0" fontId="38" fillId="0" borderId="2" xfId="0" applyFont="1" applyBorder="1" applyAlignment="1">
      <alignment horizontal="center" vertical="center"/>
    </xf>
    <xf numFmtId="0" fontId="38" fillId="0" borderId="95" xfId="0" applyFont="1" applyBorder="1" applyAlignment="1">
      <alignment horizontal="center" vertical="center"/>
    </xf>
    <xf numFmtId="0" fontId="38" fillId="0" borderId="132" xfId="0" applyFont="1" applyBorder="1" applyAlignment="1">
      <alignment horizontal="center" vertical="center"/>
    </xf>
    <xf numFmtId="0" fontId="38" fillId="0" borderId="64" xfId="0" applyFont="1" applyBorder="1" applyAlignment="1">
      <alignment horizontal="center" vertical="center"/>
    </xf>
    <xf numFmtId="0" fontId="38" fillId="0" borderId="3" xfId="0" applyFont="1" applyBorder="1" applyAlignment="1">
      <alignment horizontal="center" vertical="center"/>
    </xf>
    <xf numFmtId="1" fontId="31" fillId="0" borderId="161" xfId="0" applyNumberFormat="1" applyFont="1" applyBorder="1" applyAlignment="1">
      <alignment vertical="center"/>
    </xf>
    <xf numFmtId="0" fontId="38" fillId="0" borderId="14" xfId="0" applyFont="1" applyBorder="1" applyAlignment="1">
      <alignment horizontal="center" vertical="center"/>
    </xf>
    <xf numFmtId="0" fontId="34" fillId="0" borderId="35" xfId="0" applyFont="1" applyBorder="1" applyAlignment="1">
      <alignment horizontal="right" vertical="center"/>
    </xf>
    <xf numFmtId="0" fontId="34" fillId="0" borderId="47" xfId="0" applyFont="1" applyBorder="1" applyAlignment="1">
      <alignment horizontal="right" vertical="center"/>
    </xf>
    <xf numFmtId="0" fontId="48" fillId="0" borderId="23" xfId="0" applyFont="1" applyBorder="1" applyAlignment="1">
      <alignment vertical="center"/>
    </xf>
    <xf numFmtId="0" fontId="6" fillId="0" borderId="166" xfId="0" applyFont="1" applyBorder="1" applyAlignment="1">
      <alignment horizontal="center" vertical="center"/>
    </xf>
    <xf numFmtId="0" fontId="0" fillId="10" borderId="118" xfId="0" applyFill="1" applyBorder="1" applyAlignment="1">
      <alignment horizontal="center" vertical="center"/>
    </xf>
    <xf numFmtId="0" fontId="0" fillId="10" borderId="81" xfId="0" applyFill="1" applyBorder="1" applyAlignment="1">
      <alignment horizontal="center" vertical="center"/>
    </xf>
    <xf numFmtId="0" fontId="0" fillId="10" borderId="81" xfId="0" applyFill="1" applyBorder="1" applyAlignment="1">
      <alignment vertical="center"/>
    </xf>
    <xf numFmtId="0" fontId="0" fillId="10" borderId="119" xfId="0" applyFill="1" applyBorder="1" applyAlignment="1">
      <alignment vertical="center"/>
    </xf>
    <xf numFmtId="0" fontId="6" fillId="0" borderId="168" xfId="0" applyFont="1" applyBorder="1" applyAlignment="1">
      <alignment horizontal="center" vertical="center"/>
    </xf>
    <xf numFmtId="0" fontId="24" fillId="0" borderId="169" xfId="0" applyFont="1" applyBorder="1" applyAlignment="1">
      <alignment horizontal="left" vertical="center"/>
    </xf>
    <xf numFmtId="0" fontId="6" fillId="0" borderId="169" xfId="0" applyFont="1" applyBorder="1" applyAlignment="1">
      <alignment horizontal="center" vertical="center"/>
    </xf>
    <xf numFmtId="0" fontId="22" fillId="0" borderId="169" xfId="0" applyFont="1" applyBorder="1" applyAlignment="1">
      <alignment horizontal="center" vertical="center"/>
    </xf>
    <xf numFmtId="0" fontId="19" fillId="0" borderId="171" xfId="0" applyFont="1" applyBorder="1"/>
    <xf numFmtId="0" fontId="19" fillId="0" borderId="172" xfId="0" applyFont="1" applyBorder="1"/>
    <xf numFmtId="0" fontId="19" fillId="0" borderId="170" xfId="0" applyFont="1" applyBorder="1" applyAlignment="1">
      <alignment vertical="center"/>
    </xf>
    <xf numFmtId="1" fontId="76" fillId="0" borderId="6" xfId="0" applyNumberFormat="1" applyFont="1" applyBorder="1" applyAlignment="1">
      <alignment horizontal="left" vertical="center"/>
    </xf>
    <xf numFmtId="0" fontId="6" fillId="0" borderId="173" xfId="0" applyFont="1" applyBorder="1" applyAlignment="1">
      <alignment horizontal="center" vertical="center"/>
    </xf>
    <xf numFmtId="0" fontId="6" fillId="0" borderId="175" xfId="0" applyFont="1" applyBorder="1" applyAlignment="1">
      <alignment horizontal="center" vertical="center"/>
    </xf>
    <xf numFmtId="0" fontId="24" fillId="0" borderId="6" xfId="0" applyFont="1" applyBorder="1" applyAlignment="1">
      <alignment vertical="center"/>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6" fillId="0" borderId="178" xfId="0" applyFont="1" applyBorder="1" applyAlignment="1">
      <alignment horizontal="center" vertical="center"/>
    </xf>
    <xf numFmtId="0" fontId="24" fillId="0" borderId="163" xfId="0" applyFont="1" applyBorder="1" applyAlignment="1">
      <alignment horizontal="left" vertical="center"/>
    </xf>
    <xf numFmtId="0" fontId="6" fillId="0" borderId="180" xfId="0" applyFont="1" applyBorder="1" applyAlignment="1">
      <alignment horizontal="center" vertical="center"/>
    </xf>
    <xf numFmtId="0" fontId="0" fillId="0" borderId="64" xfId="0" applyBorder="1" applyAlignment="1">
      <alignment vertical="center"/>
    </xf>
    <xf numFmtId="0" fontId="38" fillId="0" borderId="91" xfId="0" applyFont="1" applyBorder="1" applyAlignment="1">
      <alignment horizontal="center" vertical="center"/>
    </xf>
    <xf numFmtId="0" fontId="35" fillId="0" borderId="1" xfId="0" applyFont="1" applyBorder="1" applyAlignment="1">
      <alignment horizontal="center" vertical="center"/>
    </xf>
    <xf numFmtId="0" fontId="6" fillId="0" borderId="164" xfId="0" applyFont="1" applyBorder="1" applyAlignment="1">
      <alignment horizontal="center" vertical="center"/>
    </xf>
    <xf numFmtId="0" fontId="24" fillId="0" borderId="139" xfId="0" applyFont="1" applyBorder="1" applyAlignment="1">
      <alignment horizontal="left" vertical="center"/>
    </xf>
    <xf numFmtId="0" fontId="35" fillId="0" borderId="139" xfId="0" applyFont="1" applyBorder="1" applyAlignment="1">
      <alignment horizontal="center" vertical="center"/>
    </xf>
    <xf numFmtId="0" fontId="6" fillId="0" borderId="139" xfId="0" applyFont="1" applyBorder="1" applyAlignment="1">
      <alignment horizontal="center" vertical="center"/>
    </xf>
    <xf numFmtId="0" fontId="22" fillId="0" borderId="139" xfId="0" applyFont="1" applyBorder="1" applyAlignment="1">
      <alignment horizontal="center" vertical="center"/>
    </xf>
    <xf numFmtId="0" fontId="6" fillId="0" borderId="165" xfId="0" applyFont="1" applyBorder="1" applyAlignment="1">
      <alignment horizontal="center" vertical="center"/>
    </xf>
    <xf numFmtId="0" fontId="24" fillId="0" borderId="95" xfId="0" applyFont="1" applyBorder="1" applyAlignment="1">
      <alignment vertical="center"/>
    </xf>
    <xf numFmtId="0" fontId="38" fillId="0" borderId="135" xfId="0" applyFont="1" applyBorder="1" applyAlignment="1">
      <alignment horizontal="center" vertical="center"/>
    </xf>
    <xf numFmtId="0" fontId="6" fillId="0" borderId="134" xfId="0" applyFont="1" applyBorder="1" applyAlignment="1">
      <alignment horizontal="center" vertical="center"/>
    </xf>
    <xf numFmtId="0" fontId="38" fillId="0" borderId="3" xfId="0" applyFont="1" applyBorder="1" applyAlignment="1">
      <alignment vertical="center"/>
    </xf>
    <xf numFmtId="1" fontId="44" fillId="0" borderId="0" xfId="0" applyNumberFormat="1" applyFont="1" applyAlignment="1">
      <alignment vertical="center"/>
    </xf>
    <xf numFmtId="1" fontId="44" fillId="0" borderId="187" xfId="0" applyNumberFormat="1" applyFont="1" applyBorder="1" applyAlignment="1">
      <alignment vertical="center"/>
    </xf>
    <xf numFmtId="0" fontId="58" fillId="0" borderId="188" xfId="0" applyFont="1" applyBorder="1" applyAlignment="1">
      <alignment horizontal="center" vertical="center"/>
    </xf>
    <xf numFmtId="1" fontId="44" fillId="0" borderId="189" xfId="0" applyNumberFormat="1" applyFont="1" applyBorder="1" applyAlignment="1">
      <alignment vertical="center"/>
    </xf>
    <xf numFmtId="0" fontId="58" fillId="0" borderId="190" xfId="0" applyFont="1" applyBorder="1" applyAlignment="1">
      <alignment horizontal="center" vertical="center"/>
    </xf>
    <xf numFmtId="0" fontId="58" fillId="0" borderId="191" xfId="0" applyFont="1" applyBorder="1" applyAlignment="1">
      <alignment horizontal="center" vertical="center"/>
    </xf>
    <xf numFmtId="0" fontId="58" fillId="0" borderId="192" xfId="0" applyFont="1" applyBorder="1" applyAlignment="1">
      <alignment horizontal="center" vertical="center"/>
    </xf>
    <xf numFmtId="0" fontId="58" fillId="0" borderId="193" xfId="0" applyFont="1" applyBorder="1" applyAlignment="1">
      <alignment horizontal="center" vertical="center"/>
    </xf>
    <xf numFmtId="0" fontId="6" fillId="0" borderId="196" xfId="0" applyFont="1" applyBorder="1" applyAlignment="1">
      <alignment horizontal="center" vertical="center"/>
    </xf>
    <xf numFmtId="0" fontId="39" fillId="0" borderId="196" xfId="0" applyFont="1" applyBorder="1" applyAlignment="1">
      <alignment horizontal="center" vertical="center"/>
    </xf>
    <xf numFmtId="1" fontId="44" fillId="0" borderId="196" xfId="0" applyNumberFormat="1" applyFont="1" applyBorder="1" applyAlignment="1">
      <alignment vertical="center"/>
    </xf>
    <xf numFmtId="1" fontId="31" fillId="0" borderId="196" xfId="0" applyNumberFormat="1" applyFont="1" applyBorder="1" applyAlignment="1">
      <alignment vertical="center"/>
    </xf>
    <xf numFmtId="1" fontId="44" fillId="0" borderId="197" xfId="0" applyNumberFormat="1" applyFont="1" applyBorder="1" applyAlignment="1">
      <alignment vertical="center"/>
    </xf>
    <xf numFmtId="0" fontId="41" fillId="11" borderId="184" xfId="0" applyFont="1" applyFill="1" applyBorder="1" applyAlignment="1">
      <alignment vertical="center"/>
    </xf>
    <xf numFmtId="0" fontId="42" fillId="11" borderId="185" xfId="0" applyFont="1" applyFill="1" applyBorder="1" applyAlignment="1">
      <alignment vertical="center"/>
    </xf>
    <xf numFmtId="0" fontId="68" fillId="0" borderId="194" xfId="0" applyFont="1" applyBorder="1" applyAlignment="1">
      <alignment horizontal="right" vertical="center"/>
    </xf>
    <xf numFmtId="0" fontId="58" fillId="0" borderId="200" xfId="0" applyFont="1" applyBorder="1" applyAlignment="1">
      <alignment horizontal="center" vertical="center"/>
    </xf>
    <xf numFmtId="0" fontId="59" fillId="0" borderId="204" xfId="0" applyFont="1" applyBorder="1" applyAlignment="1">
      <alignment horizontal="left" vertical="center"/>
    </xf>
    <xf numFmtId="0" fontId="6" fillId="0" borderId="201" xfId="0" applyFont="1" applyBorder="1" applyAlignment="1">
      <alignment horizontal="center" vertical="center"/>
    </xf>
    <xf numFmtId="0" fontId="39" fillId="0" borderId="201" xfId="0" applyFont="1" applyBorder="1" applyAlignment="1">
      <alignment horizontal="center" vertical="center"/>
    </xf>
    <xf numFmtId="1" fontId="31" fillId="0" borderId="201" xfId="0" applyNumberFormat="1" applyFont="1" applyBorder="1" applyAlignment="1">
      <alignment vertical="center"/>
    </xf>
    <xf numFmtId="0" fontId="58" fillId="0" borderId="206" xfId="0" applyFont="1" applyBorder="1" applyAlignment="1">
      <alignment horizontal="center" vertical="center"/>
    </xf>
    <xf numFmtId="0" fontId="6" fillId="0" borderId="136" xfId="0" applyFont="1" applyBorder="1" applyAlignment="1">
      <alignment horizontal="center" vertical="center"/>
    </xf>
    <xf numFmtId="0" fontId="39" fillId="0" borderId="136" xfId="0" applyFont="1" applyBorder="1" applyAlignment="1">
      <alignment horizontal="center" vertical="center"/>
    </xf>
    <xf numFmtId="1" fontId="44" fillId="0" borderId="136" xfId="0" applyNumberFormat="1" applyFont="1" applyBorder="1" applyAlignment="1">
      <alignment vertical="center"/>
    </xf>
    <xf numFmtId="1" fontId="31" fillId="0" borderId="136" xfId="0" applyNumberFormat="1" applyFont="1" applyBorder="1" applyAlignment="1">
      <alignment vertical="center"/>
    </xf>
    <xf numFmtId="1" fontId="44" fillId="0" borderId="209" xfId="0" applyNumberFormat="1" applyFont="1" applyBorder="1" applyAlignment="1">
      <alignment vertical="center"/>
    </xf>
    <xf numFmtId="0" fontId="58" fillId="0" borderId="213" xfId="0" applyFont="1" applyBorder="1" applyAlignment="1">
      <alignment horizontal="center" vertical="center"/>
    </xf>
    <xf numFmtId="1" fontId="82" fillId="0" borderId="136" xfId="0" applyNumberFormat="1" applyFont="1" applyBorder="1" applyAlignment="1">
      <alignment vertical="center"/>
    </xf>
    <xf numFmtId="1" fontId="82" fillId="0" borderId="201" xfId="0" applyNumberFormat="1" applyFont="1" applyBorder="1" applyAlignment="1">
      <alignment vertical="center"/>
    </xf>
    <xf numFmtId="1" fontId="82" fillId="0" borderId="160" xfId="0" applyNumberFormat="1" applyFont="1" applyBorder="1" applyAlignment="1">
      <alignment vertical="center"/>
    </xf>
    <xf numFmtId="1" fontId="82" fillId="0" borderId="161" xfId="0" applyNumberFormat="1" applyFont="1" applyBorder="1" applyAlignment="1">
      <alignment vertical="center"/>
    </xf>
    <xf numFmtId="0" fontId="19" fillId="0" borderId="102" xfId="0" applyFont="1" applyBorder="1" applyAlignment="1">
      <alignment vertical="center"/>
    </xf>
    <xf numFmtId="0" fontId="22" fillId="0" borderId="211" xfId="0" applyFont="1" applyBorder="1" applyAlignment="1">
      <alignment horizontal="center" vertical="center"/>
    </xf>
    <xf numFmtId="0" fontId="6" fillId="0" borderId="214" xfId="0" applyFont="1" applyBorder="1" applyAlignment="1">
      <alignment horizontal="center" vertical="center"/>
    </xf>
    <xf numFmtId="0" fontId="39" fillId="0" borderId="214" xfId="0" applyFont="1" applyBorder="1" applyAlignment="1">
      <alignment horizontal="center" vertical="center"/>
    </xf>
    <xf numFmtId="1" fontId="82" fillId="0" borderId="214" xfId="0" applyNumberFormat="1" applyFont="1" applyBorder="1" applyAlignment="1">
      <alignment vertical="center"/>
    </xf>
    <xf numFmtId="1" fontId="44" fillId="0" borderId="214" xfId="0" applyNumberFormat="1" applyFont="1" applyBorder="1" applyAlignment="1">
      <alignment vertical="center"/>
    </xf>
    <xf numFmtId="1" fontId="31" fillId="0" borderId="214" xfId="0" applyNumberFormat="1" applyFont="1" applyBorder="1" applyAlignment="1">
      <alignment vertical="center"/>
    </xf>
    <xf numFmtId="1" fontId="44" fillId="0" borderId="217" xfId="0" applyNumberFormat="1" applyFont="1" applyBorder="1" applyAlignment="1">
      <alignment vertical="center"/>
    </xf>
    <xf numFmtId="0" fontId="23" fillId="0" borderId="1" xfId="0" applyFont="1" applyBorder="1" applyAlignment="1">
      <alignment horizontal="center" vertical="center"/>
    </xf>
    <xf numFmtId="0" fontId="23" fillId="0" borderId="58" xfId="0" applyFont="1" applyBorder="1" applyAlignment="1">
      <alignment horizontal="center" vertical="center"/>
    </xf>
    <xf numFmtId="0" fontId="71" fillId="11" borderId="184" xfId="0" applyFont="1" applyFill="1" applyBorder="1" applyAlignment="1">
      <alignment horizontal="center" vertical="center"/>
    </xf>
    <xf numFmtId="0" fontId="77" fillId="0" borderId="0" xfId="0" applyFont="1" applyAlignment="1">
      <alignment vertical="center"/>
    </xf>
    <xf numFmtId="0" fontId="77" fillId="4" borderId="0" xfId="0" applyFont="1" applyFill="1" applyAlignment="1">
      <alignment vertical="center"/>
    </xf>
    <xf numFmtId="0" fontId="86" fillId="0" borderId="0" xfId="0" applyFont="1"/>
    <xf numFmtId="0" fontId="35" fillId="0" borderId="14" xfId="0" applyFont="1" applyBorder="1" applyAlignment="1">
      <alignment horizontal="center" vertical="center"/>
    </xf>
    <xf numFmtId="0" fontId="25" fillId="0" borderId="0" xfId="0" applyFont="1"/>
    <xf numFmtId="0" fontId="0" fillId="0" borderId="225" xfId="0" applyBorder="1"/>
    <xf numFmtId="0" fontId="0" fillId="0" borderId="226" xfId="0" applyBorder="1"/>
    <xf numFmtId="0" fontId="0" fillId="0" borderId="229" xfId="0" applyBorder="1"/>
    <xf numFmtId="0" fontId="6" fillId="0" borderId="222" xfId="0" applyFont="1" applyBorder="1"/>
    <xf numFmtId="0" fontId="6" fillId="0" borderId="222" xfId="0" applyFont="1" applyBorder="1" applyAlignment="1">
      <alignment horizontal="center"/>
    </xf>
    <xf numFmtId="0" fontId="6" fillId="0" borderId="225" xfId="0" applyFont="1" applyBorder="1" applyAlignment="1">
      <alignment horizontal="center"/>
    </xf>
    <xf numFmtId="0" fontId="6" fillId="0" borderId="228" xfId="0" applyFont="1" applyBorder="1" applyAlignment="1">
      <alignment horizontal="center"/>
    </xf>
    <xf numFmtId="0" fontId="6" fillId="0" borderId="0" xfId="0" applyFont="1" applyAlignment="1">
      <alignment horizontal="center"/>
    </xf>
    <xf numFmtId="0" fontId="0" fillId="0" borderId="0" xfId="0" applyAlignment="1">
      <alignment horizontal="right"/>
    </xf>
    <xf numFmtId="0" fontId="29" fillId="0" borderId="0" xfId="0" applyFont="1"/>
    <xf numFmtId="0" fontId="0" fillId="0" borderId="0" xfId="0" applyAlignment="1">
      <alignment horizontal="center"/>
    </xf>
    <xf numFmtId="0" fontId="87" fillId="0" borderId="0" xfId="0" applyFont="1" applyAlignment="1">
      <alignment horizontal="right"/>
    </xf>
    <xf numFmtId="0" fontId="87" fillId="0" borderId="0" xfId="0" applyFont="1" applyAlignment="1">
      <alignment horizontal="left"/>
    </xf>
    <xf numFmtId="0" fontId="72" fillId="12" borderId="0" xfId="0" applyFont="1" applyFill="1"/>
    <xf numFmtId="0" fontId="78" fillId="0" borderId="234" xfId="0" applyFont="1" applyBorder="1"/>
    <xf numFmtId="0" fontId="78" fillId="0" borderId="236" xfId="0" applyFont="1" applyBorder="1"/>
    <xf numFmtId="0" fontId="78" fillId="0" borderId="238" xfId="0" applyFont="1" applyBorder="1"/>
    <xf numFmtId="0" fontId="24" fillId="0" borderId="235" xfId="0" applyFont="1" applyBorder="1"/>
    <xf numFmtId="0" fontId="24" fillId="0" borderId="237" xfId="0" applyFont="1" applyBorder="1"/>
    <xf numFmtId="0" fontId="24" fillId="0" borderId="239" xfId="0" applyFont="1" applyBorder="1"/>
    <xf numFmtId="0" fontId="24" fillId="0" borderId="234" xfId="0" applyFont="1" applyBorder="1"/>
    <xf numFmtId="0" fontId="24" fillId="0" borderId="236" xfId="0" applyFont="1" applyBorder="1"/>
    <xf numFmtId="0" fontId="24" fillId="0" borderId="238" xfId="0" applyFont="1" applyBorder="1"/>
    <xf numFmtId="0" fontId="19" fillId="0" borderId="231" xfId="0" applyFont="1" applyBorder="1"/>
    <xf numFmtId="0" fontId="19" fillId="0" borderId="232" xfId="0" applyFont="1" applyBorder="1"/>
    <xf numFmtId="0" fontId="19" fillId="0" borderId="233" xfId="0" applyFont="1" applyBorder="1"/>
    <xf numFmtId="0" fontId="24" fillId="0" borderId="240" xfId="0" applyFont="1" applyBorder="1"/>
    <xf numFmtId="0" fontId="24" fillId="0" borderId="241" xfId="0" applyFont="1" applyBorder="1"/>
    <xf numFmtId="0" fontId="24" fillId="0" borderId="242" xfId="0" applyFont="1" applyBorder="1"/>
    <xf numFmtId="0" fontId="0" fillId="0" borderId="227" xfId="0" applyBorder="1"/>
    <xf numFmtId="0" fontId="6" fillId="0" borderId="223" xfId="0" applyFont="1" applyBorder="1"/>
    <xf numFmtId="0" fontId="6" fillId="0" borderId="224" xfId="0" applyFont="1" applyBorder="1"/>
    <xf numFmtId="0" fontId="89" fillId="0" borderId="0" xfId="0" applyFont="1" applyAlignment="1">
      <alignment horizontal="right"/>
    </xf>
    <xf numFmtId="0" fontId="89" fillId="0" borderId="0" xfId="0" applyFont="1" applyAlignment="1">
      <alignment horizontal="left"/>
    </xf>
    <xf numFmtId="0" fontId="6" fillId="0" borderId="223" xfId="0" applyFont="1" applyBorder="1" applyAlignment="1">
      <alignment horizontal="center"/>
    </xf>
    <xf numFmtId="0" fontId="0" fillId="0" borderId="226" xfId="0" applyBorder="1" applyAlignment="1">
      <alignment horizontal="center"/>
    </xf>
    <xf numFmtId="0" fontId="0" fillId="0" borderId="229" xfId="0" applyBorder="1" applyAlignment="1">
      <alignment horizontal="center"/>
    </xf>
    <xf numFmtId="0" fontId="0" fillId="13" borderId="0" xfId="0" applyFill="1"/>
    <xf numFmtId="0" fontId="0" fillId="0" borderId="0" xfId="0" applyAlignment="1">
      <alignment horizontal="left"/>
    </xf>
    <xf numFmtId="0" fontId="0" fillId="14" borderId="0" xfId="0" applyFill="1"/>
    <xf numFmtId="0" fontId="0" fillId="0" borderId="227" xfId="0" applyBorder="1" applyAlignment="1">
      <alignment horizontal="center"/>
    </xf>
    <xf numFmtId="0" fontId="6" fillId="0" borderId="225" xfId="0" applyFont="1" applyBorder="1"/>
    <xf numFmtId="0" fontId="6" fillId="0" borderId="228" xfId="0" applyFont="1" applyBorder="1"/>
    <xf numFmtId="0" fontId="0" fillId="0" borderId="223" xfId="0" applyBorder="1" applyAlignment="1">
      <alignment horizontal="center"/>
    </xf>
    <xf numFmtId="0" fontId="0" fillId="0" borderId="224" xfId="0" applyBorder="1" applyAlignment="1">
      <alignment horizontal="center"/>
    </xf>
    <xf numFmtId="0" fontId="0" fillId="0" borderId="230" xfId="0" applyBorder="1" applyAlignment="1">
      <alignment horizontal="center"/>
    </xf>
    <xf numFmtId="0" fontId="0" fillId="0" borderId="245" xfId="0" applyBorder="1"/>
    <xf numFmtId="0" fontId="0" fillId="0" borderId="246" xfId="0" applyBorder="1"/>
    <xf numFmtId="0" fontId="6" fillId="0" borderId="232" xfId="0" applyFont="1" applyBorder="1" applyAlignment="1">
      <alignment horizontal="center"/>
    </xf>
    <xf numFmtId="0" fontId="6" fillId="0" borderId="233" xfId="0" applyFont="1" applyBorder="1" applyAlignment="1">
      <alignment horizontal="center"/>
    </xf>
    <xf numFmtId="0" fontId="0" fillId="0" borderId="232" xfId="0" applyBorder="1" applyAlignment="1">
      <alignment horizontal="center"/>
    </xf>
    <xf numFmtId="0" fontId="0" fillId="0" borderId="233" xfId="0" applyBorder="1" applyAlignment="1">
      <alignment horizontal="center"/>
    </xf>
    <xf numFmtId="0" fontId="22" fillId="0" borderId="247" xfId="0" applyFont="1" applyBorder="1" applyAlignment="1">
      <alignment horizontal="right"/>
    </xf>
    <xf numFmtId="0" fontId="6" fillId="0" borderId="243" xfId="0" applyFont="1" applyBorder="1" applyAlignment="1">
      <alignment horizontal="center"/>
    </xf>
    <xf numFmtId="0" fontId="6" fillId="0" borderId="248" xfId="0" applyFont="1" applyBorder="1" applyAlignment="1">
      <alignment horizontal="center"/>
    </xf>
    <xf numFmtId="0" fontId="85" fillId="0" borderId="0" xfId="0" applyFont="1"/>
    <xf numFmtId="0" fontId="6" fillId="0" borderId="0" xfId="0" applyFont="1"/>
    <xf numFmtId="0" fontId="58" fillId="0" borderId="222" xfId="0" applyFont="1" applyBorder="1" applyAlignment="1">
      <alignment horizontal="center"/>
    </xf>
    <xf numFmtId="0" fontId="58" fillId="0" borderId="225" xfId="0" applyFont="1" applyBorder="1" applyAlignment="1">
      <alignment horizontal="center"/>
    </xf>
    <xf numFmtId="0" fontId="58" fillId="0" borderId="228" xfId="0" applyFont="1" applyBorder="1" applyAlignment="1">
      <alignment horizontal="center"/>
    </xf>
    <xf numFmtId="0" fontId="6" fillId="0" borderId="250" xfId="0" applyFont="1" applyBorder="1" applyAlignment="1">
      <alignment horizontal="center" vertical="center"/>
    </xf>
    <xf numFmtId="0" fontId="32" fillId="0" borderId="139" xfId="0" applyFont="1" applyBorder="1" applyAlignment="1">
      <alignment horizontal="center"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58" xfId="0" applyFont="1" applyBorder="1" applyAlignment="1">
      <alignment horizontal="left" vertical="center"/>
    </xf>
    <xf numFmtId="0" fontId="28" fillId="0" borderId="43" xfId="0" applyFont="1" applyBorder="1" applyAlignment="1">
      <alignment horizontal="left" vertical="center"/>
    </xf>
    <xf numFmtId="0" fontId="0" fillId="0" borderId="237" xfId="0" applyBorder="1"/>
    <xf numFmtId="0" fontId="0" fillId="0" borderId="239" xfId="0" applyBorder="1"/>
    <xf numFmtId="0" fontId="0" fillId="0" borderId="255" xfId="0" applyBorder="1"/>
    <xf numFmtId="0" fontId="0" fillId="0" borderId="256" xfId="0" applyBorder="1"/>
    <xf numFmtId="0" fontId="6" fillId="0" borderId="257" xfId="0" applyFont="1" applyBorder="1" applyAlignment="1">
      <alignment horizontal="center"/>
    </xf>
    <xf numFmtId="2" fontId="0" fillId="0" borderId="0" xfId="0" applyNumberFormat="1"/>
    <xf numFmtId="0" fontId="0" fillId="15" borderId="0" xfId="0" applyFill="1"/>
    <xf numFmtId="0" fontId="0" fillId="16" borderId="0" xfId="0" applyFill="1"/>
    <xf numFmtId="0" fontId="0" fillId="17" borderId="0" xfId="0" applyFill="1"/>
    <xf numFmtId="171" fontId="0" fillId="0" borderId="0" xfId="0" applyNumberFormat="1"/>
    <xf numFmtId="0" fontId="0" fillId="0" borderId="245" xfId="0" applyBorder="1" applyAlignment="1">
      <alignment horizontal="center"/>
    </xf>
    <xf numFmtId="0" fontId="0" fillId="0" borderId="246" xfId="0" applyBorder="1" applyAlignment="1">
      <alignment horizontal="center"/>
    </xf>
    <xf numFmtId="0" fontId="6" fillId="0" borderId="0" xfId="0" applyFont="1" applyAlignment="1">
      <alignment horizontal="right"/>
    </xf>
    <xf numFmtId="0" fontId="0" fillId="0" borderId="228" xfId="0" applyBorder="1"/>
    <xf numFmtId="164" fontId="19" fillId="0" borderId="3" xfId="0" applyNumberFormat="1" applyFont="1" applyBorder="1" applyAlignment="1">
      <alignment horizontal="right" vertical="center"/>
    </xf>
    <xf numFmtId="164" fontId="19" fillId="0" borderId="5" xfId="0" applyNumberFormat="1" applyFont="1" applyBorder="1" applyAlignment="1">
      <alignment horizontal="right" vertical="center"/>
    </xf>
    <xf numFmtId="0" fontId="19" fillId="0" borderId="3" xfId="0" applyFont="1" applyBorder="1" applyAlignment="1">
      <alignment horizontal="left" vertical="center"/>
    </xf>
    <xf numFmtId="0" fontId="25" fillId="0" borderId="234" xfId="0" applyFont="1" applyBorder="1"/>
    <xf numFmtId="0" fontId="25" fillId="0" borderId="236" xfId="0" applyFont="1" applyBorder="1"/>
    <xf numFmtId="0" fontId="25" fillId="0" borderId="238" xfId="0" applyFont="1" applyBorder="1"/>
    <xf numFmtId="0" fontId="25" fillId="0" borderId="234" xfId="0" applyFont="1" applyBorder="1" applyAlignment="1">
      <alignment horizontal="left"/>
    </xf>
    <xf numFmtId="0" fontId="25" fillId="0" borderId="236" xfId="0" applyFont="1" applyBorder="1" applyAlignment="1">
      <alignment horizontal="left"/>
    </xf>
    <xf numFmtId="0" fontId="25" fillId="0" borderId="238" xfId="0" applyFont="1" applyBorder="1" applyAlignment="1">
      <alignment horizontal="left"/>
    </xf>
    <xf numFmtId="0" fontId="25" fillId="0" borderId="0" xfId="0" applyFont="1" applyAlignment="1">
      <alignment horizontal="left"/>
    </xf>
    <xf numFmtId="0" fontId="26" fillId="0" borderId="0" xfId="0" applyFont="1" applyAlignment="1">
      <alignment horizontal="center"/>
    </xf>
    <xf numFmtId="0" fontId="90" fillId="0" borderId="0" xfId="0" applyFont="1"/>
    <xf numFmtId="0" fontId="0" fillId="18" borderId="0" xfId="0" applyFill="1"/>
    <xf numFmtId="0" fontId="0" fillId="19" borderId="0" xfId="0" applyFill="1"/>
    <xf numFmtId="0" fontId="6" fillId="0" borderId="231" xfId="0" applyFont="1" applyBorder="1" applyAlignment="1">
      <alignment horizontal="center"/>
    </xf>
    <xf numFmtId="1" fontId="0" fillId="0" borderId="0" xfId="0" applyNumberFormat="1"/>
    <xf numFmtId="0" fontId="6" fillId="20" borderId="222" xfId="0" applyFont="1" applyFill="1" applyBorder="1"/>
    <xf numFmtId="0" fontId="6" fillId="20" borderId="244" xfId="0" applyFont="1" applyFill="1" applyBorder="1"/>
    <xf numFmtId="0" fontId="6" fillId="20" borderId="223" xfId="0" applyFont="1" applyFill="1" applyBorder="1"/>
    <xf numFmtId="0" fontId="6" fillId="20" borderId="231" xfId="0" applyFont="1" applyFill="1" applyBorder="1"/>
    <xf numFmtId="0" fontId="0" fillId="15" borderId="225" xfId="0" applyFill="1" applyBorder="1"/>
    <xf numFmtId="0" fontId="0" fillId="15" borderId="245" xfId="0" applyFill="1" applyBorder="1" applyAlignment="1">
      <alignment horizontal="center"/>
    </xf>
    <xf numFmtId="0" fontId="0" fillId="15" borderId="226" xfId="0" applyFill="1" applyBorder="1"/>
    <xf numFmtId="0" fontId="6" fillId="15" borderId="232" xfId="0" applyFont="1" applyFill="1" applyBorder="1" applyAlignment="1">
      <alignment horizontal="center"/>
    </xf>
    <xf numFmtId="0" fontId="0" fillId="15" borderId="245" xfId="0" applyFill="1" applyBorder="1"/>
    <xf numFmtId="0" fontId="0" fillId="15" borderId="226" xfId="0" applyFill="1" applyBorder="1" applyAlignment="1">
      <alignment horizontal="center"/>
    </xf>
    <xf numFmtId="0" fontId="0" fillId="15" borderId="232" xfId="0" applyFill="1" applyBorder="1" applyAlignment="1">
      <alignment horizontal="center"/>
    </xf>
    <xf numFmtId="0" fontId="0" fillId="15" borderId="255" xfId="0" applyFill="1" applyBorder="1"/>
    <xf numFmtId="0" fontId="0" fillId="15" borderId="237" xfId="0" applyFill="1" applyBorder="1"/>
    <xf numFmtId="0" fontId="20" fillId="0" borderId="222" xfId="0" applyFont="1" applyBorder="1" applyAlignment="1">
      <alignment horizontal="center" vertical="center"/>
    </xf>
    <xf numFmtId="0" fontId="6" fillId="0" borderId="224" xfId="0" applyFont="1" applyBorder="1" applyAlignment="1">
      <alignment horizontal="center"/>
    </xf>
    <xf numFmtId="0" fontId="78" fillId="0" borderId="0" xfId="0" applyFont="1" applyAlignment="1">
      <alignment vertical="center"/>
    </xf>
    <xf numFmtId="0" fontId="64" fillId="0" borderId="152" xfId="0" applyFont="1" applyBorder="1" applyAlignment="1">
      <alignment horizontal="center" vertical="center"/>
    </xf>
    <xf numFmtId="0" fontId="10" fillId="0" borderId="0" xfId="0" applyFont="1" applyAlignment="1">
      <alignment horizontal="left" vertical="center"/>
    </xf>
    <xf numFmtId="0" fontId="16" fillId="0" borderId="0" xfId="0" applyFont="1" applyAlignment="1">
      <alignment horizontal="right" vertical="center"/>
    </xf>
    <xf numFmtId="0" fontId="12" fillId="0" borderId="2" xfId="0" applyFont="1" applyBorder="1" applyAlignment="1">
      <alignment vertical="center"/>
    </xf>
    <xf numFmtId="0" fontId="0" fillId="4" borderId="14" xfId="0" applyFill="1" applyBorder="1" applyAlignment="1">
      <alignment horizontal="center" vertical="center"/>
    </xf>
    <xf numFmtId="9" fontId="8" fillId="0" borderId="0" xfId="3" applyFont="1" applyFill="1" applyAlignment="1">
      <alignment vertical="center"/>
    </xf>
    <xf numFmtId="2" fontId="8" fillId="0" borderId="0" xfId="0" applyNumberFormat="1" applyFont="1" applyAlignment="1">
      <alignment vertical="center"/>
    </xf>
    <xf numFmtId="0" fontId="91" fillId="0" borderId="0" xfId="0" applyFont="1" applyAlignment="1">
      <alignment vertical="center"/>
    </xf>
    <xf numFmtId="0" fontId="8" fillId="4" borderId="0" xfId="0" applyFont="1" applyFill="1" applyAlignment="1">
      <alignment vertical="center"/>
    </xf>
    <xf numFmtId="0" fontId="94" fillId="0" borderId="0" xfId="0" applyFont="1" applyAlignment="1">
      <alignment vertical="center"/>
    </xf>
    <xf numFmtId="0" fontId="83" fillId="0" borderId="3" xfId="0" applyFont="1" applyBorder="1" applyAlignment="1">
      <alignment horizontal="center" vertical="center"/>
    </xf>
    <xf numFmtId="0" fontId="32" fillId="0" borderId="9" xfId="0" applyFont="1" applyBorder="1" applyAlignment="1">
      <alignment horizontal="center" vertical="center"/>
    </xf>
    <xf numFmtId="0" fontId="32" fillId="0" borderId="120" xfId="0" applyFont="1" applyBorder="1" applyAlignment="1">
      <alignment horizontal="center" vertical="center"/>
    </xf>
    <xf numFmtId="0" fontId="32" fillId="0" borderId="260" xfId="0" applyFont="1" applyBorder="1" applyAlignment="1">
      <alignment vertical="center"/>
    </xf>
    <xf numFmtId="0" fontId="6" fillId="0" borderId="260" xfId="0" applyFont="1" applyBorder="1" applyAlignment="1">
      <alignment vertical="center"/>
    </xf>
    <xf numFmtId="0" fontId="32" fillId="0" borderId="260" xfId="0" applyFont="1" applyBorder="1" applyAlignment="1">
      <alignment horizontal="center" vertical="center"/>
    </xf>
    <xf numFmtId="0" fontId="6" fillId="0" borderId="283" xfId="0" applyFont="1" applyBorder="1" applyAlignment="1">
      <alignment vertical="center"/>
    </xf>
    <xf numFmtId="0" fontId="32" fillId="0" borderId="25" xfId="0" applyFont="1" applyBorder="1" applyAlignment="1">
      <alignment horizontal="center" vertical="center"/>
    </xf>
    <xf numFmtId="0" fontId="95" fillId="0" borderId="0" xfId="0" applyFont="1" applyAlignment="1">
      <alignment horizontal="right"/>
    </xf>
    <xf numFmtId="0" fontId="68" fillId="0" borderId="0" xfId="0" applyFont="1" applyAlignment="1">
      <alignment vertical="center"/>
    </xf>
    <xf numFmtId="0" fontId="38" fillId="0" borderId="0" xfId="0" applyFont="1" applyAlignment="1">
      <alignment horizontal="center" vertical="center"/>
    </xf>
    <xf numFmtId="164" fontId="19" fillId="0" borderId="0" xfId="0" applyNumberFormat="1" applyFont="1" applyAlignment="1">
      <alignment horizontal="right" vertical="center"/>
    </xf>
    <xf numFmtId="0" fontId="68" fillId="0" borderId="6" xfId="0" applyFont="1" applyBorder="1" applyAlignment="1">
      <alignment vertical="center"/>
    </xf>
    <xf numFmtId="164" fontId="25" fillId="0" borderId="5" xfId="0" applyNumberFormat="1" applyFont="1" applyBorder="1" applyAlignment="1">
      <alignment horizontal="right" vertical="center"/>
    </xf>
    <xf numFmtId="2" fontId="94" fillId="0" borderId="0" xfId="0" applyNumberFormat="1" applyFont="1" applyAlignment="1">
      <alignment vertical="center"/>
    </xf>
    <xf numFmtId="0" fontId="19" fillId="0" borderId="171" xfId="0" applyFont="1" applyBorder="1" applyAlignment="1">
      <alignment vertical="center"/>
    </xf>
    <xf numFmtId="0" fontId="6" fillId="0" borderId="231" xfId="0" applyFont="1" applyBorder="1"/>
    <xf numFmtId="0" fontId="83" fillId="0" borderId="95" xfId="0" applyFont="1" applyBorder="1" applyAlignment="1">
      <alignment horizontal="center" vertical="center"/>
    </xf>
    <xf numFmtId="167" fontId="97" fillId="0" borderId="275" xfId="1" applyNumberFormat="1" applyFont="1" applyBorder="1" applyAlignment="1">
      <alignment horizontal="center" vertical="center"/>
    </xf>
    <xf numFmtId="0" fontId="91" fillId="0" borderId="281" xfId="0" applyFont="1" applyBorder="1" applyAlignment="1">
      <alignment vertical="center"/>
    </xf>
    <xf numFmtId="0" fontId="98" fillId="0" borderId="0" xfId="0" applyFont="1"/>
    <xf numFmtId="0" fontId="99" fillId="0" borderId="0" xfId="0" applyFont="1"/>
    <xf numFmtId="0" fontId="100" fillId="0" borderId="0" xfId="0" applyFont="1"/>
    <xf numFmtId="0" fontId="101" fillId="0" borderId="0" xfId="0" applyFont="1"/>
    <xf numFmtId="0" fontId="65" fillId="0" borderId="160" xfId="0" applyFont="1" applyBorder="1" applyAlignment="1">
      <alignment horizontal="right" vertical="center"/>
    </xf>
    <xf numFmtId="0" fontId="65" fillId="0" borderId="160" xfId="0" applyFont="1" applyBorder="1" applyAlignment="1">
      <alignment horizontal="left" vertical="center"/>
    </xf>
    <xf numFmtId="0" fontId="66" fillId="0" borderId="160" xfId="0" applyFont="1" applyBorder="1" applyAlignment="1">
      <alignment horizontal="center" vertical="center"/>
    </xf>
    <xf numFmtId="0" fontId="64" fillId="0" borderId="160" xfId="0" applyFont="1" applyBorder="1" applyAlignment="1">
      <alignment horizontal="center" vertical="center"/>
    </xf>
    <xf numFmtId="0" fontId="67" fillId="0" borderId="160" xfId="0" applyFont="1" applyBorder="1" applyAlignment="1">
      <alignment horizontal="center" vertical="center"/>
    </xf>
    <xf numFmtId="0" fontId="84" fillId="0" borderId="278" xfId="0" applyFont="1" applyBorder="1" applyAlignment="1">
      <alignment horizontal="center" vertical="center"/>
    </xf>
    <xf numFmtId="0" fontId="84" fillId="0" borderId="152" xfId="0" applyFont="1" applyBorder="1" applyAlignment="1">
      <alignment horizontal="center" vertical="center"/>
    </xf>
    <xf numFmtId="0" fontId="84" fillId="0" borderId="289" xfId="0" applyFont="1" applyBorder="1" applyAlignment="1">
      <alignment horizontal="left" vertical="center"/>
    </xf>
    <xf numFmtId="0" fontId="102" fillId="0" borderId="0" xfId="0" applyFont="1"/>
    <xf numFmtId="2" fontId="91" fillId="0" borderId="0" xfId="0" applyNumberFormat="1" applyFont="1" applyAlignment="1">
      <alignment vertical="center"/>
    </xf>
    <xf numFmtId="0" fontId="103" fillId="0" borderId="2" xfId="0" applyFont="1" applyBorder="1" applyAlignment="1">
      <alignment horizontal="left" vertical="center"/>
    </xf>
    <xf numFmtId="0" fontId="103" fillId="0" borderId="3" xfId="0" applyFont="1" applyBorder="1" applyAlignment="1">
      <alignment horizontal="left" vertical="center"/>
    </xf>
    <xf numFmtId="0" fontId="104" fillId="0" borderId="1" xfId="0" applyFont="1" applyBorder="1" applyAlignment="1">
      <alignment vertical="center"/>
    </xf>
    <xf numFmtId="0" fontId="105" fillId="0" borderId="0" xfId="0" applyFont="1" applyAlignment="1">
      <alignment horizontal="right" vertical="center"/>
    </xf>
    <xf numFmtId="0" fontId="62" fillId="0" borderId="0" xfId="0" applyFont="1" applyAlignment="1">
      <alignment horizontal="right" vertical="center"/>
    </xf>
    <xf numFmtId="0" fontId="62" fillId="0" borderId="279" xfId="0" applyFont="1" applyBorder="1" applyAlignment="1">
      <alignment horizontal="right" vertical="center"/>
    </xf>
    <xf numFmtId="0" fontId="62" fillId="0" borderId="151" xfId="0" applyFont="1" applyBorder="1" applyAlignment="1">
      <alignment horizontal="right" vertical="center"/>
    </xf>
    <xf numFmtId="0" fontId="62" fillId="0" borderId="136" xfId="0" applyFont="1" applyBorder="1" applyAlignment="1">
      <alignment horizontal="right" vertical="center"/>
    </xf>
    <xf numFmtId="0" fontId="25" fillId="0" borderId="12" xfId="0" applyFont="1" applyBorder="1" applyAlignment="1">
      <alignment horizontal="right" vertical="center"/>
    </xf>
    <xf numFmtId="0" fontId="25" fillId="0" borderId="19" xfId="0" applyFont="1" applyBorder="1" applyAlignment="1">
      <alignment horizontal="right" vertical="center"/>
    </xf>
    <xf numFmtId="0" fontId="57" fillId="0" borderId="7" xfId="0" applyFont="1" applyBorder="1" applyAlignment="1">
      <alignment horizontal="center" vertical="center"/>
    </xf>
    <xf numFmtId="0" fontId="25" fillId="0" borderId="28" xfId="0" applyFont="1" applyBorder="1" applyAlignment="1">
      <alignment horizontal="right" vertical="center"/>
    </xf>
    <xf numFmtId="0" fontId="68" fillId="0" borderId="5" xfId="0" applyFont="1" applyBorder="1" applyAlignment="1">
      <alignment horizontal="right" vertical="center"/>
    </xf>
    <xf numFmtId="0" fontId="25" fillId="0" borderId="40" xfId="0" applyFont="1" applyBorder="1" applyAlignment="1">
      <alignment horizontal="right" vertical="center"/>
    </xf>
    <xf numFmtId="0" fontId="57" fillId="0" borderId="23" xfId="0" applyFont="1" applyBorder="1" applyAlignment="1">
      <alignment horizontal="center" vertical="center"/>
    </xf>
    <xf numFmtId="0" fontId="25" fillId="0" borderId="167" xfId="0" applyFont="1" applyBorder="1" applyAlignment="1">
      <alignment horizontal="right" vertical="center"/>
    </xf>
    <xf numFmtId="0" fontId="25" fillId="0" borderId="179" xfId="0" applyFont="1" applyBorder="1" applyAlignment="1">
      <alignment horizontal="right" vertical="center"/>
    </xf>
    <xf numFmtId="0" fontId="25" fillId="0" borderId="35" xfId="0" applyFont="1" applyBorder="1" applyAlignment="1">
      <alignment horizontal="right" vertical="center"/>
    </xf>
    <xf numFmtId="0" fontId="25" fillId="0" borderId="47" xfId="0" applyFont="1" applyBorder="1" applyAlignment="1">
      <alignment horizontal="right" vertical="center"/>
    </xf>
    <xf numFmtId="0" fontId="57" fillId="0" borderId="57" xfId="0" applyFont="1" applyBorder="1" applyAlignment="1">
      <alignment horizontal="center" vertical="center"/>
    </xf>
    <xf numFmtId="0" fontId="25" fillId="9" borderId="5" xfId="0" applyFont="1" applyFill="1" applyBorder="1" applyAlignment="1">
      <alignment horizontal="right" vertical="center"/>
    </xf>
    <xf numFmtId="0" fontId="25" fillId="0" borderId="58" xfId="0" applyFont="1" applyBorder="1" applyAlignment="1">
      <alignment horizontal="right" vertical="center"/>
    </xf>
    <xf numFmtId="0" fontId="25" fillId="0" borderId="156" xfId="0" applyFont="1" applyBorder="1" applyAlignment="1">
      <alignment horizontal="right" vertical="center"/>
    </xf>
    <xf numFmtId="0" fontId="57" fillId="0" borderId="0" xfId="0" applyFont="1" applyAlignment="1">
      <alignment horizontal="center" vertical="center"/>
    </xf>
    <xf numFmtId="0" fontId="68" fillId="0" borderId="207" xfId="0" applyFont="1" applyBorder="1" applyAlignment="1">
      <alignment horizontal="right" vertical="center"/>
    </xf>
    <xf numFmtId="0" fontId="68" fillId="0" borderId="201" xfId="0" applyFont="1" applyBorder="1" applyAlignment="1">
      <alignment horizontal="right" vertical="center"/>
    </xf>
    <xf numFmtId="0" fontId="68" fillId="0" borderId="160" xfId="0" applyFont="1" applyBorder="1" applyAlignment="1">
      <alignment horizontal="right" vertical="center"/>
    </xf>
    <xf numFmtId="0" fontId="68" fillId="0" borderId="158" xfId="0" applyFont="1" applyBorder="1" applyAlignment="1">
      <alignment horizontal="right" vertical="center"/>
    </xf>
    <xf numFmtId="0" fontId="68" fillId="0" borderId="78" xfId="0" applyFont="1" applyBorder="1" applyAlignment="1">
      <alignment horizontal="right" vertical="center"/>
    </xf>
    <xf numFmtId="0" fontId="68" fillId="0" borderId="214" xfId="0" applyFont="1" applyBorder="1" applyAlignment="1">
      <alignment horizontal="right" vertical="center"/>
    </xf>
    <xf numFmtId="0" fontId="25" fillId="0" borderId="71" xfId="0" applyFont="1" applyBorder="1" applyAlignment="1">
      <alignment horizontal="right" vertical="center"/>
    </xf>
    <xf numFmtId="0" fontId="25" fillId="0" borderId="3" xfId="0" applyFont="1" applyBorder="1" applyAlignment="1">
      <alignment horizontal="right" vertical="center"/>
    </xf>
    <xf numFmtId="0" fontId="25" fillId="0" borderId="78" xfId="0" applyFont="1" applyBorder="1" applyAlignment="1">
      <alignment horizontal="right" vertical="center"/>
    </xf>
    <xf numFmtId="0" fontId="25" fillId="0" borderId="67" xfId="0" applyFont="1" applyBorder="1" applyAlignment="1">
      <alignment horizontal="right" vertical="center"/>
    </xf>
    <xf numFmtId="0" fontId="25" fillId="0" borderId="83" xfId="0" applyFont="1" applyBorder="1" applyAlignment="1">
      <alignment horizontal="right" vertical="center"/>
    </xf>
    <xf numFmtId="0" fontId="57" fillId="0" borderId="89" xfId="0" applyFont="1" applyBorder="1" applyAlignment="1">
      <alignment horizontal="center" vertical="center"/>
    </xf>
    <xf numFmtId="0" fontId="25" fillId="0" borderId="101" xfId="0" applyFont="1" applyBorder="1" applyAlignment="1">
      <alignment horizontal="right" vertical="center"/>
    </xf>
    <xf numFmtId="0" fontId="25" fillId="0" borderId="110" xfId="0" applyFont="1" applyBorder="1" applyAlignment="1">
      <alignment horizontal="right" vertical="center"/>
    </xf>
    <xf numFmtId="0" fontId="57" fillId="0" borderId="63" xfId="0" applyFont="1" applyBorder="1" applyAlignment="1">
      <alignment horizontal="center" vertical="center"/>
    </xf>
    <xf numFmtId="0" fontId="25" fillId="0" borderId="181" xfId="0" applyFont="1" applyBorder="1" applyAlignment="1">
      <alignment horizontal="right" vertical="center"/>
    </xf>
    <xf numFmtId="0" fontId="25" fillId="0" borderId="95" xfId="0" applyFont="1" applyBorder="1" applyAlignment="1">
      <alignment horizontal="right" vertical="center"/>
    </xf>
    <xf numFmtId="0" fontId="25" fillId="0" borderId="1" xfId="0" applyFont="1" applyBorder="1" applyAlignment="1">
      <alignment horizontal="right" vertical="center"/>
    </xf>
    <xf numFmtId="0" fontId="57" fillId="0" borderId="1" xfId="0" applyFont="1" applyBorder="1" applyAlignment="1">
      <alignment horizontal="center" vertical="center"/>
    </xf>
    <xf numFmtId="0" fontId="25" fillId="0" borderId="0" xfId="0" applyFont="1" applyAlignment="1">
      <alignment horizontal="right" vertical="center"/>
    </xf>
    <xf numFmtId="0" fontId="106" fillId="0" borderId="0" xfId="0" applyFont="1" applyAlignment="1">
      <alignment vertical="center"/>
    </xf>
    <xf numFmtId="0" fontId="8" fillId="0" borderId="281" xfId="0" applyFont="1" applyBorder="1" applyAlignment="1">
      <alignment vertical="center"/>
    </xf>
    <xf numFmtId="0" fontId="0" fillId="0" borderId="290" xfId="0" applyBorder="1"/>
    <xf numFmtId="0" fontId="0" fillId="0" borderId="291" xfId="0" applyBorder="1"/>
    <xf numFmtId="0" fontId="0" fillId="0" borderId="291" xfId="0" applyBorder="1" applyAlignment="1">
      <alignment horizontal="center"/>
    </xf>
    <xf numFmtId="0" fontId="0" fillId="0" borderId="292" xfId="0" applyBorder="1"/>
    <xf numFmtId="0" fontId="0" fillId="0" borderId="293" xfId="0" applyBorder="1"/>
    <xf numFmtId="0" fontId="0" fillId="0" borderId="294" xfId="0" applyBorder="1"/>
    <xf numFmtId="0" fontId="0" fillId="0" borderId="295" xfId="0" applyBorder="1"/>
    <xf numFmtId="0" fontId="0" fillId="0" borderId="296" xfId="0" applyBorder="1" applyAlignment="1">
      <alignment horizontal="center"/>
    </xf>
    <xf numFmtId="0" fontId="0" fillId="0" borderId="297" xfId="0" applyBorder="1"/>
    <xf numFmtId="0" fontId="109" fillId="0" borderId="6" xfId="0" applyFont="1" applyBorder="1" applyAlignment="1">
      <alignment vertical="center"/>
    </xf>
    <xf numFmtId="0" fontId="83" fillId="0" borderId="1" xfId="0" applyFont="1" applyBorder="1" applyAlignment="1">
      <alignment horizontal="center" vertical="center"/>
    </xf>
    <xf numFmtId="0" fontId="83" fillId="0" borderId="158" xfId="0" applyFont="1" applyBorder="1" applyAlignment="1">
      <alignment horizontal="center" vertical="center"/>
    </xf>
    <xf numFmtId="0" fontId="79" fillId="0" borderId="3" xfId="0" applyFont="1" applyBorder="1" applyAlignment="1">
      <alignment horizontal="center" vertical="center"/>
    </xf>
    <xf numFmtId="0" fontId="0" fillId="0" borderId="0" xfId="0" applyAlignment="1">
      <alignment horizontal="center" vertical="center"/>
    </xf>
    <xf numFmtId="0" fontId="12" fillId="0" borderId="1" xfId="0" applyFont="1" applyBorder="1" applyAlignment="1">
      <alignment horizontal="center" vertical="center"/>
    </xf>
    <xf numFmtId="0" fontId="18" fillId="0" borderId="0" xfId="0" applyFont="1" applyAlignment="1">
      <alignment horizontal="center" vertical="center"/>
    </xf>
    <xf numFmtId="0" fontId="65" fillId="0" borderId="0" xfId="0" applyFont="1" applyAlignment="1">
      <alignment horizontal="center" vertical="center"/>
    </xf>
    <xf numFmtId="0" fontId="25" fillId="0" borderId="14" xfId="0" applyFont="1" applyBorder="1" applyAlignment="1">
      <alignment horizontal="center" vertical="center"/>
    </xf>
    <xf numFmtId="0" fontId="25" fillId="0" borderId="3" xfId="0" applyFont="1" applyBorder="1" applyAlignment="1">
      <alignment horizontal="center" vertical="center"/>
    </xf>
    <xf numFmtId="0" fontId="25" fillId="0" borderId="21" xfId="0" applyFont="1" applyBorder="1" applyAlignment="1">
      <alignment horizontal="center" vertical="center"/>
    </xf>
    <xf numFmtId="0" fontId="0" fillId="0" borderId="7" xfId="0" applyBorder="1" applyAlignment="1">
      <alignment horizontal="center" vertical="center"/>
    </xf>
    <xf numFmtId="0" fontId="25" fillId="0" borderId="30" xfId="0" applyFont="1" applyBorder="1" applyAlignment="1">
      <alignment horizontal="center" vertical="center"/>
    </xf>
    <xf numFmtId="0" fontId="25" fillId="0" borderId="25" xfId="0" applyFont="1" applyBorder="1" applyAlignment="1">
      <alignment horizontal="center" vertical="center"/>
    </xf>
    <xf numFmtId="0" fontId="0" fillId="0" borderId="23" xfId="0"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25" fillId="0" borderId="132" xfId="0" applyFont="1" applyBorder="1" applyAlignment="1">
      <alignment horizontal="center" vertical="center"/>
    </xf>
    <xf numFmtId="0" fontId="25" fillId="0" borderId="37" xfId="0" applyFont="1" applyBorder="1" applyAlignment="1">
      <alignment horizontal="center" vertical="center"/>
    </xf>
    <xf numFmtId="0" fontId="25" fillId="0" borderId="49" xfId="0" applyFont="1" applyBorder="1" applyAlignment="1">
      <alignment horizontal="center" vertical="center"/>
    </xf>
    <xf numFmtId="0" fontId="0" fillId="0" borderId="57" xfId="0" applyBorder="1" applyAlignment="1">
      <alignment horizontal="center" vertical="center"/>
    </xf>
    <xf numFmtId="0" fontId="68" fillId="0" borderId="196" xfId="0" applyFont="1" applyBorder="1" applyAlignment="1">
      <alignment horizontal="center" vertical="center"/>
    </xf>
    <xf numFmtId="0" fontId="68" fillId="0" borderId="136" xfId="0" applyFont="1" applyBorder="1" applyAlignment="1">
      <alignment horizontal="center" vertical="center"/>
    </xf>
    <xf numFmtId="0" fontId="68" fillId="0" borderId="201" xfId="0" applyFont="1" applyBorder="1" applyAlignment="1">
      <alignment horizontal="center" vertical="center"/>
    </xf>
    <xf numFmtId="0" fontId="68" fillId="0" borderId="65" xfId="0" applyFont="1" applyBorder="1" applyAlignment="1">
      <alignment horizontal="center" vertical="center"/>
    </xf>
    <xf numFmtId="0" fontId="68" fillId="0" borderId="214" xfId="0" applyFont="1" applyBorder="1" applyAlignment="1">
      <alignment horizontal="center" vertical="center"/>
    </xf>
    <xf numFmtId="0" fontId="25" fillId="0" borderId="71" xfId="0" applyFont="1" applyBorder="1" applyAlignment="1">
      <alignment horizontal="center" vertical="center"/>
    </xf>
    <xf numFmtId="0" fontId="25" fillId="0" borderId="85" xfId="0" applyFont="1" applyBorder="1" applyAlignment="1">
      <alignment horizontal="center" vertical="center"/>
    </xf>
    <xf numFmtId="0" fontId="0" fillId="0" borderId="63" xfId="0" applyBorder="1" applyAlignment="1">
      <alignment horizontal="center" vertical="center"/>
    </xf>
    <xf numFmtId="0" fontId="25" fillId="0" borderId="91" xfId="0" applyFont="1" applyBorder="1" applyAlignment="1">
      <alignment horizontal="center" vertical="center"/>
    </xf>
    <xf numFmtId="0" fontId="25" fillId="0" borderId="95" xfId="0" applyFont="1" applyBorder="1" applyAlignment="1">
      <alignment horizontal="center" vertical="center"/>
    </xf>
    <xf numFmtId="0" fontId="25" fillId="0" borderId="64" xfId="0" applyFont="1" applyBorder="1" applyAlignment="1">
      <alignment horizontal="center" vertical="center"/>
    </xf>
    <xf numFmtId="0" fontId="0" fillId="0" borderId="64" xfId="0" applyBorder="1" applyAlignment="1">
      <alignment horizontal="center" vertical="center"/>
    </xf>
    <xf numFmtId="0" fontId="31" fillId="0" borderId="139" xfId="0" applyFont="1" applyBorder="1" applyAlignment="1">
      <alignment horizontal="center" vertical="center"/>
    </xf>
    <xf numFmtId="0" fontId="0" fillId="0" borderId="1" xfId="0" applyBorder="1" applyAlignment="1">
      <alignment horizontal="center" vertical="center"/>
    </xf>
    <xf numFmtId="0" fontId="73" fillId="0" borderId="0" xfId="0" applyFont="1" applyAlignment="1">
      <alignment horizontal="center" vertical="center"/>
    </xf>
    <xf numFmtId="0" fontId="110" fillId="0" borderId="6" xfId="0" applyFont="1" applyBorder="1" applyAlignment="1">
      <alignment vertical="center"/>
    </xf>
    <xf numFmtId="0" fontId="26" fillId="0" borderId="225" xfId="0" applyFont="1" applyBorder="1" applyAlignment="1">
      <alignment horizontal="center"/>
    </xf>
    <xf numFmtId="0" fontId="26" fillId="0" borderId="222" xfId="0" applyFont="1" applyBorder="1" applyAlignment="1">
      <alignment horizontal="center"/>
    </xf>
    <xf numFmtId="0" fontId="38" fillId="0" borderId="139" xfId="0" applyFont="1" applyBorder="1" applyAlignment="1">
      <alignment horizontal="center" vertical="center"/>
    </xf>
    <xf numFmtId="0" fontId="68" fillId="0" borderId="107" xfId="0" applyFont="1" applyBorder="1" applyAlignment="1">
      <alignment horizontal="right" vertical="center"/>
    </xf>
    <xf numFmtId="0" fontId="68" fillId="0" borderId="54" xfId="0" applyFont="1" applyBorder="1" applyAlignment="1">
      <alignment vertical="center"/>
    </xf>
    <xf numFmtId="0" fontId="6" fillId="0" borderId="299" xfId="0" applyFont="1" applyBorder="1" applyAlignment="1">
      <alignment horizontal="center" vertical="center"/>
    </xf>
    <xf numFmtId="0" fontId="6" fillId="0" borderId="298" xfId="0" applyFont="1" applyBorder="1" applyAlignment="1">
      <alignment horizontal="center" vertical="center"/>
    </xf>
    <xf numFmtId="0" fontId="117" fillId="0" borderId="0" xfId="0" applyFont="1" applyAlignment="1">
      <alignment vertical="center"/>
    </xf>
    <xf numFmtId="0" fontId="58" fillId="0" borderId="300" xfId="0" applyFont="1" applyBorder="1" applyAlignment="1">
      <alignment horizontal="center" vertical="center"/>
    </xf>
    <xf numFmtId="0" fontId="43" fillId="11" borderId="137" xfId="0" applyFont="1" applyFill="1" applyBorder="1" applyAlignment="1">
      <alignment vertical="center"/>
    </xf>
    <xf numFmtId="0" fontId="40" fillId="11" borderId="137" xfId="0" applyFont="1" applyFill="1" applyBorder="1" applyAlignment="1">
      <alignment horizontal="left" vertical="center"/>
    </xf>
    <xf numFmtId="0" fontId="71" fillId="11" borderId="137" xfId="0" applyFont="1" applyFill="1" applyBorder="1" applyAlignment="1">
      <alignment horizontal="center" vertical="center"/>
    </xf>
    <xf numFmtId="0" fontId="42" fillId="11" borderId="301" xfId="0" applyFont="1" applyFill="1" applyBorder="1" applyAlignment="1">
      <alignment vertical="center"/>
    </xf>
    <xf numFmtId="0" fontId="109" fillId="0" borderId="220" xfId="0" applyFont="1" applyBorder="1" applyAlignment="1">
      <alignment vertical="center"/>
    </xf>
    <xf numFmtId="0" fontId="54" fillId="0" borderId="0" xfId="0" applyFont="1" applyAlignment="1">
      <alignment horizontal="center" vertical="center"/>
    </xf>
    <xf numFmtId="0" fontId="119" fillId="0" borderId="14" xfId="0" applyFont="1" applyBorder="1" applyAlignment="1">
      <alignment horizontal="right" vertical="center"/>
    </xf>
    <xf numFmtId="0" fontId="119" fillId="0" borderId="3" xfId="0" applyFont="1" applyBorder="1" applyAlignment="1">
      <alignment horizontal="right" vertical="center"/>
    </xf>
    <xf numFmtId="0" fontId="119" fillId="0" borderId="28" xfId="0" applyFont="1" applyBorder="1" applyAlignment="1">
      <alignment horizontal="right" vertical="center"/>
    </xf>
    <xf numFmtId="0" fontId="119" fillId="0" borderId="5" xfId="0" applyFont="1" applyBorder="1" applyAlignment="1">
      <alignment horizontal="right" vertical="center"/>
    </xf>
    <xf numFmtId="0" fontId="119" fillId="0" borderId="58" xfId="0" applyFont="1" applyBorder="1" applyAlignment="1">
      <alignment horizontal="right" vertical="center"/>
    </xf>
    <xf numFmtId="0" fontId="119" fillId="0" borderId="162" xfId="0" applyFont="1" applyBorder="1" applyAlignment="1">
      <alignment horizontal="right" vertical="center"/>
    </xf>
    <xf numFmtId="0" fontId="119" fillId="0" borderId="43" xfId="0" applyFont="1" applyBorder="1" applyAlignment="1">
      <alignment horizontal="right" vertical="center"/>
    </xf>
    <xf numFmtId="0" fontId="119" fillId="0" borderId="12" xfId="0" applyFont="1" applyBorder="1" applyAlignment="1">
      <alignment horizontal="right" vertical="center"/>
    </xf>
    <xf numFmtId="0" fontId="109" fillId="0" borderId="302" xfId="0" applyFont="1" applyBorder="1" applyAlignment="1">
      <alignment vertical="center"/>
    </xf>
    <xf numFmtId="0" fontId="120" fillId="0" borderId="117" xfId="0" applyFont="1" applyBorder="1" applyAlignment="1">
      <alignment vertical="center"/>
    </xf>
    <xf numFmtId="0" fontId="120" fillId="0" borderId="6" xfId="0" applyFont="1" applyBorder="1" applyAlignment="1">
      <alignment vertical="center"/>
    </xf>
    <xf numFmtId="0" fontId="22" fillId="0" borderId="6" xfId="0" applyFont="1" applyBorder="1" applyAlignment="1">
      <alignment vertical="center"/>
    </xf>
    <xf numFmtId="0" fontId="120" fillId="0" borderId="60" xfId="0" applyFont="1" applyBorder="1" applyAlignment="1">
      <alignment vertical="center"/>
    </xf>
    <xf numFmtId="0" fontId="120" fillId="0" borderId="163" xfId="0" applyFont="1" applyBorder="1" applyAlignment="1">
      <alignment vertical="center"/>
    </xf>
    <xf numFmtId="0" fontId="120" fillId="0" borderId="44" xfId="0" applyFont="1" applyBorder="1" applyAlignment="1">
      <alignment vertical="center"/>
    </xf>
    <xf numFmtId="0" fontId="22" fillId="0" borderId="117" xfId="0" applyFont="1" applyBorder="1" applyAlignment="1">
      <alignment vertical="center"/>
    </xf>
    <xf numFmtId="0" fontId="22" fillId="0" borderId="13" xfId="0" applyFont="1" applyBorder="1" applyAlignment="1">
      <alignment vertical="center"/>
    </xf>
    <xf numFmtId="0" fontId="22" fillId="0" borderId="44" xfId="0" applyFont="1" applyBorder="1" applyAlignment="1">
      <alignment vertical="center"/>
    </xf>
    <xf numFmtId="0" fontId="22" fillId="0" borderId="81" xfId="0" applyFont="1" applyBorder="1" applyAlignment="1">
      <alignment vertical="center"/>
    </xf>
    <xf numFmtId="0" fontId="78" fillId="4" borderId="0" xfId="0" applyFont="1" applyFill="1" applyAlignment="1">
      <alignment vertical="center"/>
    </xf>
    <xf numFmtId="0" fontId="78" fillId="0" borderId="0" xfId="0" applyFont="1"/>
    <xf numFmtId="0" fontId="22" fillId="0" borderId="102" xfId="0" applyFont="1" applyBorder="1" applyAlignment="1">
      <alignment vertical="center"/>
    </xf>
    <xf numFmtId="0" fontId="68" fillId="0" borderId="14" xfId="0" applyFont="1" applyBorder="1" applyAlignment="1">
      <alignment horizontal="center" vertical="center"/>
    </xf>
    <xf numFmtId="0" fontId="121" fillId="0" borderId="6" xfId="0" applyFont="1" applyBorder="1" applyAlignment="1">
      <alignment vertical="center"/>
    </xf>
    <xf numFmtId="0" fontId="121" fillId="0" borderId="13" xfId="0" applyFont="1" applyBorder="1" applyAlignment="1">
      <alignment vertical="center"/>
    </xf>
    <xf numFmtId="0" fontId="120" fillId="0" borderId="140" xfId="0" applyFont="1" applyBorder="1" applyAlignment="1">
      <alignment vertical="center"/>
    </xf>
    <xf numFmtId="0" fontId="49" fillId="0" borderId="3" xfId="0" applyFont="1" applyBorder="1" applyAlignment="1">
      <alignment horizontal="center" vertical="center"/>
    </xf>
    <xf numFmtId="2" fontId="100" fillId="0" borderId="0" xfId="0" applyNumberFormat="1" applyFont="1"/>
    <xf numFmtId="0" fontId="122" fillId="0" borderId="0" xfId="0" applyFont="1"/>
    <xf numFmtId="0" fontId="119" fillId="0" borderId="167" xfId="0" applyFont="1" applyBorder="1" applyAlignment="1">
      <alignment horizontal="right" vertical="center"/>
    </xf>
    <xf numFmtId="0" fontId="124" fillId="0" borderId="216" xfId="0" applyFont="1" applyBorder="1" applyAlignment="1">
      <alignment horizontal="right" vertical="center"/>
    </xf>
    <xf numFmtId="0" fontId="125" fillId="0" borderId="5" xfId="0" applyFont="1" applyBorder="1" applyAlignment="1">
      <alignment horizontal="right" vertical="center"/>
    </xf>
    <xf numFmtId="0" fontId="121" fillId="0" borderId="3" xfId="0" applyFont="1" applyBorder="1" applyAlignment="1">
      <alignment horizontal="center" vertical="center"/>
    </xf>
    <xf numFmtId="0" fontId="124" fillId="0" borderId="207" xfId="0" applyFont="1" applyBorder="1" applyAlignment="1">
      <alignment horizontal="right" vertical="center"/>
    </xf>
    <xf numFmtId="0" fontId="124" fillId="0" borderId="66" xfId="0" applyFont="1" applyBorder="1" applyAlignment="1">
      <alignment horizontal="right" vertical="center"/>
    </xf>
    <xf numFmtId="0" fontId="58" fillId="0" borderId="3" xfId="0" applyFont="1" applyBorder="1" applyAlignment="1">
      <alignment horizontal="center" vertical="center"/>
    </xf>
    <xf numFmtId="0" fontId="120" fillId="0" borderId="0" xfId="0" applyFont="1" applyAlignment="1">
      <alignment vertical="center"/>
    </xf>
    <xf numFmtId="0" fontId="83" fillId="0" borderId="2" xfId="0" applyFont="1" applyBorder="1" applyAlignment="1">
      <alignment horizontal="center" vertical="center"/>
    </xf>
    <xf numFmtId="0" fontId="6" fillId="0" borderId="303" xfId="0" applyFont="1" applyBorder="1" applyAlignment="1">
      <alignment horizontal="center" vertical="center"/>
    </xf>
    <xf numFmtId="0" fontId="25" fillId="0" borderId="304" xfId="0" applyFont="1" applyBorder="1" applyAlignment="1">
      <alignment horizontal="right" vertical="center"/>
    </xf>
    <xf numFmtId="0" fontId="84" fillId="0" borderId="0" xfId="0" applyFont="1" applyAlignment="1">
      <alignment horizontal="left" vertical="center"/>
    </xf>
    <xf numFmtId="0" fontId="65" fillId="0" borderId="289" xfId="0" applyFont="1" applyBorder="1" applyAlignment="1">
      <alignment horizontal="center" vertical="center"/>
    </xf>
    <xf numFmtId="0" fontId="68" fillId="0" borderId="3" xfId="0" applyFont="1" applyBorder="1" applyAlignment="1">
      <alignment horizontal="center" vertical="center"/>
    </xf>
    <xf numFmtId="0" fontId="108" fillId="0" borderId="3" xfId="0" applyFont="1" applyBorder="1" applyAlignment="1">
      <alignment horizontal="center" vertical="center"/>
    </xf>
    <xf numFmtId="0" fontId="110" fillId="0" borderId="3" xfId="0" applyFont="1" applyBorder="1" applyAlignment="1">
      <alignment horizontal="center" vertical="center"/>
    </xf>
    <xf numFmtId="0" fontId="25" fillId="0" borderId="169" xfId="0" applyFont="1" applyBorder="1" applyAlignment="1">
      <alignment horizontal="center" vertical="center"/>
    </xf>
    <xf numFmtId="0" fontId="25" fillId="0" borderId="55" xfId="0" applyFont="1" applyBorder="1" applyAlignment="1">
      <alignment horizontal="center" vertical="center"/>
    </xf>
    <xf numFmtId="0" fontId="68" fillId="0" borderId="1" xfId="0" applyFont="1" applyBorder="1" applyAlignment="1">
      <alignment horizontal="center" vertical="center"/>
    </xf>
    <xf numFmtId="0" fontId="110" fillId="0" borderId="1" xfId="0" applyFont="1" applyBorder="1" applyAlignment="1">
      <alignment horizontal="center" vertical="center"/>
    </xf>
    <xf numFmtId="0" fontId="108" fillId="0" borderId="2" xfId="0" applyFont="1" applyBorder="1" applyAlignment="1">
      <alignment horizontal="center" vertical="center"/>
    </xf>
    <xf numFmtId="0" fontId="0" fillId="0" borderId="89" xfId="0" applyBorder="1" applyAlignment="1">
      <alignment horizontal="center" vertical="center"/>
    </xf>
    <xf numFmtId="0" fontId="25" fillId="0" borderId="139" xfId="0" applyFont="1" applyBorder="1" applyAlignment="1">
      <alignment horizontal="center" vertical="center"/>
    </xf>
    <xf numFmtId="0" fontId="0" fillId="0" borderId="95" xfId="0" applyBorder="1" applyAlignment="1">
      <alignment horizontal="center" vertical="center"/>
    </xf>
    <xf numFmtId="0" fontId="31" fillId="0" borderId="1" xfId="0" applyFont="1" applyBorder="1" applyAlignment="1">
      <alignment horizontal="center" vertical="center"/>
    </xf>
    <xf numFmtId="0" fontId="123" fillId="0" borderId="12" xfId="0" applyFont="1" applyBorder="1" applyAlignment="1">
      <alignment horizontal="right" vertical="center"/>
    </xf>
    <xf numFmtId="0" fontId="123" fillId="0" borderId="5" xfId="0" applyFont="1" applyBorder="1" applyAlignment="1">
      <alignment horizontal="right" vertical="center"/>
    </xf>
    <xf numFmtId="0" fontId="123" fillId="0" borderId="58" xfId="0" applyFont="1" applyBorder="1" applyAlignment="1">
      <alignment horizontal="right" vertical="center"/>
    </xf>
    <xf numFmtId="0" fontId="123" fillId="0" borderId="156" xfId="0" applyFont="1" applyBorder="1" applyAlignment="1">
      <alignment horizontal="right" vertical="center"/>
    </xf>
    <xf numFmtId="0" fontId="123" fillId="0" borderId="3" xfId="0" applyFont="1" applyBorder="1" applyAlignment="1">
      <alignment horizontal="right" vertical="center"/>
    </xf>
    <xf numFmtId="0" fontId="120" fillId="0" borderId="220" xfId="0" applyFont="1" applyBorder="1" applyAlignment="1">
      <alignment vertical="center"/>
    </xf>
    <xf numFmtId="0" fontId="120" fillId="0" borderId="221" xfId="0" applyFont="1" applyBorder="1" applyAlignment="1">
      <alignment vertical="center"/>
    </xf>
    <xf numFmtId="0" fontId="120" fillId="0" borderId="74" xfId="0" applyFont="1" applyBorder="1" applyAlignment="1">
      <alignment vertical="center"/>
    </xf>
    <xf numFmtId="0" fontId="120" fillId="0" borderId="80" xfId="0" applyFont="1" applyBorder="1" applyAlignment="1">
      <alignment vertical="center"/>
    </xf>
    <xf numFmtId="0" fontId="124" fillId="0" borderId="73" xfId="0" applyFont="1" applyBorder="1" applyAlignment="1">
      <alignment horizontal="right" vertical="center"/>
    </xf>
    <xf numFmtId="0" fontId="124" fillId="0" borderId="133" xfId="0" applyFont="1" applyBorder="1" applyAlignment="1">
      <alignment horizontal="right" vertical="center"/>
    </xf>
    <xf numFmtId="0" fontId="124" fillId="0" borderId="76" xfId="0" applyFont="1" applyBorder="1" applyAlignment="1">
      <alignment horizontal="right" vertical="center"/>
    </xf>
    <xf numFmtId="0" fontId="124" fillId="0" borderId="0" xfId="0" applyFont="1" applyAlignment="1">
      <alignment horizontal="right" vertical="center"/>
    </xf>
    <xf numFmtId="0" fontId="25" fillId="0" borderId="74" xfId="0" applyFont="1" applyBorder="1" applyAlignment="1">
      <alignment horizontal="left" vertical="center"/>
    </xf>
    <xf numFmtId="0" fontId="25" fillId="0" borderId="131" xfId="0" applyFont="1" applyBorder="1" applyAlignment="1">
      <alignment horizontal="left" vertical="center"/>
    </xf>
    <xf numFmtId="0" fontId="109" fillId="0" borderId="302" xfId="13" applyFont="1" applyBorder="1" applyAlignment="1">
      <alignment vertical="center"/>
    </xf>
    <xf numFmtId="0" fontId="109" fillId="0" borderId="302" xfId="0" applyFont="1" applyBorder="1" applyAlignment="1">
      <alignment horizontal="left" vertical="center"/>
    </xf>
    <xf numFmtId="0" fontId="120" fillId="0" borderId="29" xfId="0" applyFont="1" applyBorder="1" applyAlignment="1">
      <alignment vertical="center"/>
    </xf>
    <xf numFmtId="0" fontId="22" fillId="0" borderId="120" xfId="0" applyFont="1" applyBorder="1" applyAlignment="1">
      <alignment horizontal="center" vertical="center"/>
    </xf>
    <xf numFmtId="0" fontId="38" fillId="0" borderId="307" xfId="0" applyFont="1" applyBorder="1" applyAlignment="1">
      <alignment horizontal="center" vertical="center"/>
    </xf>
    <xf numFmtId="0" fontId="22" fillId="0" borderId="307" xfId="0" applyFont="1" applyBorder="1" applyAlignment="1">
      <alignment horizontal="center" vertical="center"/>
    </xf>
    <xf numFmtId="0" fontId="6" fillId="0" borderId="308" xfId="0" applyFont="1" applyBorder="1" applyAlignment="1">
      <alignment horizontal="center" vertical="center"/>
    </xf>
    <xf numFmtId="0" fontId="119" fillId="0" borderId="40" xfId="0" applyFont="1" applyBorder="1" applyAlignment="1">
      <alignment horizontal="right" vertical="center"/>
    </xf>
    <xf numFmtId="0" fontId="120" fillId="0" borderId="306" xfId="0" applyFont="1" applyBorder="1" applyAlignment="1">
      <alignment horizontal="left" vertical="center"/>
    </xf>
    <xf numFmtId="49" fontId="128" fillId="0" borderId="6" xfId="0" applyNumberFormat="1" applyFont="1" applyBorder="1" applyAlignment="1">
      <alignment vertical="center"/>
    </xf>
    <xf numFmtId="0" fontId="129" fillId="0" borderId="5" xfId="0" applyFont="1" applyBorder="1" applyAlignment="1">
      <alignment horizontal="right" vertical="center"/>
    </xf>
    <xf numFmtId="0" fontId="130" fillId="0" borderId="5" xfId="0" applyFont="1" applyBorder="1" applyAlignment="1">
      <alignment horizontal="right" vertical="center"/>
    </xf>
    <xf numFmtId="0" fontId="83" fillId="0" borderId="139" xfId="0" applyFont="1" applyBorder="1" applyAlignment="1">
      <alignment horizontal="center" vertical="center"/>
    </xf>
    <xf numFmtId="0" fontId="6" fillId="0" borderId="120" xfId="0" applyFont="1" applyBorder="1" applyAlignment="1">
      <alignment horizontal="center" vertical="center"/>
    </xf>
    <xf numFmtId="0" fontId="109" fillId="0" borderId="172" xfId="0" applyFont="1" applyBorder="1" applyAlignment="1">
      <alignment vertical="center"/>
    </xf>
    <xf numFmtId="0" fontId="6" fillId="0" borderId="211" xfId="0" applyFont="1" applyBorder="1" applyAlignment="1">
      <alignment horizontal="center" vertical="center"/>
    </xf>
    <xf numFmtId="0" fontId="83" fillId="0" borderId="211" xfId="0" applyFont="1" applyBorder="1" applyAlignment="1">
      <alignment horizontal="center" vertical="center"/>
    </xf>
    <xf numFmtId="0" fontId="6" fillId="0" borderId="212" xfId="0" applyFont="1" applyBorder="1" applyAlignment="1">
      <alignment horizontal="center" vertical="center"/>
    </xf>
    <xf numFmtId="0" fontId="6" fillId="0" borderId="309" xfId="0" applyFont="1" applyBorder="1" applyAlignment="1">
      <alignment horizontal="center" vertical="center"/>
    </xf>
    <xf numFmtId="0" fontId="131" fillId="0" borderId="3" xfId="0" applyFont="1" applyBorder="1" applyAlignment="1">
      <alignment horizontal="right" vertical="center"/>
    </xf>
    <xf numFmtId="0" fontId="131" fillId="0" borderId="3" xfId="0" applyFont="1" applyBorder="1" applyAlignment="1">
      <alignment horizontal="center" vertical="center"/>
    </xf>
    <xf numFmtId="0" fontId="43" fillId="11" borderId="0" xfId="0" applyFont="1" applyFill="1" applyAlignment="1">
      <alignment vertical="center"/>
    </xf>
    <xf numFmtId="0" fontId="40" fillId="11" borderId="0" xfId="0" applyFont="1" applyFill="1" applyAlignment="1">
      <alignment horizontal="left" vertical="center"/>
    </xf>
    <xf numFmtId="0" fontId="71" fillId="11" borderId="0" xfId="0" applyFont="1" applyFill="1" applyAlignment="1">
      <alignment horizontal="center" vertical="center"/>
    </xf>
    <xf numFmtId="0" fontId="42" fillId="11" borderId="198" xfId="0" applyFont="1" applyFill="1" applyBorder="1" applyAlignment="1">
      <alignment vertical="center"/>
    </xf>
    <xf numFmtId="0" fontId="58" fillId="0" borderId="138" xfId="0" applyFont="1" applyBorder="1" applyAlignment="1">
      <alignment horizontal="center" vertical="center"/>
    </xf>
    <xf numFmtId="0" fontId="68" fillId="0" borderId="139" xfId="0" applyFont="1" applyBorder="1" applyAlignment="1">
      <alignment horizontal="right" vertical="center"/>
    </xf>
    <xf numFmtId="0" fontId="68" fillId="0" borderId="139" xfId="0" applyFont="1" applyBorder="1" applyAlignment="1">
      <alignment horizontal="center" vertical="center"/>
    </xf>
    <xf numFmtId="0" fontId="39" fillId="0" borderId="139" xfId="0" applyFont="1" applyBorder="1" applyAlignment="1">
      <alignment horizontal="center" vertical="center"/>
    </xf>
    <xf numFmtId="1" fontId="82" fillId="0" borderId="139" xfId="0" applyNumberFormat="1" applyFont="1" applyBorder="1" applyAlignment="1">
      <alignment vertical="center"/>
    </xf>
    <xf numFmtId="1" fontId="44" fillId="0" borderId="139" xfId="0" applyNumberFormat="1" applyFont="1" applyBorder="1" applyAlignment="1">
      <alignment vertical="center"/>
    </xf>
    <xf numFmtId="0" fontId="0" fillId="0" borderId="139" xfId="0" applyBorder="1"/>
    <xf numFmtId="0" fontId="0" fillId="0" borderId="150" xfId="0" applyBorder="1"/>
    <xf numFmtId="0" fontId="124" fillId="0" borderId="139" xfId="0" applyFont="1" applyBorder="1" applyAlignment="1">
      <alignment horizontal="right" vertical="center"/>
    </xf>
    <xf numFmtId="1" fontId="38" fillId="0" borderId="139" xfId="0" applyNumberFormat="1" applyFont="1" applyBorder="1" applyAlignment="1">
      <alignment vertical="center"/>
    </xf>
    <xf numFmtId="0" fontId="6" fillId="9" borderId="6" xfId="0" applyFont="1" applyFill="1" applyBorder="1" applyAlignment="1">
      <alignment horizontal="center" vertical="center"/>
    </xf>
    <xf numFmtId="0" fontId="59" fillId="0" borderId="138" xfId="0" applyFont="1" applyBorder="1" applyAlignment="1">
      <alignment horizontal="left" vertical="center"/>
    </xf>
    <xf numFmtId="1" fontId="132" fillId="0" borderId="210" xfId="0" applyNumberFormat="1" applyFont="1" applyBorder="1" applyAlignment="1">
      <alignment horizontal="center" vertical="center"/>
    </xf>
    <xf numFmtId="1" fontId="132" fillId="0" borderId="311" xfId="0" applyNumberFormat="1" applyFont="1" applyBorder="1" applyAlignment="1">
      <alignment horizontal="center" vertical="center"/>
    </xf>
    <xf numFmtId="0" fontId="68" fillId="0" borderId="2" xfId="0" applyFont="1" applyBorder="1" applyAlignment="1">
      <alignment horizontal="center" vertical="center"/>
    </xf>
    <xf numFmtId="0" fontId="68" fillId="0" borderId="132" xfId="0" applyFont="1" applyBorder="1" applyAlignment="1">
      <alignment horizontal="center" vertical="center"/>
    </xf>
    <xf numFmtId="0" fontId="133" fillId="0" borderId="0" xfId="0" applyFont="1" applyAlignment="1">
      <alignment vertical="center"/>
    </xf>
    <xf numFmtId="0" fontId="8" fillId="0" borderId="0" xfId="0" applyFont="1" applyAlignment="1">
      <alignment horizontal="center" vertical="center"/>
    </xf>
    <xf numFmtId="167" fontId="135" fillId="0" borderId="275" xfId="1" applyNumberFormat="1" applyFont="1" applyBorder="1" applyAlignment="1">
      <alignment horizontal="center" vertical="center"/>
    </xf>
    <xf numFmtId="0" fontId="94" fillId="0" borderId="281" xfId="0" applyFont="1" applyBorder="1" applyAlignment="1">
      <alignment vertical="center"/>
    </xf>
    <xf numFmtId="167" fontId="135" fillId="0" borderId="277" xfId="1" applyNumberFormat="1" applyFont="1" applyBorder="1" applyAlignment="1">
      <alignment horizontal="center" vertical="center"/>
    </xf>
    <xf numFmtId="0" fontId="94" fillId="0" borderId="274" xfId="0" applyFont="1" applyBorder="1" applyAlignment="1">
      <alignment vertical="center"/>
    </xf>
    <xf numFmtId="0" fontId="94" fillId="0" borderId="282" xfId="0" applyFont="1" applyBorder="1" applyAlignment="1">
      <alignment vertical="center"/>
    </xf>
    <xf numFmtId="0" fontId="124" fillId="0" borderId="203" xfId="0" applyFont="1" applyBorder="1" applyAlignment="1">
      <alignment horizontal="right" vertical="center"/>
    </xf>
    <xf numFmtId="0" fontId="120" fillId="0" borderId="310" xfId="0" applyFont="1" applyBorder="1" applyAlignment="1">
      <alignment vertical="center"/>
    </xf>
    <xf numFmtId="0" fontId="120" fillId="0" borderId="41" xfId="0" applyFont="1" applyBorder="1" applyAlignment="1">
      <alignment vertical="center"/>
    </xf>
    <xf numFmtId="0" fontId="49" fillId="0" borderId="201" xfId="0" applyFont="1" applyBorder="1" applyAlignment="1">
      <alignment horizontal="center" vertical="center"/>
    </xf>
    <xf numFmtId="0" fontId="49" fillId="0" borderId="136" xfId="0" applyFont="1" applyBorder="1" applyAlignment="1">
      <alignment horizontal="center" vertical="center"/>
    </xf>
    <xf numFmtId="0" fontId="49" fillId="0" borderId="196" xfId="0" applyFont="1" applyBorder="1" applyAlignment="1">
      <alignment horizontal="center" vertical="center"/>
    </xf>
    <xf numFmtId="0" fontId="49" fillId="0" borderId="65" xfId="0" applyFont="1" applyBorder="1" applyAlignment="1">
      <alignment horizontal="center" vertical="center"/>
    </xf>
    <xf numFmtId="0" fontId="49" fillId="0" borderId="214" xfId="0" applyFont="1" applyBorder="1" applyAlignment="1">
      <alignment horizontal="center" vertical="center"/>
    </xf>
    <xf numFmtId="0" fontId="68" fillId="0" borderId="313" xfId="0" applyFont="1" applyBorder="1" applyAlignment="1">
      <alignment horizontal="center" vertical="center"/>
    </xf>
    <xf numFmtId="0" fontId="49" fillId="0" borderId="313" xfId="0" applyFont="1" applyBorder="1" applyAlignment="1">
      <alignment horizontal="center" vertical="center"/>
    </xf>
    <xf numFmtId="0" fontId="124" fillId="0" borderId="314" xfId="0" applyFont="1" applyBorder="1" applyAlignment="1">
      <alignment horizontal="right" vertical="center"/>
    </xf>
    <xf numFmtId="0" fontId="59" fillId="0" borderId="315" xfId="0" applyFont="1" applyBorder="1" applyAlignment="1">
      <alignment horizontal="left" vertical="center"/>
    </xf>
    <xf numFmtId="0" fontId="39" fillId="0" borderId="120" xfId="0" applyFont="1" applyBorder="1" applyAlignment="1">
      <alignment horizontal="center" vertical="center"/>
    </xf>
    <xf numFmtId="1" fontId="82" fillId="0" borderId="313" xfId="0" applyNumberFormat="1" applyFont="1" applyBorder="1" applyAlignment="1">
      <alignment vertical="center"/>
    </xf>
    <xf numFmtId="1" fontId="44" fillId="0" borderId="316" xfId="0" applyNumberFormat="1" applyFont="1" applyBorder="1" applyAlignment="1">
      <alignment vertical="center"/>
    </xf>
    <xf numFmtId="1" fontId="31" fillId="0" borderId="313" xfId="0" applyNumberFormat="1" applyFont="1" applyBorder="1" applyAlignment="1">
      <alignment vertical="center"/>
    </xf>
    <xf numFmtId="1" fontId="44" fillId="0" borderId="313" xfId="0" applyNumberFormat="1" applyFont="1" applyBorder="1" applyAlignment="1">
      <alignment vertical="center"/>
    </xf>
    <xf numFmtId="1" fontId="44" fillId="0" borderId="317" xfId="0" applyNumberFormat="1" applyFont="1" applyBorder="1" applyAlignment="1">
      <alignment vertical="center"/>
    </xf>
    <xf numFmtId="0" fontId="49" fillId="0" borderId="139" xfId="0" applyFont="1" applyBorder="1" applyAlignment="1">
      <alignment horizontal="center" vertical="center"/>
    </xf>
    <xf numFmtId="0" fontId="124" fillId="0" borderId="318" xfId="0" applyFont="1" applyBorder="1" applyAlignment="1">
      <alignment horizontal="right" vertical="center"/>
    </xf>
    <xf numFmtId="1" fontId="31" fillId="0" borderId="139" xfId="0" applyNumberFormat="1" applyFont="1" applyBorder="1" applyAlignment="1">
      <alignment vertical="center"/>
    </xf>
    <xf numFmtId="1" fontId="44" fillId="0" borderId="319" xfId="0" applyNumberFormat="1" applyFont="1" applyBorder="1" applyAlignment="1">
      <alignment vertical="center"/>
    </xf>
    <xf numFmtId="0" fontId="49" fillId="0" borderId="161" xfId="0" applyFont="1" applyBorder="1" applyAlignment="1">
      <alignment horizontal="center" vertical="center"/>
    </xf>
    <xf numFmtId="0" fontId="124" fillId="0" borderId="321" xfId="0" applyFont="1" applyBorder="1" applyAlignment="1">
      <alignment horizontal="right" vertical="center"/>
    </xf>
    <xf numFmtId="1" fontId="44" fillId="0" borderId="201" xfId="0" applyNumberFormat="1" applyFont="1" applyBorder="1" applyAlignment="1">
      <alignment vertical="center"/>
    </xf>
    <xf numFmtId="0" fontId="120" fillId="0" borderId="90" xfId="0" applyFont="1" applyBorder="1" applyAlignment="1">
      <alignment vertical="center"/>
    </xf>
    <xf numFmtId="0" fontId="120" fillId="0" borderId="3" xfId="0" applyFont="1" applyBorder="1" applyAlignment="1">
      <alignment horizontal="center" vertical="center"/>
    </xf>
    <xf numFmtId="0" fontId="120" fillId="0" borderId="195" xfId="0" applyFont="1" applyBorder="1" applyAlignment="1">
      <alignment vertical="center"/>
    </xf>
    <xf numFmtId="0" fontId="120" fillId="0" borderId="208" xfId="0" applyFont="1" applyBorder="1" applyAlignment="1">
      <alignment vertical="center"/>
    </xf>
    <xf numFmtId="0" fontId="120" fillId="0" borderId="202" xfId="0" applyFont="1" applyBorder="1" applyAlignment="1">
      <alignment vertical="center"/>
    </xf>
    <xf numFmtId="0" fontId="120" fillId="0" borderId="172" xfId="0" applyFont="1" applyBorder="1" applyAlignment="1">
      <alignment vertical="center"/>
    </xf>
    <xf numFmtId="0" fontId="120" fillId="0" borderId="312" xfId="0" applyFont="1" applyBorder="1" applyAlignment="1">
      <alignment vertical="center"/>
    </xf>
    <xf numFmtId="0" fontId="120" fillId="0" borderId="315" xfId="0" applyFont="1" applyBorder="1" applyAlignment="1">
      <alignment vertical="center"/>
    </xf>
    <xf numFmtId="0" fontId="120" fillId="0" borderId="320" xfId="0" applyFont="1" applyBorder="1" applyAlignment="1">
      <alignment vertical="center"/>
    </xf>
    <xf numFmtId="0" fontId="120" fillId="0" borderId="215" xfId="0" applyFont="1" applyBorder="1" applyAlignment="1">
      <alignment vertical="center"/>
    </xf>
    <xf numFmtId="49" fontId="120" fillId="0" borderId="6" xfId="0" applyNumberFormat="1" applyFont="1" applyBorder="1" applyAlignment="1">
      <alignment vertical="center"/>
    </xf>
    <xf numFmtId="0" fontId="49" fillId="0" borderId="1" xfId="0" applyFont="1" applyBorder="1" applyAlignment="1">
      <alignment horizontal="center" vertical="center"/>
    </xf>
    <xf numFmtId="0" fontId="49" fillId="0" borderId="95" xfId="0" applyFont="1" applyBorder="1" applyAlignment="1">
      <alignment horizontal="center" vertical="center"/>
    </xf>
    <xf numFmtId="0" fontId="49" fillId="0" borderId="64" xfId="0" applyFont="1" applyBorder="1" applyAlignment="1">
      <alignment horizontal="center" vertical="center"/>
    </xf>
    <xf numFmtId="0" fontId="120" fillId="0" borderId="157" xfId="0" applyFont="1" applyBorder="1" applyAlignment="1">
      <alignment vertical="center"/>
    </xf>
    <xf numFmtId="0" fontId="120" fillId="0" borderId="144" xfId="0" applyFont="1" applyBorder="1" applyAlignment="1">
      <alignment vertical="center"/>
    </xf>
    <xf numFmtId="49" fontId="120" fillId="0" borderId="13" xfId="0" applyNumberFormat="1" applyFont="1" applyBorder="1" applyAlignment="1">
      <alignment vertical="center"/>
    </xf>
    <xf numFmtId="0" fontId="120" fillId="0" borderId="3" xfId="0" applyFont="1" applyBorder="1" applyAlignment="1">
      <alignment vertical="center"/>
    </xf>
    <xf numFmtId="0" fontId="6" fillId="13" borderId="94" xfId="0" applyFont="1" applyFill="1" applyBorder="1" applyAlignment="1">
      <alignment horizontal="center" vertical="center"/>
    </xf>
    <xf numFmtId="0" fontId="6" fillId="13" borderId="104" xfId="0" applyFont="1" applyFill="1" applyBorder="1" applyAlignment="1">
      <alignment horizontal="center" vertical="center"/>
    </xf>
    <xf numFmtId="1" fontId="136" fillId="0" borderId="5" xfId="0" applyNumberFormat="1" applyFont="1" applyBorder="1" applyAlignment="1">
      <alignment horizontal="center" vertical="center"/>
    </xf>
    <xf numFmtId="0" fontId="30" fillId="0" borderId="184" xfId="0" applyFont="1" applyBorder="1" applyAlignment="1">
      <alignment horizontal="left" vertical="center"/>
    </xf>
    <xf numFmtId="0" fontId="59" fillId="0" borderId="215" xfId="0" applyFont="1" applyBorder="1" applyAlignment="1">
      <alignment horizontal="left" vertical="center"/>
    </xf>
    <xf numFmtId="1" fontId="44" fillId="0" borderId="323" xfId="0" applyNumberFormat="1" applyFont="1" applyBorder="1" applyAlignment="1">
      <alignment vertical="center"/>
    </xf>
    <xf numFmtId="0" fontId="120" fillId="0" borderId="302" xfId="13" applyFont="1" applyBorder="1" applyAlignment="1">
      <alignment vertical="center"/>
    </xf>
    <xf numFmtId="0" fontId="120" fillId="0" borderId="174" xfId="0" applyFont="1" applyBorder="1" applyAlignment="1">
      <alignment vertical="center"/>
    </xf>
    <xf numFmtId="0" fontId="6" fillId="9" borderId="98" xfId="0" applyFont="1" applyFill="1" applyBorder="1" applyAlignment="1">
      <alignment horizontal="center" vertical="center"/>
    </xf>
    <xf numFmtId="171" fontId="100" fillId="0" borderId="0" xfId="0" applyNumberFormat="1" applyFont="1"/>
    <xf numFmtId="0" fontId="19" fillId="0" borderId="0" xfId="0" applyFont="1" applyAlignment="1">
      <alignment horizontal="center" vertical="center"/>
    </xf>
    <xf numFmtId="0" fontId="16" fillId="0" borderId="1" xfId="0" applyFont="1" applyBorder="1" applyAlignment="1">
      <alignment horizontal="center" vertical="center"/>
    </xf>
    <xf numFmtId="0" fontId="15" fillId="0" borderId="0" xfId="0" applyFont="1" applyAlignment="1">
      <alignment horizontal="center" vertical="center"/>
    </xf>
    <xf numFmtId="0" fontId="137" fillId="0" borderId="182" xfId="0" applyFont="1" applyBorder="1" applyAlignment="1">
      <alignment horizontal="center" vertical="center"/>
    </xf>
    <xf numFmtId="0" fontId="137" fillId="0" borderId="0" xfId="0" applyFont="1" applyAlignment="1">
      <alignment horizontal="center" vertical="center"/>
    </xf>
    <xf numFmtId="0" fontId="109" fillId="0" borderId="14" xfId="0" applyFont="1" applyBorder="1" applyAlignment="1">
      <alignment horizontal="center" vertical="center"/>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19" fillId="0" borderId="7" xfId="0" applyFont="1" applyBorder="1" applyAlignment="1">
      <alignment horizontal="center" vertical="center"/>
    </xf>
    <xf numFmtId="0" fontId="49" fillId="0" borderId="30" xfId="0" applyFont="1" applyBorder="1" applyAlignment="1">
      <alignment horizontal="center" vertical="center"/>
    </xf>
    <xf numFmtId="0" fontId="49" fillId="0" borderId="25" xfId="0" applyFont="1" applyBorder="1" applyAlignment="1">
      <alignment horizontal="center" vertical="center"/>
    </xf>
    <xf numFmtId="0" fontId="19" fillId="0" borderId="23" xfId="0" applyFont="1" applyBorder="1" applyAlignment="1">
      <alignment horizontal="center" vertical="center"/>
    </xf>
    <xf numFmtId="0" fontId="19" fillId="0" borderId="2" xfId="0" applyFont="1" applyBorder="1" applyAlignment="1">
      <alignment horizontal="center" vertical="center"/>
    </xf>
    <xf numFmtId="0" fontId="120" fillId="0" borderId="2" xfId="0" applyFont="1" applyBorder="1" applyAlignment="1">
      <alignment horizontal="center" vertical="center"/>
    </xf>
    <xf numFmtId="0" fontId="109" fillId="0" borderId="3" xfId="0" applyFont="1" applyBorder="1" applyAlignment="1">
      <alignment horizontal="center" vertical="center"/>
    </xf>
    <xf numFmtId="0" fontId="109" fillId="0" borderId="132" xfId="0" applyFont="1" applyBorder="1" applyAlignment="1">
      <alignment horizontal="center" vertical="center"/>
    </xf>
    <xf numFmtId="0" fontId="109" fillId="0" borderId="2" xfId="0" applyFont="1" applyBorder="1" applyAlignment="1">
      <alignment horizontal="center" vertical="center"/>
    </xf>
    <xf numFmtId="0" fontId="19" fillId="0" borderId="37" xfId="0" applyFont="1" applyBorder="1" applyAlignment="1">
      <alignment horizontal="center" vertical="center"/>
    </xf>
    <xf numFmtId="0" fontId="19" fillId="0" borderId="49" xfId="0" applyFont="1" applyBorder="1" applyAlignment="1">
      <alignment horizontal="center" vertical="center"/>
    </xf>
    <xf numFmtId="0" fontId="49" fillId="0" borderId="169" xfId="0" applyFont="1" applyBorder="1" applyAlignment="1">
      <alignment horizontal="center" vertical="center"/>
    </xf>
    <xf numFmtId="0" fontId="49" fillId="0" borderId="2" xfId="0" applyFont="1" applyBorder="1" applyAlignment="1">
      <alignment horizontal="center" vertical="center"/>
    </xf>
    <xf numFmtId="0" fontId="49" fillId="0" borderId="55" xfId="0" applyFont="1" applyBorder="1" applyAlignment="1">
      <alignment horizontal="center" vertical="center"/>
    </xf>
    <xf numFmtId="0" fontId="19" fillId="0" borderId="57" xfId="0" applyFont="1" applyBorder="1" applyAlignment="1">
      <alignment horizontal="center" vertical="center"/>
    </xf>
    <xf numFmtId="0" fontId="138" fillId="0" borderId="14" xfId="0" applyFont="1" applyBorder="1" applyAlignment="1">
      <alignment horizontal="center" vertical="center"/>
    </xf>
    <xf numFmtId="0" fontId="49" fillId="0" borderId="0" xfId="0" applyFont="1" applyAlignment="1">
      <alignment horizontal="center" vertical="center"/>
    </xf>
    <xf numFmtId="0" fontId="19" fillId="0" borderId="14" xfId="0" applyFont="1" applyBorder="1" applyAlignment="1">
      <alignment horizontal="center" vertical="center"/>
    </xf>
    <xf numFmtId="0" fontId="19" fillId="0" borderId="71" xfId="0" applyFont="1" applyBorder="1" applyAlignment="1">
      <alignment horizontal="center" vertical="center"/>
    </xf>
    <xf numFmtId="0" fontId="19" fillId="0" borderId="132" xfId="0" applyFont="1" applyBorder="1" applyAlignment="1">
      <alignment horizontal="center" vertical="center"/>
    </xf>
    <xf numFmtId="0" fontId="19" fillId="0" borderId="85" xfId="0" applyFont="1" applyBorder="1" applyAlignment="1">
      <alignment horizontal="center" vertical="center"/>
    </xf>
    <xf numFmtId="0" fontId="139" fillId="0" borderId="89" xfId="0" applyFont="1" applyBorder="1" applyAlignment="1">
      <alignment horizontal="center" vertical="center"/>
    </xf>
    <xf numFmtId="0" fontId="19" fillId="0" borderId="63" xfId="0" applyFont="1" applyBorder="1" applyAlignment="1">
      <alignment horizontal="center" vertical="center"/>
    </xf>
    <xf numFmtId="0" fontId="19" fillId="0" borderId="91" xfId="0" applyFont="1" applyBorder="1" applyAlignment="1">
      <alignment horizontal="center" vertical="center"/>
    </xf>
    <xf numFmtId="0" fontId="19" fillId="0" borderId="64" xfId="0" applyFont="1" applyBorder="1" applyAlignment="1">
      <alignment horizontal="center" vertical="center"/>
    </xf>
    <xf numFmtId="0" fontId="120" fillId="0" borderId="139" xfId="0" applyFont="1" applyBorder="1" applyAlignment="1">
      <alignment horizontal="center" vertical="center"/>
    </xf>
    <xf numFmtId="0" fontId="140" fillId="0" borderId="139" xfId="0" applyFont="1" applyBorder="1" applyAlignment="1">
      <alignment horizontal="center" vertical="center"/>
    </xf>
    <xf numFmtId="0" fontId="141" fillId="0" borderId="139" xfId="0" applyFont="1" applyBorder="1" applyAlignment="1">
      <alignment horizontal="center" vertical="center"/>
    </xf>
    <xf numFmtId="0" fontId="142" fillId="0" borderId="139" xfId="0" applyFont="1" applyBorder="1" applyAlignment="1">
      <alignment horizontal="center" vertical="center"/>
    </xf>
    <xf numFmtId="0" fontId="143" fillId="0" borderId="2" xfId="0" applyFont="1" applyBorder="1" applyAlignment="1">
      <alignment horizontal="center" vertical="center"/>
    </xf>
    <xf numFmtId="0" fontId="143" fillId="0" borderId="3" xfId="0" applyFont="1" applyBorder="1" applyAlignment="1">
      <alignment horizontal="center" vertical="center"/>
    </xf>
    <xf numFmtId="0" fontId="140" fillId="0" borderId="3" xfId="0" applyFont="1" applyBorder="1" applyAlignment="1">
      <alignment horizontal="center" vertical="center"/>
    </xf>
    <xf numFmtId="0" fontId="142" fillId="0" borderId="3" xfId="0" applyFont="1" applyBorder="1" applyAlignment="1">
      <alignment horizontal="center" vertical="center"/>
    </xf>
    <xf numFmtId="0" fontId="19" fillId="0" borderId="95" xfId="0" applyFont="1" applyBorder="1" applyAlignment="1">
      <alignment horizontal="center" vertical="center"/>
    </xf>
    <xf numFmtId="0" fontId="19" fillId="0" borderId="1" xfId="0" applyFont="1" applyBorder="1" applyAlignment="1">
      <alignment horizontal="center" vertical="center"/>
    </xf>
    <xf numFmtId="0" fontId="144" fillId="0" borderId="0" xfId="0" applyFont="1" applyAlignment="1">
      <alignment horizontal="center" vertical="center"/>
    </xf>
    <xf numFmtId="0" fontId="138" fillId="0" borderId="3" xfId="0" applyFont="1" applyBorder="1" applyAlignment="1">
      <alignment horizontal="center" vertical="center"/>
    </xf>
    <xf numFmtId="0" fontId="26" fillId="0" borderId="20" xfId="0" applyFont="1" applyBorder="1" applyAlignment="1">
      <alignment vertical="center"/>
    </xf>
    <xf numFmtId="0" fontId="120" fillId="0" borderId="13" xfId="0" applyFont="1" applyBorder="1" applyAlignment="1">
      <alignment vertical="center"/>
    </xf>
    <xf numFmtId="0" fontId="68" fillId="0" borderId="324" xfId="0" applyFont="1" applyBorder="1" applyAlignment="1">
      <alignment horizontal="right" vertical="center"/>
    </xf>
    <xf numFmtId="0" fontId="59" fillId="0" borderId="322" xfId="0" applyFont="1" applyBorder="1" applyAlignment="1">
      <alignment horizontal="left" vertical="center"/>
    </xf>
    <xf numFmtId="1" fontId="82" fillId="0" borderId="65" xfId="0" applyNumberFormat="1" applyFont="1" applyBorder="1" applyAlignment="1">
      <alignment vertical="center"/>
    </xf>
    <xf numFmtId="1" fontId="44" fillId="0" borderId="280" xfId="0" applyNumberFormat="1" applyFont="1" applyBorder="1" applyAlignment="1">
      <alignment vertical="center"/>
    </xf>
    <xf numFmtId="1" fontId="44" fillId="0" borderId="65" xfId="0" applyNumberFormat="1" applyFont="1" applyBorder="1" applyAlignment="1">
      <alignment vertical="center"/>
    </xf>
    <xf numFmtId="1" fontId="44" fillId="0" borderId="325" xfId="0" applyNumberFormat="1" applyFont="1" applyBorder="1" applyAlignment="1">
      <alignment vertical="center"/>
    </xf>
    <xf numFmtId="0" fontId="39" fillId="0" borderId="137" xfId="0" applyFont="1" applyBorder="1" applyAlignment="1">
      <alignment horizontal="center" vertical="center"/>
    </xf>
    <xf numFmtId="0" fontId="6" fillId="0" borderId="326" xfId="0" applyFont="1" applyBorder="1" applyAlignment="1">
      <alignment horizontal="center" vertical="center"/>
    </xf>
    <xf numFmtId="0" fontId="120" fillId="0" borderId="327" xfId="0" applyFont="1" applyBorder="1" applyAlignment="1">
      <alignment vertical="center"/>
    </xf>
    <xf numFmtId="0" fontId="25" fillId="0" borderId="120" xfId="0" applyFont="1" applyBorder="1" applyAlignment="1">
      <alignment horizontal="center" vertical="center"/>
    </xf>
    <xf numFmtId="0" fontId="24" fillId="0" borderId="120" xfId="0" applyFont="1" applyBorder="1" applyAlignment="1">
      <alignment horizontal="left" vertical="center"/>
    </xf>
    <xf numFmtId="0" fontId="35" fillId="0" borderId="120" xfId="0" applyFont="1" applyBorder="1" applyAlignment="1">
      <alignment horizontal="center" vertical="center"/>
    </xf>
    <xf numFmtId="0" fontId="6" fillId="0" borderId="328" xfId="0" applyFont="1" applyBorder="1" applyAlignment="1">
      <alignment horizontal="center" vertical="center"/>
    </xf>
    <xf numFmtId="0" fontId="6" fillId="0" borderId="329" xfId="0" applyFont="1" applyBorder="1" applyAlignment="1">
      <alignment horizontal="center" vertical="center"/>
    </xf>
    <xf numFmtId="0" fontId="25" fillId="0" borderId="330" xfId="0" applyFont="1" applyBorder="1" applyAlignment="1">
      <alignment horizontal="right" vertical="center"/>
    </xf>
    <xf numFmtId="0" fontId="120" fillId="0" borderId="331" xfId="0" applyFont="1" applyBorder="1" applyAlignment="1">
      <alignment vertical="center"/>
    </xf>
    <xf numFmtId="0" fontId="31" fillId="0" borderId="307" xfId="0" applyFont="1" applyBorder="1" applyAlignment="1">
      <alignment horizontal="center" vertical="center"/>
    </xf>
    <xf numFmtId="0" fontId="140" fillId="0" borderId="307" xfId="0" applyFont="1" applyBorder="1" applyAlignment="1">
      <alignment horizontal="center" vertical="center"/>
    </xf>
    <xf numFmtId="0" fontId="24" fillId="0" borderId="307" xfId="0" applyFont="1" applyBorder="1" applyAlignment="1">
      <alignment horizontal="left" vertical="center"/>
    </xf>
    <xf numFmtId="0" fontId="35" fillId="0" borderId="307" xfId="0" applyFont="1" applyBorder="1" applyAlignment="1">
      <alignment horizontal="center" vertical="center"/>
    </xf>
    <xf numFmtId="0" fontId="6" fillId="0" borderId="307" xfId="0" applyFont="1" applyBorder="1" applyAlignment="1">
      <alignment horizontal="center" vertical="center"/>
    </xf>
    <xf numFmtId="0" fontId="6" fillId="0" borderId="332" xfId="0" applyFont="1" applyBorder="1" applyAlignment="1">
      <alignment horizontal="center" vertical="center"/>
    </xf>
    <xf numFmtId="0" fontId="68" fillId="0" borderId="333" xfId="0" applyFont="1" applyBorder="1" applyAlignment="1">
      <alignment horizontal="right" vertical="center"/>
    </xf>
    <xf numFmtId="0" fontId="22" fillId="0" borderId="334" xfId="0" applyFont="1" applyBorder="1" applyAlignment="1">
      <alignment vertical="center"/>
    </xf>
    <xf numFmtId="0" fontId="0" fillId="0" borderId="335" xfId="0" applyBorder="1" applyAlignment="1">
      <alignment horizontal="center" vertical="center"/>
    </xf>
    <xf numFmtId="0" fontId="19" fillId="0" borderId="335" xfId="0" applyFont="1" applyBorder="1" applyAlignment="1">
      <alignment horizontal="center" vertical="center"/>
    </xf>
    <xf numFmtId="0" fontId="123" fillId="0" borderId="335" xfId="0" applyFont="1" applyBorder="1" applyAlignment="1">
      <alignment horizontal="right" vertical="center"/>
    </xf>
    <xf numFmtId="0" fontId="62" fillId="0" borderId="334" xfId="0" applyFont="1" applyBorder="1" applyAlignment="1">
      <alignment horizontal="left" vertical="center"/>
    </xf>
    <xf numFmtId="0" fontId="0" fillId="0" borderId="335" xfId="0" applyBorder="1" applyAlignment="1">
      <alignment vertical="center"/>
    </xf>
    <xf numFmtId="0" fontId="3" fillId="0" borderId="335" xfId="0" applyFont="1" applyBorder="1" applyAlignment="1">
      <alignment vertical="center"/>
    </xf>
    <xf numFmtId="0" fontId="22" fillId="0" borderId="335" xfId="0" applyFont="1" applyBorder="1" applyAlignment="1">
      <alignment horizontal="center" vertical="center"/>
    </xf>
    <xf numFmtId="0" fontId="83" fillId="0" borderId="21" xfId="0" applyFont="1" applyBorder="1" applyAlignment="1">
      <alignment horizontal="center" vertical="center"/>
    </xf>
    <xf numFmtId="0" fontId="6" fillId="0" borderId="336" xfId="0" applyFont="1" applyBorder="1" applyAlignment="1">
      <alignment horizontal="right" vertical="center"/>
    </xf>
    <xf numFmtId="0" fontId="145" fillId="0" borderId="0" xfId="0" applyFont="1"/>
    <xf numFmtId="49" fontId="22" fillId="0" borderId="6" xfId="0" applyNumberFormat="1" applyFont="1" applyBorder="1" applyAlignment="1">
      <alignment vertical="center"/>
    </xf>
    <xf numFmtId="49" fontId="22" fillId="0" borderId="20" xfId="0" applyNumberFormat="1" applyFont="1" applyBorder="1" applyAlignment="1">
      <alignment vertical="center"/>
    </xf>
    <xf numFmtId="0" fontId="22" fillId="0" borderId="36" xfId="0" applyFont="1" applyBorder="1" applyAlignment="1">
      <alignment vertical="center"/>
    </xf>
    <xf numFmtId="0" fontId="120" fillId="0" borderId="218" xfId="0" applyFont="1" applyBorder="1" applyAlignment="1">
      <alignment vertical="center"/>
    </xf>
    <xf numFmtId="0" fontId="22" fillId="0" borderId="219" xfId="0" applyFont="1" applyBorder="1" applyAlignment="1">
      <alignment vertical="center"/>
    </xf>
    <xf numFmtId="0" fontId="22" fillId="0" borderId="84" xfId="0" applyFont="1" applyBorder="1" applyAlignment="1">
      <alignment vertical="center"/>
    </xf>
    <xf numFmtId="0" fontId="68" fillId="0" borderId="117" xfId="0" applyFont="1" applyBorder="1" applyAlignment="1">
      <alignment vertical="center"/>
    </xf>
    <xf numFmtId="0" fontId="68" fillId="0" borderId="102" xfId="0" applyFont="1" applyBorder="1" applyAlignment="1">
      <alignment vertical="center"/>
    </xf>
    <xf numFmtId="0" fontId="68" fillId="0" borderId="112" xfId="0" applyFont="1" applyBorder="1" applyAlignment="1">
      <alignment vertical="center"/>
    </xf>
    <xf numFmtId="0" fontId="146" fillId="0" borderId="0" xfId="0" applyFont="1" applyAlignment="1">
      <alignment vertical="center"/>
    </xf>
    <xf numFmtId="9" fontId="78" fillId="0" borderId="0" xfId="3" applyFont="1" applyFill="1" applyBorder="1" applyAlignment="1">
      <alignment vertical="center"/>
    </xf>
    <xf numFmtId="0" fontId="58" fillId="0" borderId="0" xfId="0" applyFont="1" applyAlignment="1">
      <alignment horizontal="center" vertical="center"/>
    </xf>
    <xf numFmtId="0" fontId="68" fillId="0" borderId="0" xfId="0" applyFont="1" applyAlignment="1">
      <alignment horizontal="right" vertical="center"/>
    </xf>
    <xf numFmtId="0" fontId="68" fillId="0" borderId="0" xfId="0" applyFont="1" applyAlignment="1">
      <alignment horizontal="center" vertical="center"/>
    </xf>
    <xf numFmtId="0" fontId="59" fillId="0" borderId="0" xfId="0" applyFont="1" applyAlignment="1">
      <alignment horizontal="left" vertical="center"/>
    </xf>
    <xf numFmtId="0" fontId="39" fillId="0" borderId="0" xfId="0" applyFont="1" applyAlignment="1">
      <alignment horizontal="center" vertical="center"/>
    </xf>
    <xf numFmtId="1" fontId="82" fillId="0" borderId="0" xfId="0" applyNumberFormat="1" applyFont="1" applyAlignment="1">
      <alignment vertical="center"/>
    </xf>
    <xf numFmtId="1" fontId="31" fillId="0" borderId="0" xfId="0" applyNumberFormat="1" applyFont="1" applyAlignment="1">
      <alignment vertical="center"/>
    </xf>
    <xf numFmtId="1" fontId="44" fillId="0" borderId="184" xfId="0" applyNumberFormat="1" applyFont="1" applyBorder="1" applyAlignment="1">
      <alignment vertical="center"/>
    </xf>
    <xf numFmtId="0" fontId="8" fillId="0" borderId="0" xfId="0" applyFont="1" applyAlignment="1">
      <alignment horizontal="center" vertical="justify"/>
    </xf>
    <xf numFmtId="0" fontId="115" fillId="0" borderId="152" xfId="0" applyFont="1" applyBorder="1" applyAlignment="1">
      <alignment horizontal="left" vertical="center" wrapText="1"/>
    </xf>
    <xf numFmtId="0" fontId="115" fillId="0" borderId="136" xfId="0" applyFont="1" applyBorder="1" applyAlignment="1">
      <alignment horizontal="left" vertical="center" wrapText="1"/>
    </xf>
    <xf numFmtId="0" fontId="115" fillId="0" borderId="151" xfId="0" applyFont="1" applyBorder="1" applyAlignment="1">
      <alignment horizontal="left" vertical="center" wrapText="1"/>
    </xf>
    <xf numFmtId="0" fontId="8" fillId="0" borderId="0" xfId="0" applyFont="1"/>
    <xf numFmtId="0" fontId="1" fillId="0" borderId="0" xfId="0" applyFont="1" applyAlignment="1">
      <alignment vertical="center"/>
    </xf>
    <xf numFmtId="0" fontId="149" fillId="0" borderId="0" xfId="0" applyFont="1" applyAlignment="1">
      <alignment vertical="center"/>
    </xf>
    <xf numFmtId="0" fontId="150" fillId="0" borderId="0" xfId="0" applyFont="1" applyAlignment="1">
      <alignment vertical="center"/>
    </xf>
    <xf numFmtId="2" fontId="149" fillId="0" borderId="0" xfId="0" applyNumberFormat="1" applyFont="1" applyAlignment="1">
      <alignment vertical="center"/>
    </xf>
    <xf numFmtId="0" fontId="61" fillId="0" borderId="0" xfId="0" applyFont="1" applyAlignment="1">
      <alignment horizontal="center" vertical="center" wrapText="1"/>
    </xf>
    <xf numFmtId="0" fontId="60" fillId="0" borderId="0" xfId="0" applyFont="1" applyAlignment="1">
      <alignment horizontal="center" vertical="center"/>
    </xf>
    <xf numFmtId="0" fontId="113" fillId="0" borderId="0" xfId="0" applyFont="1" applyAlignment="1">
      <alignment horizontal="left" vertical="center" wrapText="1"/>
    </xf>
    <xf numFmtId="0" fontId="108" fillId="0" borderId="161" xfId="0" applyFont="1" applyBorder="1" applyAlignment="1">
      <alignment horizontal="center" vertical="center"/>
    </xf>
    <xf numFmtId="0" fontId="81" fillId="0" borderId="194" xfId="0" applyFont="1" applyBorder="1" applyAlignment="1">
      <alignment horizontal="right" vertical="center"/>
    </xf>
    <xf numFmtId="1" fontId="82" fillId="0" borderId="196" xfId="0" applyNumberFormat="1" applyFont="1" applyBorder="1" applyAlignment="1">
      <alignment vertical="center"/>
    </xf>
    <xf numFmtId="1" fontId="38" fillId="0" borderId="65" xfId="0" applyNumberFormat="1" applyFont="1" applyBorder="1" applyAlignment="1">
      <alignment vertical="center"/>
    </xf>
    <xf numFmtId="1" fontId="31" fillId="0" borderId="160" xfId="0" applyNumberFormat="1" applyFont="1" applyBorder="1" applyAlignment="1">
      <alignment vertical="center"/>
    </xf>
    <xf numFmtId="1" fontId="44" fillId="0" borderId="205" xfId="0" applyNumberFormat="1" applyFont="1" applyBorder="1" applyAlignment="1">
      <alignment vertical="center"/>
    </xf>
    <xf numFmtId="0" fontId="110" fillId="0" borderId="117" xfId="0" applyFont="1" applyBorder="1" applyAlignment="1">
      <alignment vertical="center"/>
    </xf>
    <xf numFmtId="0" fontId="68" fillId="0" borderId="208" xfId="0" applyFont="1" applyBorder="1" applyAlignment="1">
      <alignment vertical="center"/>
    </xf>
    <xf numFmtId="0" fontId="19" fillId="0" borderId="288" xfId="0" applyFont="1" applyBorder="1" applyAlignment="1">
      <alignment vertical="center"/>
    </xf>
    <xf numFmtId="0" fontId="58" fillId="0" borderId="338" xfId="0" applyFont="1" applyBorder="1" applyAlignment="1">
      <alignment horizontal="center" vertical="center"/>
    </xf>
    <xf numFmtId="0" fontId="68" fillId="0" borderId="339" xfId="0" applyFont="1" applyBorder="1" applyAlignment="1">
      <alignment horizontal="right" vertical="center"/>
    </xf>
    <xf numFmtId="1" fontId="82" fillId="0" borderId="340" xfId="0" applyNumberFormat="1" applyFont="1" applyBorder="1" applyAlignment="1">
      <alignment vertical="center"/>
    </xf>
    <xf numFmtId="1" fontId="31" fillId="0" borderId="340" xfId="0" applyNumberFormat="1" applyFont="1" applyBorder="1" applyAlignment="1">
      <alignment vertical="center"/>
    </xf>
    <xf numFmtId="0" fontId="0" fillId="0" borderId="340" xfId="0" applyBorder="1"/>
    <xf numFmtId="0" fontId="0" fillId="0" borderId="341" xfId="0" applyBorder="1"/>
    <xf numFmtId="0" fontId="58" fillId="13" borderId="186" xfId="0" applyFont="1" applyFill="1" applyBorder="1" applyAlignment="1">
      <alignment horizontal="center" vertical="center"/>
    </xf>
    <xf numFmtId="0" fontId="30" fillId="0" borderId="185" xfId="0" applyFont="1" applyBorder="1" applyAlignment="1">
      <alignment horizontal="left" vertical="center"/>
    </xf>
    <xf numFmtId="0" fontId="6" fillId="0" borderId="137" xfId="0" applyFont="1" applyBorder="1" applyAlignment="1">
      <alignment vertical="center"/>
    </xf>
    <xf numFmtId="0" fontId="32" fillId="0" borderId="137" xfId="0" applyFont="1" applyBorder="1" applyAlignment="1">
      <alignment horizontal="center" vertical="center"/>
    </xf>
    <xf numFmtId="0" fontId="6" fillId="0" borderId="301" xfId="0" applyFont="1" applyBorder="1" applyAlignment="1">
      <alignment vertical="center"/>
    </xf>
    <xf numFmtId="0" fontId="22" fillId="0" borderId="343" xfId="0" applyFont="1" applyBorder="1" applyAlignment="1">
      <alignment vertical="center"/>
    </xf>
    <xf numFmtId="0" fontId="147" fillId="0" borderId="194" xfId="0" applyFont="1" applyBorder="1" applyAlignment="1">
      <alignment horizontal="right" vertical="center"/>
    </xf>
    <xf numFmtId="0" fontId="59" fillId="0" borderId="195" xfId="0" applyFont="1" applyBorder="1" applyAlignment="1">
      <alignment horizontal="left" vertical="center"/>
    </xf>
    <xf numFmtId="0" fontId="22" fillId="0" borderId="344" xfId="0" applyFont="1" applyBorder="1" applyAlignment="1">
      <alignment vertical="center"/>
    </xf>
    <xf numFmtId="0" fontId="147" fillId="0" borderId="216" xfId="0" applyFont="1" applyBorder="1" applyAlignment="1">
      <alignment horizontal="right" vertical="center"/>
    </xf>
    <xf numFmtId="0" fontId="0" fillId="0" borderId="214" xfId="0" applyBorder="1"/>
    <xf numFmtId="0" fontId="0" fillId="0" borderId="217" xfId="0" applyBorder="1"/>
    <xf numFmtId="0" fontId="120" fillId="0" borderId="345" xfId="0" applyFont="1" applyBorder="1" applyAlignment="1">
      <alignment vertical="center"/>
    </xf>
    <xf numFmtId="0" fontId="68" fillId="0" borderId="160" xfId="0" applyFont="1" applyBorder="1" applyAlignment="1">
      <alignment horizontal="center" vertical="center"/>
    </xf>
    <xf numFmtId="0" fontId="49" fillId="0" borderId="160" xfId="0" applyFont="1" applyBorder="1" applyAlignment="1">
      <alignment horizontal="center" vertical="center"/>
    </xf>
    <xf numFmtId="0" fontId="124" fillId="0" borderId="346" xfId="0" applyFont="1" applyBorder="1" applyAlignment="1">
      <alignment horizontal="right" vertical="center"/>
    </xf>
    <xf numFmtId="0" fontId="59" fillId="0" borderId="347" xfId="0" applyFont="1" applyBorder="1" applyAlignment="1">
      <alignment horizontal="left" vertical="center"/>
    </xf>
    <xf numFmtId="0" fontId="58" fillId="0" borderId="348" xfId="0" applyFont="1" applyBorder="1" applyAlignment="1">
      <alignment horizontal="center" vertical="center"/>
    </xf>
    <xf numFmtId="0" fontId="68" fillId="0" borderId="64" xfId="0" applyFont="1" applyBorder="1" applyAlignment="1">
      <alignment horizontal="right" vertical="center"/>
    </xf>
    <xf numFmtId="0" fontId="120" fillId="9" borderId="322" xfId="0" applyFont="1" applyFill="1" applyBorder="1" applyAlignment="1">
      <alignment vertical="center"/>
    </xf>
    <xf numFmtId="0" fontId="80" fillId="21" borderId="280" xfId="0" applyFont="1" applyFill="1" applyBorder="1" applyAlignment="1">
      <alignment horizontal="center" vertical="center"/>
    </xf>
    <xf numFmtId="0" fontId="49" fillId="21" borderId="280" xfId="0" applyFont="1" applyFill="1" applyBorder="1" applyAlignment="1">
      <alignment horizontal="center" vertical="center"/>
    </xf>
    <xf numFmtId="0" fontId="124" fillId="21" borderId="342" xfId="0" applyFont="1" applyFill="1" applyBorder="1" applyAlignment="1">
      <alignment horizontal="right" vertical="center"/>
    </xf>
    <xf numFmtId="0" fontId="39" fillId="0" borderId="64" xfId="0" applyFont="1" applyBorder="1" applyAlignment="1">
      <alignment horizontal="center" vertical="center"/>
    </xf>
    <xf numFmtId="1" fontId="82" fillId="0" borderId="64" xfId="0" applyNumberFormat="1" applyFont="1" applyBorder="1" applyAlignment="1">
      <alignment vertical="center"/>
    </xf>
    <xf numFmtId="1" fontId="31" fillId="0" borderId="64" xfId="0" applyNumberFormat="1" applyFont="1" applyBorder="1" applyAlignment="1">
      <alignment vertical="center"/>
    </xf>
    <xf numFmtId="1" fontId="44" fillId="0" borderId="64" xfId="0" applyNumberFormat="1" applyFont="1" applyBorder="1" applyAlignment="1">
      <alignment vertical="center"/>
    </xf>
    <xf numFmtId="1" fontId="44" fillId="0" borderId="349" xfId="0" applyNumberFormat="1" applyFont="1" applyBorder="1" applyAlignment="1">
      <alignment vertical="center"/>
    </xf>
    <xf numFmtId="0" fontId="91" fillId="9" borderId="0" xfId="0" applyFont="1" applyFill="1" applyAlignment="1">
      <alignment vertical="center"/>
    </xf>
    <xf numFmtId="0" fontId="32" fillId="0" borderId="222" xfId="0" applyFont="1" applyBorder="1" applyAlignment="1">
      <alignment horizontal="center" shrinkToFit="1"/>
    </xf>
    <xf numFmtId="0" fontId="32" fillId="0" borderId="225" xfId="0" applyFont="1" applyBorder="1" applyAlignment="1">
      <alignment horizontal="center" shrinkToFit="1"/>
    </xf>
    <xf numFmtId="0" fontId="22" fillId="0" borderId="90" xfId="0" applyFont="1" applyBorder="1" applyAlignment="1">
      <alignment vertical="center"/>
    </xf>
    <xf numFmtId="0" fontId="94" fillId="9" borderId="0" xfId="0" applyFont="1" applyFill="1" applyAlignment="1">
      <alignment vertical="center"/>
    </xf>
    <xf numFmtId="0" fontId="78" fillId="9" borderId="0" xfId="0" applyFont="1" applyFill="1" applyAlignment="1">
      <alignment vertical="center"/>
    </xf>
    <xf numFmtId="0" fontId="58" fillId="0" borderId="350" xfId="0" applyFont="1" applyBorder="1" applyAlignment="1">
      <alignment horizontal="center" vertical="center"/>
    </xf>
    <xf numFmtId="0" fontId="68" fillId="0" borderId="351" xfId="0" applyFont="1" applyBorder="1" applyAlignment="1">
      <alignment horizontal="right" vertical="center"/>
    </xf>
    <xf numFmtId="0" fontId="22" fillId="0" borderId="352" xfId="0" applyFont="1" applyBorder="1" applyAlignment="1">
      <alignment vertical="center"/>
    </xf>
    <xf numFmtId="0" fontId="68" fillId="0" borderId="351" xfId="0" applyFont="1" applyBorder="1" applyAlignment="1">
      <alignment horizontal="center" vertical="center"/>
    </xf>
    <xf numFmtId="0" fontId="49" fillId="0" borderId="351" xfId="0" applyFont="1" applyBorder="1" applyAlignment="1">
      <alignment horizontal="center" vertical="center"/>
    </xf>
    <xf numFmtId="0" fontId="124" fillId="0" borderId="353" xfId="0" applyFont="1" applyBorder="1" applyAlignment="1">
      <alignment horizontal="right" vertical="center"/>
    </xf>
    <xf numFmtId="0" fontId="6" fillId="0" borderId="351" xfId="0" applyFont="1" applyBorder="1" applyAlignment="1">
      <alignment horizontal="center" vertical="center"/>
    </xf>
    <xf numFmtId="0" fontId="39" fillId="0" borderId="351" xfId="0" applyFont="1" applyBorder="1" applyAlignment="1">
      <alignment horizontal="center" vertical="center"/>
    </xf>
    <xf numFmtId="1" fontId="82" fillId="0" borderId="351" xfId="0" applyNumberFormat="1" applyFont="1" applyBorder="1" applyAlignment="1">
      <alignment vertical="center"/>
    </xf>
    <xf numFmtId="1" fontId="44" fillId="0" borderId="351" xfId="0" applyNumberFormat="1" applyFont="1" applyBorder="1" applyAlignment="1">
      <alignment vertical="center"/>
    </xf>
    <xf numFmtId="1" fontId="31" fillId="0" borderId="351" xfId="0" applyNumberFormat="1" applyFont="1" applyBorder="1" applyAlignment="1">
      <alignment vertical="center"/>
    </xf>
    <xf numFmtId="0" fontId="0" fillId="0" borderId="351" xfId="0" applyBorder="1"/>
    <xf numFmtId="0" fontId="0" fillId="0" borderId="354" xfId="0" applyBorder="1"/>
    <xf numFmtId="0" fontId="58" fillId="0" borderId="264" xfId="0" applyFont="1" applyBorder="1" applyAlignment="1">
      <alignment horizontal="center" vertical="center"/>
    </xf>
    <xf numFmtId="0" fontId="68" fillId="0" borderId="355" xfId="0" applyFont="1" applyBorder="1" applyAlignment="1">
      <alignment horizontal="right" vertical="center"/>
    </xf>
    <xf numFmtId="0" fontId="120" fillId="0" borderId="356" xfId="0" applyFont="1" applyBorder="1" applyAlignment="1">
      <alignment vertical="center"/>
    </xf>
    <xf numFmtId="0" fontId="68" fillId="0" borderId="137" xfId="0" applyFont="1" applyBorder="1" applyAlignment="1">
      <alignment horizontal="center" vertical="center"/>
    </xf>
    <xf numFmtId="0" fontId="49" fillId="0" borderId="137" xfId="0" applyFont="1" applyBorder="1" applyAlignment="1">
      <alignment horizontal="center" vertical="center"/>
    </xf>
    <xf numFmtId="0" fontId="124" fillId="0" borderId="355" xfId="0" applyFont="1" applyBorder="1" applyAlignment="1">
      <alignment horizontal="right" vertical="center"/>
    </xf>
    <xf numFmtId="0" fontId="59" fillId="0" borderId="357" xfId="0" applyFont="1" applyBorder="1" applyAlignment="1">
      <alignment horizontal="left" vertical="center"/>
    </xf>
    <xf numFmtId="0" fontId="6" fillId="0" borderId="137" xfId="0" applyFont="1" applyBorder="1" applyAlignment="1">
      <alignment horizontal="center" vertical="center"/>
    </xf>
    <xf numFmtId="1" fontId="82" fillId="0" borderId="137" xfId="0" applyNumberFormat="1" applyFont="1" applyBorder="1" applyAlignment="1">
      <alignment vertical="center"/>
    </xf>
    <xf numFmtId="1" fontId="44" fillId="0" borderId="137" xfId="0" applyNumberFormat="1" applyFont="1" applyBorder="1" applyAlignment="1">
      <alignment vertical="center"/>
    </xf>
    <xf numFmtId="1" fontId="31" fillId="0" borderId="137" xfId="0" applyNumberFormat="1" applyFont="1" applyBorder="1" applyAlignment="1">
      <alignment vertical="center"/>
    </xf>
    <xf numFmtId="1" fontId="44" fillId="0" borderId="301" xfId="0" applyNumberFormat="1" applyFont="1" applyBorder="1" applyAlignment="1">
      <alignment vertical="center"/>
    </xf>
    <xf numFmtId="0" fontId="68" fillId="0" borderId="137" xfId="0" applyFont="1" applyBorder="1" applyAlignment="1">
      <alignment horizontal="right" vertical="center"/>
    </xf>
    <xf numFmtId="0" fontId="80" fillId="21" borderId="137" xfId="0" applyFont="1" applyFill="1" applyBorder="1" applyAlignment="1">
      <alignment horizontal="center" vertical="center"/>
    </xf>
    <xf numFmtId="0" fontId="49" fillId="21" borderId="137" xfId="0" applyFont="1" applyFill="1" applyBorder="1" applyAlignment="1">
      <alignment horizontal="center" vertical="center"/>
    </xf>
    <xf numFmtId="0" fontId="124" fillId="21" borderId="355" xfId="0" applyFont="1" applyFill="1" applyBorder="1" applyAlignment="1">
      <alignment horizontal="right" vertical="center"/>
    </xf>
    <xf numFmtId="0" fontId="120" fillId="9" borderId="358" xfId="0" applyFont="1" applyFill="1" applyBorder="1" applyAlignment="1">
      <alignment vertical="center"/>
    </xf>
    <xf numFmtId="0" fontId="58" fillId="13" borderId="193" xfId="0" applyFont="1" applyFill="1" applyBorder="1" applyAlignment="1">
      <alignment horizontal="center" vertical="center"/>
    </xf>
    <xf numFmtId="0" fontId="58" fillId="13" borderId="213" xfId="0" applyFont="1" applyFill="1" applyBorder="1" applyAlignment="1">
      <alignment horizontal="center" vertical="center"/>
    </xf>
    <xf numFmtId="0" fontId="68" fillId="0" borderId="1" xfId="0" applyFont="1" applyBorder="1" applyAlignment="1">
      <alignment horizontal="left" vertical="center" wrapText="1"/>
    </xf>
    <xf numFmtId="1" fontId="75" fillId="0" borderId="58" xfId="0" applyNumberFormat="1" applyFont="1" applyBorder="1" applyAlignment="1">
      <alignment vertical="center"/>
    </xf>
    <xf numFmtId="0" fontId="118" fillId="0" borderId="105" xfId="0" applyFont="1" applyBorder="1" applyAlignment="1">
      <alignment horizontal="right" vertical="center"/>
    </xf>
    <xf numFmtId="0" fontId="120" fillId="0" borderId="0" xfId="0" applyFont="1" applyAlignment="1">
      <alignment horizontal="left" vertical="center"/>
    </xf>
    <xf numFmtId="0" fontId="110" fillId="0" borderId="58" xfId="0" applyFont="1" applyBorder="1" applyAlignment="1">
      <alignment horizontal="right" vertical="center"/>
    </xf>
    <xf numFmtId="0" fontId="26" fillId="0" borderId="64" xfId="0" applyFont="1" applyBorder="1" applyAlignment="1">
      <alignment horizontal="center" vertical="center"/>
    </xf>
    <xf numFmtId="0" fontId="22" fillId="0" borderId="64" xfId="0" applyFont="1" applyBorder="1" applyAlignment="1">
      <alignment vertical="center"/>
    </xf>
    <xf numFmtId="0" fontId="8" fillId="0" borderId="0" xfId="0" applyFont="1" applyAlignment="1">
      <alignment horizontal="right" vertical="center"/>
    </xf>
    <xf numFmtId="0" fontId="49" fillId="0" borderId="6" xfId="0" applyFont="1" applyBorder="1" applyAlignment="1">
      <alignment vertical="center"/>
    </xf>
    <xf numFmtId="49" fontId="49" fillId="0" borderId="6" xfId="0" applyNumberFormat="1" applyFont="1" applyBorder="1" applyAlignment="1">
      <alignment vertical="center"/>
    </xf>
    <xf numFmtId="0" fontId="120" fillId="0" borderId="120" xfId="0" applyFont="1" applyBorder="1" applyAlignment="1">
      <alignment horizontal="center" vertical="center"/>
    </xf>
    <xf numFmtId="0" fontId="6" fillId="22" borderId="6" xfId="0" applyFont="1" applyFill="1" applyBorder="1" applyAlignment="1">
      <alignment horizontal="center" vertical="center"/>
    </xf>
    <xf numFmtId="0" fontId="153" fillId="0" borderId="0" xfId="0" applyFont="1" applyAlignment="1">
      <alignment vertical="center"/>
    </xf>
    <xf numFmtId="2" fontId="78" fillId="0" borderId="0" xfId="0" applyNumberFormat="1" applyFont="1" applyAlignment="1">
      <alignment vertical="center"/>
    </xf>
    <xf numFmtId="0" fontId="49" fillId="0" borderId="0" xfId="0" applyFont="1" applyAlignment="1">
      <alignment vertical="center"/>
    </xf>
    <xf numFmtId="0" fontId="120" fillId="0" borderId="1" xfId="0" applyFont="1" applyBorder="1" applyAlignment="1">
      <alignment horizontal="center" vertical="center"/>
    </xf>
    <xf numFmtId="0" fontId="68" fillId="0" borderId="158" xfId="0" applyFont="1" applyBorder="1" applyAlignment="1">
      <alignment horizontal="center" vertical="center"/>
    </xf>
    <xf numFmtId="0" fontId="120" fillId="0" borderId="158" xfId="0" applyFont="1" applyBorder="1" applyAlignment="1">
      <alignment horizontal="center" vertical="center"/>
    </xf>
    <xf numFmtId="0" fontId="120" fillId="0" borderId="0" xfId="0" applyFont="1" applyAlignment="1">
      <alignment horizontal="center" vertical="center"/>
    </xf>
    <xf numFmtId="165" fontId="120" fillId="0" borderId="3" xfId="0" applyNumberFormat="1" applyFont="1" applyBorder="1" applyAlignment="1">
      <alignment horizontal="center" vertical="center"/>
    </xf>
    <xf numFmtId="0" fontId="72" fillId="0" borderId="0" xfId="0" applyFont="1" applyAlignment="1">
      <alignment vertical="center"/>
    </xf>
    <xf numFmtId="0" fontId="72" fillId="0" borderId="0" xfId="0" applyFont="1" applyAlignment="1">
      <alignment horizontal="center" vertical="center"/>
    </xf>
    <xf numFmtId="0" fontId="78" fillId="0" borderId="0" xfId="0" applyFont="1" applyAlignment="1">
      <alignment horizontal="center" vertical="center"/>
    </xf>
    <xf numFmtId="0" fontId="154" fillId="0" borderId="0" xfId="0" applyFont="1" applyAlignment="1">
      <alignment vertical="center"/>
    </xf>
    <xf numFmtId="168" fontId="78" fillId="0" borderId="0" xfId="1" applyNumberFormat="1" applyFont="1" applyFill="1" applyBorder="1" applyAlignment="1">
      <alignment vertical="center"/>
    </xf>
    <xf numFmtId="0" fontId="38" fillId="0" borderId="111" xfId="0" applyFont="1" applyBorder="1" applyAlignment="1">
      <alignment horizontal="center" vertical="center"/>
    </xf>
    <xf numFmtId="0" fontId="38" fillId="0" borderId="110" xfId="0" applyFont="1" applyBorder="1" applyAlignment="1">
      <alignment horizontal="center" vertical="center"/>
    </xf>
    <xf numFmtId="0" fontId="94" fillId="0" borderId="0" xfId="0" applyFont="1" applyAlignment="1">
      <alignment horizontal="center" vertical="center"/>
    </xf>
    <xf numFmtId="0" fontId="63" fillId="0" borderId="152" xfId="0" applyFont="1" applyBorder="1" applyAlignment="1">
      <alignment horizontal="left" vertical="center" wrapText="1"/>
    </xf>
    <xf numFmtId="0" fontId="63" fillId="0" borderId="136" xfId="0" applyFont="1" applyBorder="1" applyAlignment="1">
      <alignment horizontal="left" vertical="center" wrapText="1"/>
    </xf>
    <xf numFmtId="0" fontId="63" fillId="0" borderId="151" xfId="0" applyFont="1" applyBorder="1" applyAlignment="1">
      <alignment horizontal="left" vertical="center" wrapText="1"/>
    </xf>
    <xf numFmtId="0" fontId="114" fillId="0" borderId="152" xfId="0" applyFont="1" applyBorder="1" applyAlignment="1">
      <alignment horizontal="left" vertical="center" wrapText="1"/>
    </xf>
    <xf numFmtId="0" fontId="114" fillId="0" borderId="136" xfId="0" applyFont="1" applyBorder="1" applyAlignment="1">
      <alignment horizontal="left" vertical="center" wrapText="1"/>
    </xf>
    <xf numFmtId="0" fontId="114" fillId="0" borderId="151" xfId="0" applyFont="1" applyBorder="1" applyAlignment="1">
      <alignment horizontal="left" vertical="center" wrapText="1"/>
    </xf>
    <xf numFmtId="0" fontId="60" fillId="0" borderId="152" xfId="0" applyFont="1" applyBorder="1" applyAlignment="1">
      <alignment horizontal="left" vertical="center" wrapText="1"/>
    </xf>
    <xf numFmtId="0" fontId="60" fillId="0" borderId="136" xfId="0" applyFont="1" applyBorder="1" applyAlignment="1">
      <alignment horizontal="left" vertical="center" wrapText="1"/>
    </xf>
    <xf numFmtId="0" fontId="60" fillId="0" borderId="151" xfId="0" applyFont="1" applyBorder="1" applyAlignment="1">
      <alignment horizontal="left" vertical="center" wrapText="1"/>
    </xf>
    <xf numFmtId="0" fontId="148" fillId="0" borderId="184" xfId="0" applyFont="1" applyBorder="1" applyAlignment="1">
      <alignment horizontal="center" vertical="center"/>
    </xf>
    <xf numFmtId="0" fontId="148" fillId="0" borderId="137" xfId="0" applyFont="1" applyBorder="1" applyAlignment="1">
      <alignment horizontal="center" vertical="center"/>
    </xf>
    <xf numFmtId="0" fontId="38" fillId="0" borderId="264" xfId="0" applyFont="1" applyBorder="1" applyAlignment="1">
      <alignment horizontal="center" vertical="center"/>
    </xf>
    <xf numFmtId="0" fontId="38" fillId="0" borderId="265" xfId="0" applyFont="1" applyBorder="1" applyAlignment="1">
      <alignment horizontal="center" vertical="center"/>
    </xf>
    <xf numFmtId="0" fontId="134" fillId="4" borderId="0" xfId="0" applyFont="1" applyFill="1" applyAlignment="1">
      <alignment horizontal="center" vertical="center"/>
    </xf>
    <xf numFmtId="0" fontId="10" fillId="0" borderId="0" xfId="0" applyFont="1" applyAlignment="1">
      <alignment horizontal="left" vertical="center"/>
    </xf>
    <xf numFmtId="0" fontId="60" fillId="0" borderId="138" xfId="0" applyFont="1" applyBorder="1" applyAlignment="1">
      <alignment horizontal="center" vertical="center"/>
    </xf>
    <xf numFmtId="0" fontId="151" fillId="0" borderId="150" xfId="0" applyFont="1" applyBorder="1" applyAlignment="1">
      <alignment horizontal="center" vertical="center"/>
    </xf>
    <xf numFmtId="0" fontId="107" fillId="0" borderId="0" xfId="0" applyFont="1" applyAlignment="1">
      <alignment horizontal="center" vertical="center"/>
    </xf>
    <xf numFmtId="0" fontId="8" fillId="0" borderId="0" xfId="0" applyFont="1" applyAlignment="1">
      <alignment horizontal="center" vertical="justify"/>
    </xf>
    <xf numFmtId="0" fontId="14" fillId="0" borderId="3" xfId="0" applyFont="1" applyBorder="1" applyAlignment="1">
      <alignment horizontal="left" vertical="center"/>
    </xf>
    <xf numFmtId="0" fontId="116" fillId="5" borderId="4" xfId="0" applyFont="1" applyFill="1" applyBorder="1" applyAlignment="1">
      <alignment horizontal="center" vertical="center"/>
    </xf>
    <xf numFmtId="0" fontId="13" fillId="0" borderId="2" xfId="0" applyFont="1" applyBorder="1" applyAlignment="1">
      <alignment horizontal="left" vertical="center"/>
    </xf>
    <xf numFmtId="0" fontId="0" fillId="0" borderId="3" xfId="0" applyBorder="1"/>
    <xf numFmtId="170" fontId="63" fillId="0" borderId="272" xfId="0" applyNumberFormat="1" applyFont="1" applyBorder="1" applyAlignment="1">
      <alignment horizontal="center" vertical="center"/>
    </xf>
    <xf numFmtId="170" fontId="63" fillId="0" borderId="273" xfId="0" applyNumberFormat="1" applyFont="1" applyBorder="1" applyAlignment="1">
      <alignment horizontal="center" vertical="center"/>
    </xf>
    <xf numFmtId="170" fontId="63" fillId="0" borderId="271" xfId="0" applyNumberFormat="1" applyFont="1" applyBorder="1" applyAlignment="1">
      <alignment horizontal="center" vertical="center"/>
    </xf>
    <xf numFmtId="170" fontId="63" fillId="0" borderId="146" xfId="0" applyNumberFormat="1" applyFont="1" applyBorder="1" applyAlignment="1">
      <alignment horizontal="center" vertical="center"/>
    </xf>
    <xf numFmtId="170" fontId="63" fillId="0" borderId="120" xfId="0" applyNumberFormat="1" applyFont="1" applyBorder="1" applyAlignment="1">
      <alignment horizontal="center" vertical="center"/>
    </xf>
    <xf numFmtId="170" fontId="63" fillId="0" borderId="276" xfId="0" applyNumberFormat="1" applyFont="1" applyBorder="1" applyAlignment="1">
      <alignment horizontal="center" vertical="center"/>
    </xf>
    <xf numFmtId="0" fontId="60" fillId="0" borderId="150" xfId="0" applyFont="1" applyBorder="1" applyAlignment="1">
      <alignment horizontal="center" vertical="center"/>
    </xf>
    <xf numFmtId="0" fontId="113" fillId="0" borderId="138" xfId="0" applyFont="1" applyBorder="1" applyAlignment="1">
      <alignment horizontal="left" vertical="center" wrapText="1"/>
    </xf>
    <xf numFmtId="0" fontId="113" fillId="0" borderId="139" xfId="0" applyFont="1" applyBorder="1" applyAlignment="1">
      <alignment horizontal="left" vertical="center" wrapText="1"/>
    </xf>
    <xf numFmtId="0" fontId="113" fillId="0" borderId="150" xfId="0" applyFont="1" applyBorder="1" applyAlignment="1">
      <alignment horizontal="left" vertical="center" wrapText="1"/>
    </xf>
    <xf numFmtId="0" fontId="96" fillId="0" borderId="0" xfId="0" applyFont="1" applyAlignment="1">
      <alignment horizontal="center" vertical="center"/>
    </xf>
    <xf numFmtId="0" fontId="92" fillId="0" borderId="272" xfId="0" applyFont="1" applyBorder="1" applyAlignment="1">
      <alignment horizontal="center" vertical="center"/>
    </xf>
    <xf numFmtId="0" fontId="92" fillId="0" borderId="273" xfId="0" applyFont="1" applyBorder="1" applyAlignment="1">
      <alignment horizontal="center" vertical="center"/>
    </xf>
    <xf numFmtId="0" fontId="92" fillId="0" borderId="271" xfId="0" applyFont="1" applyBorder="1" applyAlignment="1">
      <alignment horizontal="center" vertical="center"/>
    </xf>
    <xf numFmtId="0" fontId="92" fillId="0" borderId="305" xfId="0" applyFont="1" applyBorder="1" applyAlignment="1">
      <alignment horizontal="center" vertical="center"/>
    </xf>
    <xf numFmtId="0" fontId="92" fillId="0" borderId="0" xfId="0" applyFont="1" applyAlignment="1">
      <alignment horizontal="center" vertical="center"/>
    </xf>
    <xf numFmtId="0" fontId="92" fillId="0" borderId="125" xfId="0" applyFont="1" applyBorder="1" applyAlignment="1">
      <alignment horizontal="center" vertical="center"/>
    </xf>
    <xf numFmtId="0" fontId="38" fillId="0" borderId="126" xfId="0" applyFont="1" applyBorder="1" applyAlignment="1">
      <alignment horizontal="center" vertical="center"/>
    </xf>
    <xf numFmtId="0" fontId="38" fillId="0" borderId="121" xfId="0" applyFont="1" applyBorder="1" applyAlignment="1">
      <alignment horizontal="center" vertical="center"/>
    </xf>
    <xf numFmtId="0" fontId="22" fillId="0" borderId="123" xfId="0" applyFont="1" applyBorder="1" applyAlignment="1">
      <alignment horizontal="center" vertical="center"/>
    </xf>
    <xf numFmtId="0" fontId="22" fillId="0" borderId="249" xfId="0" applyFont="1" applyBorder="1" applyAlignment="1">
      <alignment horizontal="center" vertical="center"/>
    </xf>
    <xf numFmtId="0" fontId="74" fillId="0" borderId="152" xfId="0" applyFont="1" applyBorder="1" applyAlignment="1">
      <alignment horizontal="left" vertical="center" wrapText="1"/>
    </xf>
    <xf numFmtId="0" fontId="74" fillId="0" borderId="136" xfId="0" applyFont="1" applyBorder="1" applyAlignment="1">
      <alignment horizontal="left" vertical="center" wrapText="1"/>
    </xf>
    <xf numFmtId="0" fontId="74" fillId="0" borderId="151" xfId="0" applyFont="1" applyBorder="1" applyAlignment="1">
      <alignment horizontal="left" vertical="center" wrapText="1"/>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127" fillId="0" borderId="146" xfId="0" applyFont="1" applyBorder="1" applyAlignment="1">
      <alignment horizontal="center" vertical="center"/>
    </xf>
    <xf numFmtId="0" fontId="127" fillId="0" borderId="120" xfId="0" applyFont="1" applyBorder="1" applyAlignment="1">
      <alignment horizontal="center" vertical="center"/>
    </xf>
    <xf numFmtId="0" fontId="127" fillId="0" borderId="276" xfId="0" applyFont="1" applyBorder="1" applyAlignment="1">
      <alignment horizontal="center" vertical="center"/>
    </xf>
    <xf numFmtId="49" fontId="63" fillId="0" borderId="278" xfId="0" applyNumberFormat="1" applyFont="1" applyBorder="1" applyAlignment="1">
      <alignment vertical="center" wrapText="1"/>
    </xf>
    <xf numFmtId="49" fontId="63" fillId="0" borderId="280" xfId="0" applyNumberFormat="1" applyFont="1" applyBorder="1" applyAlignment="1">
      <alignment vertical="center" wrapText="1"/>
    </xf>
    <xf numFmtId="49" fontId="63" fillId="0" borderId="279" xfId="0" applyNumberFormat="1" applyFont="1" applyBorder="1" applyAlignment="1">
      <alignment vertical="center" wrapText="1"/>
    </xf>
    <xf numFmtId="0" fontId="74" fillId="0" borderId="272" xfId="0" applyFont="1" applyBorder="1" applyAlignment="1">
      <alignment horizontal="center" vertical="center" wrapText="1"/>
    </xf>
    <xf numFmtId="0" fontId="74" fillId="0" borderId="273" xfId="0" applyFont="1" applyBorder="1" applyAlignment="1">
      <alignment horizontal="center" vertical="center" wrapText="1"/>
    </xf>
    <xf numFmtId="0" fontId="74" fillId="0" borderId="271" xfId="0" applyFont="1" applyBorder="1" applyAlignment="1">
      <alignment horizontal="center" vertical="center" wrapText="1"/>
    </xf>
    <xf numFmtId="0" fontId="74" fillId="0" borderId="305" xfId="0" applyFont="1" applyBorder="1" applyAlignment="1">
      <alignment horizontal="center" vertical="center" wrapText="1"/>
    </xf>
    <xf numFmtId="0" fontId="74" fillId="0" borderId="0" xfId="0" applyFont="1" applyAlignment="1">
      <alignment horizontal="center" vertical="center" wrapText="1"/>
    </xf>
    <xf numFmtId="0" fontId="74" fillId="0" borderId="125" xfId="0" applyFont="1" applyBorder="1" applyAlignment="1">
      <alignment horizontal="center" vertical="center" wrapText="1"/>
    </xf>
    <xf numFmtId="0" fontId="74" fillId="0" borderId="146" xfId="0" applyFont="1" applyBorder="1" applyAlignment="1">
      <alignment horizontal="center" vertical="center" wrapText="1"/>
    </xf>
    <xf numFmtId="0" fontId="74" fillId="0" borderId="120" xfId="0" applyFont="1" applyBorder="1" applyAlignment="1">
      <alignment horizontal="center" vertical="center" wrapText="1"/>
    </xf>
    <xf numFmtId="0" fontId="74" fillId="0" borderId="276" xfId="0" applyFont="1" applyBorder="1" applyAlignment="1">
      <alignment horizontal="center" vertical="center" wrapText="1"/>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8" fillId="0" borderId="251" xfId="0" applyFont="1" applyBorder="1" applyAlignment="1">
      <alignment horizontal="left" vertical="center"/>
    </xf>
    <xf numFmtId="0" fontId="28" fillId="0" borderId="23" xfId="0" applyFont="1" applyBorder="1" applyAlignment="1">
      <alignment horizontal="left" vertical="center"/>
    </xf>
    <xf numFmtId="0" fontId="28" fillId="0" borderId="41" xfId="0" applyFont="1" applyBorder="1" applyAlignment="1">
      <alignment horizontal="left" vertical="center"/>
    </xf>
    <xf numFmtId="0" fontId="28" fillId="0" borderId="25" xfId="0" applyFont="1" applyBorder="1" applyAlignment="1">
      <alignment horizontal="left"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126" xfId="0" applyFont="1" applyBorder="1" applyAlignment="1">
      <alignment horizontal="center" vertical="center"/>
    </xf>
    <xf numFmtId="0" fontId="31" fillId="0" borderId="127" xfId="0" applyFont="1" applyBorder="1" applyAlignment="1">
      <alignment horizontal="center" vertical="center"/>
    </xf>
    <xf numFmtId="0" fontId="38" fillId="0" borderId="127" xfId="0" applyFont="1" applyBorder="1" applyAlignment="1">
      <alignment horizontal="center" vertical="center"/>
    </xf>
    <xf numFmtId="0" fontId="22" fillId="0" borderId="284" xfId="0" applyFont="1" applyBorder="1" applyAlignment="1">
      <alignment horizontal="center" vertical="center"/>
    </xf>
    <xf numFmtId="0" fontId="22" fillId="0" borderId="285" xfId="0" applyFont="1" applyBorder="1" applyAlignment="1">
      <alignment horizontal="center" vertical="center"/>
    </xf>
    <xf numFmtId="0" fontId="38" fillId="0" borderId="286" xfId="0" applyFont="1" applyBorder="1" applyAlignment="1">
      <alignment horizontal="center" vertical="center"/>
    </xf>
    <xf numFmtId="0" fontId="38" fillId="0" borderId="287" xfId="0" applyFont="1" applyBorder="1" applyAlignment="1">
      <alignment horizontal="center" vertical="center"/>
    </xf>
    <xf numFmtId="0" fontId="28" fillId="0" borderId="258" xfId="0" applyFont="1" applyBorder="1" applyAlignment="1">
      <alignment horizontal="left" vertical="center"/>
    </xf>
    <xf numFmtId="0" fontId="28" fillId="0" borderId="57" xfId="0" applyFont="1" applyBorder="1" applyAlignment="1">
      <alignment horizontal="left" vertical="center"/>
    </xf>
    <xf numFmtId="0" fontId="28" fillId="0" borderId="259" xfId="0" applyFont="1" applyBorder="1" applyAlignment="1">
      <alignment horizontal="left" vertical="center"/>
    </xf>
    <xf numFmtId="0" fontId="28" fillId="0" borderId="260" xfId="0" applyFont="1" applyBorder="1" applyAlignment="1">
      <alignment horizontal="left" vertical="center"/>
    </xf>
    <xf numFmtId="0" fontId="22" fillId="0" borderId="252" xfId="0" applyFont="1" applyBorder="1" applyAlignment="1">
      <alignment horizontal="center" vertical="center"/>
    </xf>
    <xf numFmtId="0" fontId="22" fillId="0" borderId="253" xfId="0" applyFont="1" applyBorder="1" applyAlignment="1">
      <alignment horizontal="center" vertical="center"/>
    </xf>
    <xf numFmtId="0" fontId="113" fillId="0" borderId="273" xfId="0" applyFont="1" applyBorder="1" applyAlignment="1">
      <alignment horizontal="left" vertical="center" wrapText="1"/>
    </xf>
    <xf numFmtId="0" fontId="113" fillId="0" borderId="120" xfId="0" applyFont="1" applyBorder="1" applyAlignment="1">
      <alignment horizontal="left" vertical="center" wrapText="1"/>
    </xf>
    <xf numFmtId="170" fontId="63" fillId="0" borderId="272" xfId="0" applyNumberFormat="1" applyFont="1" applyBorder="1" applyAlignment="1">
      <alignment horizontal="center" vertical="center" wrapText="1"/>
    </xf>
    <xf numFmtId="170" fontId="63" fillId="0" borderId="273" xfId="0" applyNumberFormat="1" applyFont="1" applyBorder="1" applyAlignment="1">
      <alignment horizontal="center" vertical="center" wrapText="1"/>
    </xf>
    <xf numFmtId="170" fontId="63" fillId="0" borderId="271" xfId="0" applyNumberFormat="1" applyFont="1" applyBorder="1" applyAlignment="1">
      <alignment horizontal="center" vertical="center" wrapText="1"/>
    </xf>
    <xf numFmtId="170" fontId="63" fillId="0" borderId="146" xfId="0" applyNumberFormat="1" applyFont="1" applyBorder="1" applyAlignment="1">
      <alignment horizontal="center" vertical="center" wrapText="1"/>
    </xf>
    <xf numFmtId="170" fontId="63" fillId="0" borderId="120" xfId="0" applyNumberFormat="1" applyFont="1" applyBorder="1" applyAlignment="1">
      <alignment horizontal="center" vertical="center" wrapText="1"/>
    </xf>
    <xf numFmtId="170" fontId="63" fillId="0" borderId="276" xfId="0" applyNumberFormat="1" applyFont="1" applyBorder="1" applyAlignment="1">
      <alignment horizontal="center" vertical="center" wrapText="1"/>
    </xf>
    <xf numFmtId="0" fontId="151" fillId="0" borderId="271" xfId="0" applyFont="1" applyBorder="1" applyAlignment="1">
      <alignment horizontal="center" vertical="center"/>
    </xf>
    <xf numFmtId="0" fontId="151" fillId="0" borderId="276" xfId="0" applyFont="1" applyBorder="1" applyAlignment="1">
      <alignment horizontal="center" vertical="center"/>
    </xf>
    <xf numFmtId="0" fontId="60" fillId="0" borderId="272" xfId="0" applyFont="1" applyBorder="1" applyAlignment="1">
      <alignment horizontal="center" vertical="center"/>
    </xf>
    <xf numFmtId="0" fontId="60" fillId="0" borderId="146" xfId="0" applyFont="1" applyBorder="1" applyAlignment="1">
      <alignment horizontal="center" vertical="center"/>
    </xf>
    <xf numFmtId="0" fontId="22" fillId="0" borderId="130"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113" fillId="0" borderId="272" xfId="0" applyFont="1" applyBorder="1" applyAlignment="1">
      <alignment horizontal="left" vertical="center" wrapText="1"/>
    </xf>
    <xf numFmtId="0" fontId="113" fillId="0" borderId="271" xfId="0" applyFont="1" applyBorder="1" applyAlignment="1">
      <alignment horizontal="left" vertical="center" wrapText="1"/>
    </xf>
    <xf numFmtId="0" fontId="113" fillId="0" borderId="146" xfId="0" applyFont="1" applyBorder="1" applyAlignment="1">
      <alignment horizontal="left" vertical="center" wrapText="1"/>
    </xf>
    <xf numFmtId="0" fontId="113" fillId="0" borderId="276" xfId="0" applyFont="1" applyBorder="1" applyAlignment="1">
      <alignment horizontal="left" vertical="center" wrapText="1"/>
    </xf>
    <xf numFmtId="0" fontId="112" fillId="0" borderId="152" xfId="0" applyFont="1" applyBorder="1" applyAlignment="1">
      <alignment horizontal="left" vertical="center" wrapText="1"/>
    </xf>
    <xf numFmtId="0" fontId="112" fillId="0" borderId="136" xfId="0" applyFont="1" applyBorder="1" applyAlignment="1">
      <alignment horizontal="left" vertical="center" wrapText="1"/>
    </xf>
    <xf numFmtId="0" fontId="112" fillId="0" borderId="151" xfId="0" applyFont="1" applyBorder="1" applyAlignment="1">
      <alignment horizontal="left" vertical="center" wrapText="1"/>
    </xf>
    <xf numFmtId="0" fontId="115" fillId="0" borderId="152" xfId="0" applyFont="1" applyBorder="1" applyAlignment="1">
      <alignment horizontal="left" vertical="center" wrapText="1"/>
    </xf>
    <xf numFmtId="0" fontId="115" fillId="0" borderId="136" xfId="0" applyFont="1" applyBorder="1" applyAlignment="1">
      <alignment horizontal="left" vertical="center" wrapText="1"/>
    </xf>
    <xf numFmtId="0" fontId="115" fillId="0" borderId="151" xfId="0" applyFont="1" applyBorder="1" applyAlignment="1">
      <alignment horizontal="left" vertical="center" wrapText="1"/>
    </xf>
    <xf numFmtId="0" fontId="38" fillId="11" borderId="264" xfId="0" applyFont="1" applyFill="1" applyBorder="1" applyAlignment="1">
      <alignment horizontal="center" vertical="center"/>
    </xf>
    <xf numFmtId="0" fontId="38" fillId="11" borderId="265" xfId="0" applyFont="1" applyFill="1" applyBorder="1" applyAlignment="1">
      <alignment horizontal="center" vertical="center"/>
    </xf>
    <xf numFmtId="0" fontId="28" fillId="0" borderId="128" xfId="0" applyFont="1" applyBorder="1" applyAlignment="1">
      <alignment horizontal="left" vertical="center"/>
    </xf>
    <xf numFmtId="0" fontId="28" fillId="0" borderId="7" xfId="0" applyFont="1" applyBorder="1" applyAlignment="1">
      <alignment horizontal="left" vertical="center"/>
    </xf>
    <xf numFmtId="0" fontId="28" fillId="0" borderId="129" xfId="0" applyFont="1" applyBorder="1" applyAlignment="1">
      <alignment horizontal="left" vertical="center"/>
    </xf>
    <xf numFmtId="0" fontId="28" fillId="0" borderId="9" xfId="0" applyFont="1" applyBorder="1" applyAlignment="1">
      <alignment horizontal="left" vertical="center"/>
    </xf>
    <xf numFmtId="0" fontId="28" fillId="0" borderId="130" xfId="0" applyFont="1" applyBorder="1" applyAlignment="1">
      <alignment horizontal="left" vertical="center"/>
    </xf>
    <xf numFmtId="0" fontId="28" fillId="0" borderId="127" xfId="0" applyFont="1" applyBorder="1" applyAlignment="1">
      <alignment horizontal="left" vertical="center"/>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29" fillId="0" borderId="57" xfId="0" applyFont="1" applyBorder="1" applyAlignment="1">
      <alignment horizontal="center" vertical="center"/>
    </xf>
    <xf numFmtId="0" fontId="29" fillId="0" borderId="260" xfId="0" applyFont="1" applyBorder="1" applyAlignment="1">
      <alignment horizontal="center" vertical="center"/>
    </xf>
    <xf numFmtId="0" fontId="61" fillId="0" borderId="124" xfId="0" applyFont="1" applyBorder="1" applyAlignment="1">
      <alignment horizontal="left" vertical="center"/>
    </xf>
    <xf numFmtId="0" fontId="61" fillId="0" borderId="7" xfId="0" applyFont="1" applyBorder="1" applyAlignment="1">
      <alignment horizontal="left" vertical="center"/>
    </xf>
    <xf numFmtId="0" fontId="61" fillId="0" borderId="122" xfId="0" applyFont="1" applyBorder="1" applyAlignment="1">
      <alignment horizontal="left" vertical="center"/>
    </xf>
    <xf numFmtId="0" fontId="61" fillId="0" borderId="9" xfId="0" applyFont="1" applyBorder="1" applyAlignment="1">
      <alignment horizontal="left" vertical="center"/>
    </xf>
    <xf numFmtId="0" fontId="28" fillId="0" borderId="128" xfId="0" applyFont="1" applyBorder="1" applyAlignment="1">
      <alignment horizontal="center" vertical="center"/>
    </xf>
    <xf numFmtId="0" fontId="28" fillId="0" borderId="129" xfId="0" applyFont="1" applyBorder="1" applyAlignment="1">
      <alignment horizontal="center" vertical="center"/>
    </xf>
    <xf numFmtId="0" fontId="22" fillId="0" borderId="153" xfId="0" applyFont="1" applyBorder="1" applyAlignment="1">
      <alignment horizontal="center" vertical="center"/>
    </xf>
    <xf numFmtId="0" fontId="22" fillId="0" borderId="154" xfId="0" applyFont="1" applyBorder="1" applyAlignment="1">
      <alignment horizontal="center" vertical="center"/>
    </xf>
    <xf numFmtId="0" fontId="6" fillId="0" borderId="123" xfId="0" applyFont="1" applyBorder="1" applyAlignment="1">
      <alignment horizontal="center" vertical="center"/>
    </xf>
    <xf numFmtId="0" fontId="6" fillId="0" borderId="130" xfId="0" applyFont="1" applyBorder="1" applyAlignment="1">
      <alignment horizontal="center" vertical="center"/>
    </xf>
    <xf numFmtId="0" fontId="28" fillId="0" borderId="116" xfId="0" applyFont="1" applyBorder="1" applyAlignment="1">
      <alignment horizontal="left" vertical="center"/>
    </xf>
    <xf numFmtId="0" fontId="28" fillId="0" borderId="63" xfId="0" applyFont="1" applyBorder="1" applyAlignment="1">
      <alignment horizontal="left" vertical="center"/>
    </xf>
    <xf numFmtId="0" fontId="28" fillId="0" borderId="112" xfId="0" applyFont="1" applyBorder="1" applyAlignment="1">
      <alignment horizontal="left" vertical="center"/>
    </xf>
    <xf numFmtId="0" fontId="28" fillId="0" borderId="64" xfId="0" applyFont="1" applyBorder="1" applyAlignment="1">
      <alignment horizontal="left" vertical="center"/>
    </xf>
    <xf numFmtId="0" fontId="28" fillId="0" borderId="116" xfId="0" applyFont="1" applyBorder="1" applyAlignment="1">
      <alignment horizontal="left" vertical="center" wrapText="1"/>
    </xf>
    <xf numFmtId="0" fontId="28" fillId="0" borderId="63" xfId="0" applyFont="1" applyBorder="1" applyAlignment="1">
      <alignment horizontal="left" vertical="center" wrapText="1"/>
    </xf>
    <xf numFmtId="0" fontId="28" fillId="0" borderId="112" xfId="0" applyFont="1" applyBorder="1" applyAlignment="1">
      <alignment horizontal="left" vertical="center" wrapText="1"/>
    </xf>
    <xf numFmtId="0" fontId="28" fillId="0" borderId="64" xfId="0" applyFont="1" applyBorder="1" applyAlignment="1">
      <alignment horizontal="left" vertical="center" wrapText="1"/>
    </xf>
    <xf numFmtId="0" fontId="68" fillId="0" borderId="6" xfId="0" applyFont="1" applyBorder="1" applyAlignment="1">
      <alignment horizontal="left" vertical="center" wrapText="1"/>
    </xf>
    <xf numFmtId="0" fontId="68" fillId="0" borderId="3" xfId="0" applyFont="1" applyBorder="1" applyAlignment="1">
      <alignment horizontal="left" vertical="center" wrapText="1"/>
    </xf>
    <xf numFmtId="0" fontId="6" fillId="0" borderId="199" xfId="0" applyFont="1" applyBorder="1" applyAlignment="1">
      <alignment horizontal="center" vertical="center"/>
    </xf>
    <xf numFmtId="0" fontId="6" fillId="0" borderId="266" xfId="0" applyFont="1" applyBorder="1" applyAlignment="1">
      <alignment horizontal="center" vertical="center"/>
    </xf>
    <xf numFmtId="0" fontId="28" fillId="0" borderId="183" xfId="0" applyFont="1" applyBorder="1" applyAlignment="1">
      <alignment horizontal="left" vertical="center"/>
    </xf>
    <xf numFmtId="0" fontId="28" fillId="0" borderId="184" xfId="0" applyFont="1" applyBorder="1" applyAlignment="1">
      <alignment horizontal="left" vertical="center"/>
    </xf>
    <xf numFmtId="0" fontId="28" fillId="0" borderId="263" xfId="0" applyFont="1" applyBorder="1" applyAlignment="1">
      <alignment horizontal="left" vertical="center"/>
    </xf>
    <xf numFmtId="0" fontId="28" fillId="0" borderId="137" xfId="0" applyFont="1" applyBorder="1" applyAlignment="1">
      <alignment horizontal="left" vertical="center"/>
    </xf>
    <xf numFmtId="0" fontId="58" fillId="11" borderId="199" xfId="0" applyFont="1" applyFill="1" applyBorder="1" applyAlignment="1">
      <alignment horizontal="center" vertical="center"/>
    </xf>
    <xf numFmtId="0" fontId="58" fillId="11" borderId="266" xfId="0" applyFont="1" applyFill="1" applyBorder="1" applyAlignment="1">
      <alignment horizontal="center" vertical="center"/>
    </xf>
    <xf numFmtId="0" fontId="38" fillId="0" borderId="44" xfId="0" applyFont="1" applyBorder="1" applyAlignment="1">
      <alignment horizontal="center" vertical="center"/>
    </xf>
    <xf numFmtId="0" fontId="38" fillId="0" borderId="43" xfId="0" applyFont="1" applyBorder="1" applyAlignment="1">
      <alignment horizontal="center" vertical="center"/>
    </xf>
    <xf numFmtId="0" fontId="6" fillId="0" borderId="60" xfId="0" applyFont="1" applyBorder="1" applyAlignment="1">
      <alignment horizontal="center" vertical="center"/>
    </xf>
    <xf numFmtId="0" fontId="6" fillId="0" borderId="58" xfId="0" applyFont="1" applyBorder="1" applyAlignment="1">
      <alignment horizontal="center" vertical="center"/>
    </xf>
    <xf numFmtId="0" fontId="21" fillId="0" borderId="60" xfId="0" applyFont="1" applyBorder="1" applyAlignment="1">
      <alignment horizontal="left" vertical="center" wrapText="1"/>
    </xf>
    <xf numFmtId="0" fontId="21" fillId="0" borderId="1" xfId="0" applyFont="1" applyBorder="1" applyAlignment="1">
      <alignment horizontal="left" vertical="center" wrapText="1"/>
    </xf>
    <xf numFmtId="0" fontId="21" fillId="0" borderId="44" xfId="0" applyFont="1" applyBorder="1" applyAlignment="1">
      <alignment horizontal="left" vertical="center" wrapText="1"/>
    </xf>
    <xf numFmtId="0" fontId="21" fillId="0" borderId="2" xfId="0" applyFont="1" applyBorder="1" applyAlignment="1">
      <alignment horizontal="left" vertical="center" wrapText="1"/>
    </xf>
    <xf numFmtId="0" fontId="29" fillId="0" borderId="116" xfId="0" applyFont="1" applyBorder="1" applyAlignment="1">
      <alignment horizontal="left" vertical="center"/>
    </xf>
    <xf numFmtId="0" fontId="28" fillId="0" borderId="60" xfId="0" applyFont="1" applyBorder="1" applyAlignment="1">
      <alignment horizontal="left" vertical="center"/>
    </xf>
    <xf numFmtId="0" fontId="28" fillId="0" borderId="1" xfId="0" applyFont="1" applyBorder="1" applyAlignment="1">
      <alignment horizontal="left" vertical="center"/>
    </xf>
    <xf numFmtId="0" fontId="28" fillId="0" borderId="44" xfId="0" applyFont="1" applyBorder="1" applyAlignment="1">
      <alignment horizontal="left" vertical="center"/>
    </xf>
    <xf numFmtId="0" fontId="28" fillId="0" borderId="2" xfId="0" applyFont="1" applyBorder="1" applyAlignment="1">
      <alignment horizontal="left" vertical="center"/>
    </xf>
    <xf numFmtId="0" fontId="6" fillId="0" borderId="153" xfId="0" applyFont="1" applyBorder="1" applyAlignment="1">
      <alignment horizontal="center" vertical="center"/>
    </xf>
    <xf numFmtId="0" fontId="6" fillId="0" borderId="154" xfId="0" applyFont="1" applyBorder="1" applyAlignment="1">
      <alignment horizontal="center" vertical="center"/>
    </xf>
    <xf numFmtId="0" fontId="28" fillId="0" borderId="58" xfId="0" applyFont="1" applyBorder="1" applyAlignment="1">
      <alignment horizontal="left" vertical="center"/>
    </xf>
    <xf numFmtId="0" fontId="28" fillId="0" borderId="43" xfId="0" applyFont="1" applyBorder="1" applyAlignment="1">
      <alignment horizontal="left" vertical="center"/>
    </xf>
    <xf numFmtId="0" fontId="80" fillId="11" borderId="183" xfId="0" applyFont="1" applyFill="1" applyBorder="1" applyAlignment="1">
      <alignment horizontal="left" vertical="center" wrapText="1"/>
    </xf>
    <xf numFmtId="0" fontId="80" fillId="11" borderId="184" xfId="0" applyFont="1" applyFill="1" applyBorder="1" applyAlignment="1">
      <alignment horizontal="left" vertical="center" wrapText="1"/>
    </xf>
    <xf numFmtId="0" fontId="80" fillId="11" borderId="327" xfId="0" applyFont="1" applyFill="1" applyBorder="1" applyAlignment="1">
      <alignment horizontal="left" vertical="center" wrapText="1"/>
    </xf>
    <xf numFmtId="0" fontId="80" fillId="11" borderId="120" xfId="0" applyFont="1" applyFill="1" applyBorder="1" applyAlignment="1">
      <alignment horizontal="left" vertical="center" wrapText="1"/>
    </xf>
    <xf numFmtId="0" fontId="38" fillId="11" borderId="337" xfId="0" applyFont="1" applyFill="1" applyBorder="1" applyAlignment="1">
      <alignment horizontal="center" vertical="center"/>
    </xf>
    <xf numFmtId="0" fontId="38" fillId="11" borderId="304" xfId="0" applyFont="1" applyFill="1" applyBorder="1" applyAlignment="1">
      <alignment horizontal="center" vertical="center"/>
    </xf>
    <xf numFmtId="0" fontId="80" fillId="11" borderId="263" xfId="0" applyFont="1" applyFill="1" applyBorder="1" applyAlignment="1">
      <alignment horizontal="left" vertical="center" wrapText="1"/>
    </xf>
    <xf numFmtId="0" fontId="80" fillId="11" borderId="137" xfId="0" applyFont="1" applyFill="1" applyBorder="1" applyAlignment="1">
      <alignment horizontal="left" vertical="center" wrapText="1"/>
    </xf>
    <xf numFmtId="0" fontId="22" fillId="0" borderId="267" xfId="0" applyFont="1" applyBorder="1" applyAlignment="1">
      <alignment horizontal="center" vertical="center"/>
    </xf>
    <xf numFmtId="0" fontId="22" fillId="0" borderId="268" xfId="0" applyFont="1" applyBorder="1" applyAlignment="1">
      <alignment horizontal="center" vertical="center"/>
    </xf>
    <xf numFmtId="0" fontId="22" fillId="0" borderId="269" xfId="0" applyFont="1" applyBorder="1" applyAlignment="1">
      <alignment horizontal="center" vertical="center"/>
    </xf>
    <xf numFmtId="0" fontId="22" fillId="0" borderId="270" xfId="0" applyFont="1" applyBorder="1" applyAlignment="1">
      <alignment horizontal="center" vertical="center"/>
    </xf>
    <xf numFmtId="0" fontId="28" fillId="0" borderId="261" xfId="0" applyFont="1" applyBorder="1" applyAlignment="1">
      <alignment horizontal="left" vertical="center"/>
    </xf>
    <xf numFmtId="0" fontId="28" fillId="0" borderId="113" xfId="0" applyFont="1" applyBorder="1" applyAlignment="1">
      <alignment horizontal="left" vertical="center"/>
    </xf>
    <xf numFmtId="0" fontId="28" fillId="0" borderId="262" xfId="0" applyFont="1" applyBorder="1" applyAlignment="1">
      <alignment horizontal="left" vertical="center"/>
    </xf>
    <xf numFmtId="0" fontId="28" fillId="0" borderId="87" xfId="0" applyFont="1" applyBorder="1" applyAlignment="1">
      <alignment horizontal="left" vertical="center"/>
    </xf>
    <xf numFmtId="14" fontId="53" fillId="0" borderId="0" xfId="0" applyNumberFormat="1" applyFont="1" applyAlignment="1">
      <alignment horizontal="center"/>
    </xf>
    <xf numFmtId="0" fontId="51" fillId="0" borderId="4" xfId="0" applyFont="1" applyBorder="1" applyAlignment="1">
      <alignment horizontal="center"/>
    </xf>
    <xf numFmtId="0" fontId="33" fillId="8" borderId="0" xfId="0" applyFont="1" applyFill="1" applyAlignment="1">
      <alignment horizontal="center" vertical="center"/>
    </xf>
    <xf numFmtId="0" fontId="88" fillId="0" borderId="0" xfId="0" applyFont="1" applyAlignment="1">
      <alignment horizontal="left" vertical="center"/>
    </xf>
    <xf numFmtId="0" fontId="88" fillId="0" borderId="120" xfId="0" applyFont="1" applyBorder="1" applyAlignment="1">
      <alignment horizontal="left" vertical="center"/>
    </xf>
    <xf numFmtId="0" fontId="6" fillId="20" borderId="231" xfId="0" applyFont="1" applyFill="1" applyBorder="1" applyAlignment="1">
      <alignment horizontal="center"/>
    </xf>
    <xf numFmtId="0" fontId="6" fillId="20" borderId="244" xfId="0" applyFont="1" applyFill="1" applyBorder="1" applyAlignment="1">
      <alignment horizontal="center"/>
    </xf>
    <xf numFmtId="0" fontId="29" fillId="0" borderId="0" xfId="0" applyFont="1" applyAlignment="1">
      <alignment horizontal="left" vertical="center"/>
    </xf>
    <xf numFmtId="0" fontId="29" fillId="0" borderId="125" xfId="0" applyFont="1" applyBorder="1" applyAlignment="1">
      <alignment horizontal="left" vertical="center"/>
    </xf>
    <xf numFmtId="0" fontId="6" fillId="0" borderId="0" xfId="0" applyFont="1" applyAlignment="1">
      <alignment horizontal="center" vertical="center"/>
    </xf>
    <xf numFmtId="0" fontId="6" fillId="20" borderId="254" xfId="0" applyFont="1" applyFill="1" applyBorder="1" applyAlignment="1">
      <alignment horizontal="center"/>
    </xf>
    <xf numFmtId="0" fontId="6" fillId="20" borderId="235" xfId="0" applyFont="1" applyFill="1" applyBorder="1" applyAlignment="1">
      <alignment horizontal="center"/>
    </xf>
    <xf numFmtId="0" fontId="49" fillId="0" borderId="117" xfId="0" applyFont="1" applyBorder="1" applyAlignment="1">
      <alignment vertical="center"/>
    </xf>
  </cellXfs>
  <cellStyles count="16">
    <cellStyle name="cf1" xfId="4" xr:uid="{00000000-0005-0000-0000-000000000000}"/>
    <cellStyle name="cf2" xfId="5" xr:uid="{00000000-0005-0000-0000-000001000000}"/>
    <cellStyle name="cf3" xfId="6" xr:uid="{00000000-0005-0000-0000-000002000000}"/>
    <cellStyle name="cf4" xfId="7" xr:uid="{00000000-0005-0000-0000-000003000000}"/>
    <cellStyle name="cf5" xfId="8" xr:uid="{00000000-0005-0000-0000-000004000000}"/>
    <cellStyle name="cf6" xfId="9" xr:uid="{00000000-0005-0000-0000-000005000000}"/>
    <cellStyle name="cf7" xfId="10" xr:uid="{00000000-0005-0000-0000-000006000000}"/>
    <cellStyle name="cf8" xfId="11" xr:uid="{00000000-0005-0000-0000-000007000000}"/>
    <cellStyle name="cf9" xfId="12" xr:uid="{00000000-0005-0000-0000-000008000000}"/>
    <cellStyle name="Comma" xfId="1" builtinId="3" customBuiltin="1"/>
    <cellStyle name="Currency" xfId="2" builtinId="4" customBuiltin="1"/>
    <cellStyle name="Normal" xfId="0" builtinId="0" customBuiltin="1"/>
    <cellStyle name="Normal 2" xfId="13" xr:uid="{00000000-0005-0000-0000-00000C000000}"/>
    <cellStyle name="Normal 3" xfId="14" xr:uid="{00000000-0005-0000-0000-00000D000000}"/>
    <cellStyle name="Normal 7" xfId="15" xr:uid="{00000000-0005-0000-0000-00000E000000}"/>
    <cellStyle name="Percent" xfId="3" builtinId="5" customBuiltin="1"/>
  </cellStyles>
  <dxfs count="26">
    <dxf>
      <font>
        <color rgb="FFC00000"/>
      </font>
    </dxf>
    <dxf>
      <fill>
        <patternFill patternType="solid">
          <fgColor rgb="FFD9D9D9"/>
          <bgColor rgb="FFD9D9D9"/>
        </patternFill>
      </fill>
    </dxf>
    <dxf>
      <font>
        <b/>
        <family val="2"/>
      </font>
    </dxf>
    <dxf>
      <fill>
        <patternFill patternType="solid">
          <fgColor rgb="FFD9D9D9"/>
          <bgColor rgb="FFD9D9D9"/>
        </patternFill>
      </fill>
    </dxf>
    <dxf>
      <font>
        <b/>
        <family val="2"/>
      </font>
      <fill>
        <patternFill patternType="solid">
          <fgColor rgb="FFD9D9D9"/>
          <bgColor rgb="FFD9D9D9"/>
        </patternFill>
      </fill>
    </dxf>
    <dxf>
      <border>
        <top style="thin">
          <color rgb="FF000000"/>
        </top>
      </border>
    </dxf>
    <dxf>
      <fill>
        <patternFill>
          <bgColor rgb="FF00B050"/>
        </patternFill>
      </fill>
    </dxf>
    <dxf>
      <border>
        <bottom style="thin">
          <color auto="1"/>
        </bottom>
        <vertical/>
        <horizontal/>
      </border>
    </dxf>
    <dxf>
      <fill>
        <patternFill>
          <bgColor rgb="FF00B050"/>
        </patternFill>
      </fill>
    </dxf>
    <dxf>
      <border>
        <bottom style="thin">
          <color auto="1"/>
        </bottom>
        <vertical/>
        <horizontal/>
      </border>
    </dxf>
    <dxf>
      <fill>
        <patternFill>
          <bgColor rgb="FF00B050"/>
        </patternFill>
      </fill>
    </dxf>
    <dxf>
      <border>
        <bottom style="thin">
          <color auto="1"/>
        </bottom>
        <vertical/>
        <horizontal/>
      </border>
    </dxf>
    <dxf>
      <fill>
        <patternFill>
          <bgColor rgb="FF00B050"/>
        </patternFill>
      </fill>
    </dxf>
    <dxf>
      <border>
        <bottom style="thin">
          <color auto="1"/>
        </bottom>
        <vertical/>
        <horizontal/>
      </border>
    </dxf>
    <dxf>
      <border>
        <bottom style="thin">
          <color auto="1"/>
        </bottom>
        <vertical/>
        <horizontal/>
      </border>
    </dxf>
    <dxf>
      <fill>
        <patternFill>
          <bgColor rgb="FF00B050"/>
        </patternFill>
      </fill>
    </dxf>
    <dxf>
      <font>
        <color rgb="FFFFFFFF"/>
        <family val="2"/>
      </font>
    </dxf>
    <dxf>
      <font>
        <color theme="0"/>
      </font>
    </dxf>
    <dxf>
      <font>
        <color rgb="FFFFFFFF"/>
        <family val="2"/>
      </font>
      <fill>
        <patternFill patternType="none"/>
      </fill>
      <border>
        <right/>
        <top/>
        <bottom/>
      </border>
    </dxf>
    <dxf>
      <fill>
        <patternFill patternType="solid">
          <fgColor rgb="FF808080"/>
          <bgColor rgb="FF808080"/>
        </patternFill>
      </fill>
    </dxf>
    <dxf>
      <font>
        <color rgb="FFFFFFFF"/>
        <family val="2"/>
      </font>
      <fill>
        <patternFill patternType="none"/>
      </fill>
      <border>
        <right/>
        <top/>
        <bottom/>
      </border>
    </dxf>
    <dxf>
      <font>
        <color rgb="FFFFFFFF"/>
        <family val="2"/>
      </font>
      <fill>
        <patternFill patternType="none"/>
      </fill>
      <border>
        <right/>
        <top/>
        <bottom/>
      </border>
    </dxf>
    <dxf>
      <fill>
        <patternFill patternType="solid">
          <fgColor rgb="FF808080"/>
          <bgColor rgb="FF808080"/>
        </patternFill>
      </fill>
    </dxf>
    <dxf>
      <fill>
        <patternFill>
          <bgColor theme="0" tint="-0.499984740745262"/>
        </patternFill>
      </fill>
    </dxf>
    <dxf>
      <fill>
        <patternFill>
          <bgColor theme="0" tint="-0.499984740745262"/>
        </patternFill>
      </fill>
    </dxf>
    <dxf>
      <font>
        <color rgb="FFFFFFFF"/>
        <family val="2"/>
      </font>
    </dxf>
  </dxfs>
  <tableStyles count="0" defaultTableStyle="TableStyleMedium2" defaultPivotStyle="PivotStyleLight16"/>
  <colors>
    <mruColors>
      <color rgb="FFFF00FF"/>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184910</xdr:colOff>
      <xdr:row>6</xdr:row>
      <xdr:rowOff>194841</xdr:rowOff>
    </xdr:from>
    <xdr:ext cx="1328129" cy="251972"/>
    <xdr:sp macro="" textlink="">
      <xdr:nvSpPr>
        <xdr:cNvPr id="8" name="TextBox 80">
          <a:extLst>
            <a:ext uri="{FF2B5EF4-FFF2-40B4-BE49-F238E27FC236}">
              <a16:creationId xmlns:a16="http://schemas.microsoft.com/office/drawing/2014/main" id="{62B3B30C-6D2E-4D17-B5CD-5917A1E791E6}"/>
            </a:ext>
          </a:extLst>
        </xdr:cNvPr>
        <xdr:cNvSpPr txBox="1"/>
      </xdr:nvSpPr>
      <xdr:spPr>
        <a:xfrm>
          <a:off x="5423660" y="1409764"/>
          <a:ext cx="1328129" cy="251972"/>
        </a:xfrm>
        <a:prstGeom prst="rect">
          <a:avLst/>
        </a:prstGeom>
        <a:noFill/>
        <a:ln cap="flat">
          <a:noFill/>
        </a:ln>
      </xdr:spPr>
      <xdr:txBody>
        <a:bodyPr vert="horz" wrap="square" lIns="91440" tIns="45720" rIns="91440" bIns="45720" anchor="ctr"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Excellent Quality</a:t>
          </a:r>
        </a:p>
      </xdr:txBody>
    </xdr:sp>
    <xdr:clientData/>
  </xdr:oneCellAnchor>
  <xdr:oneCellAnchor>
    <xdr:from>
      <xdr:col>6</xdr:col>
      <xdr:colOff>469982</xdr:colOff>
      <xdr:row>6</xdr:row>
      <xdr:rowOff>194840</xdr:rowOff>
    </xdr:from>
    <xdr:ext cx="1821649" cy="244437"/>
    <xdr:sp macro="" textlink="">
      <xdr:nvSpPr>
        <xdr:cNvPr id="7" name="TextBox 84">
          <a:extLst>
            <a:ext uri="{FF2B5EF4-FFF2-40B4-BE49-F238E27FC236}">
              <a16:creationId xmlns:a16="http://schemas.microsoft.com/office/drawing/2014/main" id="{BC92AB54-7233-453F-9A3D-84B085F86255}"/>
            </a:ext>
          </a:extLst>
        </xdr:cNvPr>
        <xdr:cNvSpPr txBox="1"/>
      </xdr:nvSpPr>
      <xdr:spPr>
        <a:xfrm>
          <a:off x="3755135" y="1409763"/>
          <a:ext cx="1821649" cy="244437"/>
        </a:xfrm>
        <a:prstGeom prst="rect">
          <a:avLst/>
        </a:prstGeom>
        <a:noFill/>
        <a:ln cap="flat">
          <a:noFill/>
        </a:ln>
      </xdr:spPr>
      <xdr:txBody>
        <a:bodyPr vert="horz" wrap="square" lIns="91440" tIns="45720" rIns="91440" bIns="45720" anchor="ctr"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Very Good Quality</a:t>
          </a:r>
        </a:p>
      </xdr:txBody>
    </xdr:sp>
    <xdr:clientData/>
  </xdr:oneCellAnchor>
  <xdr:oneCellAnchor>
    <xdr:from>
      <xdr:col>2</xdr:col>
      <xdr:colOff>505260</xdr:colOff>
      <xdr:row>6</xdr:row>
      <xdr:rowOff>169053</xdr:rowOff>
    </xdr:from>
    <xdr:ext cx="1752164" cy="242041"/>
    <xdr:sp macro="" textlink="">
      <xdr:nvSpPr>
        <xdr:cNvPr id="5" name="TextBox 85">
          <a:extLst>
            <a:ext uri="{FF2B5EF4-FFF2-40B4-BE49-F238E27FC236}">
              <a16:creationId xmlns:a16="http://schemas.microsoft.com/office/drawing/2014/main" id="{F516AA45-C6AB-44B6-A13A-461BEF1AC287}"/>
            </a:ext>
          </a:extLst>
        </xdr:cNvPr>
        <xdr:cNvSpPr txBox="1"/>
      </xdr:nvSpPr>
      <xdr:spPr>
        <a:xfrm>
          <a:off x="1078704" y="1383976"/>
          <a:ext cx="1752164" cy="242041"/>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Buds/Flowers</a:t>
          </a:r>
        </a:p>
      </xdr:txBody>
    </xdr:sp>
    <xdr:clientData/>
  </xdr:oneCellAnchor>
  <xdr:oneCellAnchor>
    <xdr:from>
      <xdr:col>5</xdr:col>
      <xdr:colOff>215952</xdr:colOff>
      <xdr:row>6</xdr:row>
      <xdr:rowOff>192055</xdr:rowOff>
    </xdr:from>
    <xdr:ext cx="1064325" cy="248223"/>
    <xdr:sp macro="" textlink="">
      <xdr:nvSpPr>
        <xdr:cNvPr id="6" name="TextBox 86">
          <a:extLst>
            <a:ext uri="{FF2B5EF4-FFF2-40B4-BE49-F238E27FC236}">
              <a16:creationId xmlns:a16="http://schemas.microsoft.com/office/drawing/2014/main" id="{637F6C34-6AA2-489E-ACC3-B40831850735}"/>
            </a:ext>
          </a:extLst>
        </xdr:cNvPr>
        <xdr:cNvSpPr txBox="1"/>
      </xdr:nvSpPr>
      <xdr:spPr>
        <a:xfrm>
          <a:off x="2655518" y="1406978"/>
          <a:ext cx="1064325" cy="248223"/>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0" i="0" u="none" strike="noStrike" kern="0" cap="none" spc="0" baseline="0">
              <a:solidFill>
                <a:srgbClr val="000000"/>
              </a:solidFill>
              <a:uFillTx/>
              <a:latin typeface="Calibri"/>
            </a:rPr>
            <a:t>= UK Native</a:t>
          </a:r>
        </a:p>
      </xdr:txBody>
    </xdr:sp>
    <xdr:clientData/>
  </xdr:oneCellAnchor>
  <xdr:oneCellAnchor>
    <xdr:from>
      <xdr:col>4</xdr:col>
      <xdr:colOff>455910</xdr:colOff>
      <xdr:row>7</xdr:row>
      <xdr:rowOff>17126</xdr:rowOff>
    </xdr:from>
    <xdr:ext cx="263429" cy="169346"/>
    <xdr:pic>
      <xdr:nvPicPr>
        <xdr:cNvPr id="10" name="Picture 40" descr="UK2.jpg">
          <a:extLst>
            <a:ext uri="{FF2B5EF4-FFF2-40B4-BE49-F238E27FC236}">
              <a16:creationId xmlns:a16="http://schemas.microsoft.com/office/drawing/2014/main" id="{7D9C1168-70A2-4F50-91DE-4389F7C8F1BD}"/>
            </a:ext>
          </a:extLst>
        </xdr:cNvPr>
        <xdr:cNvPicPr>
          <a:picLocks noChangeAspect="1"/>
        </xdr:cNvPicPr>
      </xdr:nvPicPr>
      <xdr:blipFill>
        <a:blip xmlns:r="http://schemas.openxmlformats.org/officeDocument/2006/relationships" r:embed="rId1"/>
        <a:srcRect/>
        <a:stretch>
          <a:fillRect/>
        </a:stretch>
      </xdr:blipFill>
      <xdr:spPr>
        <a:xfrm>
          <a:off x="2277090" y="1685906"/>
          <a:ext cx="263429" cy="169346"/>
        </a:xfrm>
        <a:prstGeom prst="rect">
          <a:avLst/>
        </a:prstGeom>
        <a:noFill/>
        <a:ln cap="flat">
          <a:noFill/>
        </a:ln>
      </xdr:spPr>
    </xdr:pic>
    <xdr:clientData/>
  </xdr:oneCellAnchor>
  <xdr:oneCellAnchor>
    <xdr:from>
      <xdr:col>6</xdr:col>
      <xdr:colOff>329955</xdr:colOff>
      <xdr:row>7</xdr:row>
      <xdr:rowOff>8945</xdr:rowOff>
    </xdr:from>
    <xdr:ext cx="182322" cy="155466"/>
    <xdr:sp macro="" textlink="">
      <xdr:nvSpPr>
        <xdr:cNvPr id="11" name="5-Point Star 23">
          <a:extLst>
            <a:ext uri="{FF2B5EF4-FFF2-40B4-BE49-F238E27FC236}">
              <a16:creationId xmlns:a16="http://schemas.microsoft.com/office/drawing/2014/main" id="{FF400FEC-DB5C-4304-933E-7466A7C6211A}"/>
            </a:ext>
          </a:extLst>
        </xdr:cNvPr>
        <xdr:cNvSpPr/>
      </xdr:nvSpPr>
      <xdr:spPr>
        <a:xfrm>
          <a:off x="3254130" y="1199570"/>
          <a:ext cx="182322" cy="155466"/>
        </a:xfrm>
        <a:custGeom>
          <a:avLst>
            <a:gd name="f11" fmla="val 19098"/>
          </a:avLst>
          <a:gdLst>
            <a:gd name="f1" fmla="val 10800000"/>
            <a:gd name="f2" fmla="val 5400000"/>
            <a:gd name="f3" fmla="val 180"/>
            <a:gd name="f4" fmla="val w"/>
            <a:gd name="f5" fmla="val h"/>
            <a:gd name="f6" fmla="val ss"/>
            <a:gd name="f7" fmla="val 0"/>
            <a:gd name="f8" fmla="*/ 5419351 1 1725033"/>
            <a:gd name="f9" fmla="val 105146"/>
            <a:gd name="f10" fmla="val 110557"/>
            <a:gd name="f11" fmla="val 19098"/>
            <a:gd name="f12" fmla="+- 0 0 -270"/>
            <a:gd name="f13" fmla="+- 0 0 -180"/>
            <a:gd name="f14" fmla="+- 0 0 -90"/>
            <a:gd name="f15" fmla="abs f4"/>
            <a:gd name="f16" fmla="abs f5"/>
            <a:gd name="f17" fmla="abs f6"/>
            <a:gd name="f18" fmla="val f7"/>
            <a:gd name="f19" fmla="val f11"/>
            <a:gd name="f20" fmla="+- 1080000 f2 0"/>
            <a:gd name="f21" fmla="+- 18360000 f2 0"/>
            <a:gd name="f22" fmla="+- 20520000 f2 0"/>
            <a:gd name="f23" fmla="+- 3240000 f2 0"/>
            <a:gd name="f24" fmla="*/ f12 f1 1"/>
            <a:gd name="f25" fmla="*/ f13 f1 1"/>
            <a:gd name="f26" fmla="*/ f14 f1 1"/>
            <a:gd name="f27" fmla="?: f15 f4 1"/>
            <a:gd name="f28" fmla="?: f16 f5 1"/>
            <a:gd name="f29" fmla="?: f17 f6 1"/>
            <a:gd name="f30" fmla="*/ f20 f8 1"/>
            <a:gd name="f31" fmla="*/ f21 f8 1"/>
            <a:gd name="f32" fmla="*/ f22 f8 1"/>
            <a:gd name="f33" fmla="*/ f23 f8 1"/>
            <a:gd name="f34" fmla="*/ f24 1 f3"/>
            <a:gd name="f35" fmla="*/ f25 1 f3"/>
            <a:gd name="f36" fmla="*/ f26 1 f3"/>
            <a:gd name="f37" fmla="*/ f27 1 21600"/>
            <a:gd name="f38" fmla="*/ f28 1 21600"/>
            <a:gd name="f39" fmla="*/ 21600 f27 1"/>
            <a:gd name="f40" fmla="*/ 21600 f28 1"/>
            <a:gd name="f41" fmla="*/ f30 1 f1"/>
            <a:gd name="f42" fmla="*/ f31 1 f1"/>
            <a:gd name="f43" fmla="*/ f32 1 f1"/>
            <a:gd name="f44" fmla="*/ f33 1 f1"/>
            <a:gd name="f45" fmla="+- f34 0 f2"/>
            <a:gd name="f46" fmla="+- f35 0 f2"/>
            <a:gd name="f47" fmla="+- f36 0 f2"/>
            <a:gd name="f48" fmla="min f38 f37"/>
            <a:gd name="f49" fmla="*/ f39 1 f29"/>
            <a:gd name="f50" fmla="*/ f40 1 f29"/>
            <a:gd name="f51" fmla="+- 0 0 f41"/>
            <a:gd name="f52" fmla="+- 0 0 f42"/>
            <a:gd name="f53" fmla="+- 0 0 f43"/>
            <a:gd name="f54" fmla="+- 0 0 f44"/>
            <a:gd name="f55" fmla="val f49"/>
            <a:gd name="f56" fmla="val f50"/>
            <a:gd name="f57" fmla="+- 0 0 f51"/>
            <a:gd name="f58" fmla="+- 0 0 f52"/>
            <a:gd name="f59" fmla="+- 0 0 f53"/>
            <a:gd name="f60" fmla="+- 0 0 f54"/>
            <a:gd name="f61" fmla="*/ f18 f48 1"/>
            <a:gd name="f62" fmla="+- f56 0 f18"/>
            <a:gd name="f63" fmla="+- f55 0 f18"/>
            <a:gd name="f64" fmla="*/ f57 f1 1"/>
            <a:gd name="f65" fmla="*/ f58 f1 1"/>
            <a:gd name="f66" fmla="*/ f59 f1 1"/>
            <a:gd name="f67" fmla="*/ f60 f1 1"/>
            <a:gd name="f68" fmla="*/ f62 1 2"/>
            <a:gd name="f69" fmla="*/ f63 1 2"/>
            <a:gd name="f70" fmla="*/ f64 1 f8"/>
            <a:gd name="f71" fmla="*/ f65 1 f8"/>
            <a:gd name="f72" fmla="*/ f66 1 f8"/>
            <a:gd name="f73" fmla="*/ f67 1 f8"/>
            <a:gd name="f74" fmla="+- f18 f68 0"/>
            <a:gd name="f75" fmla="+- f18 f69 0"/>
            <a:gd name="f76" fmla="*/ f69 f9 1"/>
            <a:gd name="f77" fmla="*/ f68 f10 1"/>
            <a:gd name="f78" fmla="+- f70 0 f2"/>
            <a:gd name="f79" fmla="+- f71 0 f2"/>
            <a:gd name="f80" fmla="+- f72 0 f2"/>
            <a:gd name="f81" fmla="+- f73 0 f2"/>
            <a:gd name="f82" fmla="*/ f76 1 100000"/>
            <a:gd name="f83" fmla="*/ f77 1 100000"/>
            <a:gd name="f84" fmla="*/ f74 f10 1"/>
            <a:gd name="f85" fmla="cos 1 f78"/>
            <a:gd name="f86" fmla="cos 1 f79"/>
            <a:gd name="f87" fmla="sin 1 f78"/>
            <a:gd name="f88" fmla="sin 1 f79"/>
            <a:gd name="f89" fmla="cos 1 f80"/>
            <a:gd name="f90" fmla="cos 1 f81"/>
            <a:gd name="f91" fmla="sin 1 f81"/>
            <a:gd name="f92" fmla="sin 1 f80"/>
            <a:gd name="f93" fmla="*/ f75 f48 1"/>
            <a:gd name="f94" fmla="*/ f84 1 100000"/>
            <a:gd name="f95" fmla="+- 0 0 f85"/>
            <a:gd name="f96" fmla="+- 0 0 f86"/>
            <a:gd name="f97" fmla="+- 0 0 f87"/>
            <a:gd name="f98" fmla="+- 0 0 f88"/>
            <a:gd name="f99" fmla="*/ f82 f19 1"/>
            <a:gd name="f100" fmla="*/ f83 f19 1"/>
            <a:gd name="f101" fmla="+- 0 0 f89"/>
            <a:gd name="f102" fmla="+- 0 0 f90"/>
            <a:gd name="f103" fmla="+- 0 0 f91"/>
            <a:gd name="f104" fmla="+- 0 0 f92"/>
            <a:gd name="f105" fmla="+- 0 0 f95"/>
            <a:gd name="f106" fmla="+- 0 0 f96"/>
            <a:gd name="f107" fmla="+- 0 0 f97"/>
            <a:gd name="f108" fmla="+- 0 0 f98"/>
            <a:gd name="f109" fmla="*/ f99 1 50000"/>
            <a:gd name="f110" fmla="*/ f100 1 50000"/>
            <a:gd name="f111" fmla="+- 0 0 f101"/>
            <a:gd name="f112" fmla="+- 0 0 f102"/>
            <a:gd name="f113" fmla="+- 0 0 f103"/>
            <a:gd name="f114" fmla="+- 0 0 f104"/>
            <a:gd name="f115" fmla="*/ f105 f82 1"/>
            <a:gd name="f116" fmla="*/ f106 f82 1"/>
            <a:gd name="f117" fmla="*/ f107 f83 1"/>
            <a:gd name="f118" fmla="*/ f108 f83 1"/>
            <a:gd name="f119" fmla="*/ f111 f109 1"/>
            <a:gd name="f120" fmla="*/ f112 f109 1"/>
            <a:gd name="f121" fmla="*/ f113 f110 1"/>
            <a:gd name="f122" fmla="*/ f114 f110 1"/>
            <a:gd name="f123" fmla="+- f94 f110 0"/>
            <a:gd name="f124" fmla="+- f75 0 f115"/>
            <a:gd name="f125" fmla="+- f75 0 f116"/>
            <a:gd name="f126" fmla="+- f75 f116 0"/>
            <a:gd name="f127" fmla="+- f75 f115 0"/>
            <a:gd name="f128" fmla="+- f94 0 f117"/>
            <a:gd name="f129" fmla="+- f94 0 f118"/>
            <a:gd name="f130" fmla="+- f75 0 f119"/>
            <a:gd name="f131" fmla="+- f75 0 f120"/>
            <a:gd name="f132" fmla="+- f75 f120 0"/>
            <a:gd name="f133" fmla="+- f75 f119 0"/>
            <a:gd name="f134" fmla="+- f94 0 f121"/>
            <a:gd name="f135" fmla="+- f94 0 f122"/>
            <a:gd name="f136" fmla="*/ f123 f48 1"/>
            <a:gd name="f137" fmla="*/ f130 f48 1"/>
            <a:gd name="f138" fmla="*/ f134 f48 1"/>
            <a:gd name="f139" fmla="*/ f133 f48 1"/>
            <a:gd name="f140" fmla="*/ f124 f48 1"/>
            <a:gd name="f141" fmla="*/ f128 f48 1"/>
            <a:gd name="f142" fmla="*/ f131 f48 1"/>
            <a:gd name="f143" fmla="*/ f132 f48 1"/>
            <a:gd name="f144" fmla="*/ f127 f48 1"/>
            <a:gd name="f145" fmla="*/ f135 f48 1"/>
            <a:gd name="f146" fmla="*/ f126 f48 1"/>
            <a:gd name="f147" fmla="*/ f129 f48 1"/>
            <a:gd name="f148" fmla="*/ f125 f48 1"/>
          </a:gdLst>
          <a:ahLst/>
          <a:cxnLst>
            <a:cxn ang="3cd4">
              <a:pos x="hc" y="t"/>
            </a:cxn>
            <a:cxn ang="0">
              <a:pos x="r" y="vc"/>
            </a:cxn>
            <a:cxn ang="cd4">
              <a:pos x="hc" y="b"/>
            </a:cxn>
            <a:cxn ang="cd2">
              <a:pos x="l" y="vc"/>
            </a:cxn>
            <a:cxn ang="f45">
              <a:pos x="f140" y="f141"/>
            </a:cxn>
            <a:cxn ang="f46">
              <a:pos x="f148" y="f147"/>
            </a:cxn>
            <a:cxn ang="f46">
              <a:pos x="f146" y="f147"/>
            </a:cxn>
            <a:cxn ang="f47">
              <a:pos x="f144" y="f141"/>
            </a:cxn>
          </a:cxnLst>
          <a:rect l="f137" t="f138" r="f139" b="f136"/>
          <a:pathLst>
            <a:path>
              <a:moveTo>
                <a:pt x="f140" y="f141"/>
              </a:moveTo>
              <a:lnTo>
                <a:pt x="f142" y="f138"/>
              </a:lnTo>
              <a:lnTo>
                <a:pt x="f93" y="f61"/>
              </a:lnTo>
              <a:lnTo>
                <a:pt x="f143" y="f138"/>
              </a:lnTo>
              <a:lnTo>
                <a:pt x="f144" y="f141"/>
              </a:lnTo>
              <a:lnTo>
                <a:pt x="f139" y="f145"/>
              </a:lnTo>
              <a:lnTo>
                <a:pt x="f146" y="f147"/>
              </a:lnTo>
              <a:lnTo>
                <a:pt x="f93" y="f136"/>
              </a:lnTo>
              <a:lnTo>
                <a:pt x="f148" y="f147"/>
              </a:lnTo>
              <a:lnTo>
                <a:pt x="f137" y="f145"/>
              </a:lnTo>
              <a:close/>
            </a:path>
          </a:pathLst>
        </a:custGeom>
        <a:solidFill>
          <a:srgbClr val="FFFF00"/>
        </a:solidFill>
        <a:ln w="9528" cap="flat">
          <a:solidFill>
            <a:srgbClr val="000000"/>
          </a:solidFill>
          <a:prstDash val="solid"/>
          <a:round/>
        </a:ln>
      </xdr:spPr>
      <xdr:txBody>
        <a:bodyPr vert="horz" wrap="square" lIns="18288"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2</xdr:col>
      <xdr:colOff>354928</xdr:colOff>
      <xdr:row>7</xdr:row>
      <xdr:rowOff>7641</xdr:rowOff>
    </xdr:from>
    <xdr:ext cx="188348" cy="162315"/>
    <xdr:pic>
      <xdr:nvPicPr>
        <xdr:cNvPr id="9" name="Picture 1">
          <a:extLst>
            <a:ext uri="{FF2B5EF4-FFF2-40B4-BE49-F238E27FC236}">
              <a16:creationId xmlns:a16="http://schemas.microsoft.com/office/drawing/2014/main" id="{1EEADECA-8894-49DD-BF02-2100AD5F1D4D}"/>
            </a:ext>
          </a:extLst>
        </xdr:cNvPr>
        <xdr:cNvPicPr>
          <a:picLocks noChangeAspect="1"/>
        </xdr:cNvPicPr>
      </xdr:nvPicPr>
      <xdr:blipFill>
        <a:blip xmlns:r="http://schemas.openxmlformats.org/officeDocument/2006/relationships" r:embed="rId2"/>
        <a:srcRect/>
        <a:stretch>
          <a:fillRect/>
        </a:stretch>
      </xdr:blipFill>
      <xdr:spPr>
        <a:xfrm>
          <a:off x="943746" y="1713482"/>
          <a:ext cx="188348" cy="162315"/>
        </a:xfrm>
        <a:prstGeom prst="rect">
          <a:avLst/>
        </a:prstGeom>
        <a:noFill/>
        <a:ln cap="flat">
          <a:noFill/>
        </a:ln>
      </xdr:spPr>
    </xdr:pic>
    <xdr:clientData/>
  </xdr:oneCellAnchor>
  <xdr:oneCellAnchor>
    <xdr:from>
      <xdr:col>3</xdr:col>
      <xdr:colOff>29159</xdr:colOff>
      <xdr:row>4</xdr:row>
      <xdr:rowOff>8284</xdr:rowOff>
    </xdr:from>
    <xdr:ext cx="2067386" cy="249210"/>
    <xdr:sp macro="" textlink="">
      <xdr:nvSpPr>
        <xdr:cNvPr id="4" name="TextBox 93">
          <a:extLst>
            <a:ext uri="{FF2B5EF4-FFF2-40B4-BE49-F238E27FC236}">
              <a16:creationId xmlns:a16="http://schemas.microsoft.com/office/drawing/2014/main" id="{AF4BBBA1-A988-4B2E-B2EF-45F2140AE3F7}"/>
            </a:ext>
          </a:extLst>
        </xdr:cNvPr>
        <xdr:cNvSpPr txBox="1"/>
      </xdr:nvSpPr>
      <xdr:spPr>
        <a:xfrm>
          <a:off x="1642577" y="805274"/>
          <a:ext cx="2067386" cy="249210"/>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400" b="0" i="0" u="none" strike="noStrike" kern="0" cap="none" spc="0" baseline="0">
            <a:solidFill>
              <a:srgbClr val="545454"/>
            </a:solidFill>
            <a:uFillTx/>
            <a:latin typeface="Calibri"/>
          </a:endParaRPr>
        </a:p>
      </xdr:txBody>
    </xdr:sp>
    <xdr:clientData/>
  </xdr:oneCellAnchor>
  <xdr:oneCellAnchor>
    <xdr:from>
      <xdr:col>6</xdr:col>
      <xdr:colOff>1810192</xdr:colOff>
      <xdr:row>7</xdr:row>
      <xdr:rowOff>19284</xdr:rowOff>
    </xdr:from>
    <xdr:ext cx="187159" cy="138321"/>
    <xdr:sp macro="" textlink="">
      <xdr:nvSpPr>
        <xdr:cNvPr id="12" name="5-Point Star 23">
          <a:extLst>
            <a:ext uri="{FF2B5EF4-FFF2-40B4-BE49-F238E27FC236}">
              <a16:creationId xmlns:a16="http://schemas.microsoft.com/office/drawing/2014/main" id="{CBAACC54-5DC1-4064-8669-7561676D9B64}"/>
            </a:ext>
          </a:extLst>
        </xdr:cNvPr>
        <xdr:cNvSpPr/>
      </xdr:nvSpPr>
      <xdr:spPr>
        <a:xfrm>
          <a:off x="4754283" y="1725125"/>
          <a:ext cx="187159" cy="138321"/>
        </a:xfrm>
        <a:custGeom>
          <a:avLst>
            <a:gd name="f11" fmla="val 19098"/>
          </a:avLst>
          <a:gdLst>
            <a:gd name="f1" fmla="val 10800000"/>
            <a:gd name="f2" fmla="val 5400000"/>
            <a:gd name="f3" fmla="val 180"/>
            <a:gd name="f4" fmla="val w"/>
            <a:gd name="f5" fmla="val h"/>
            <a:gd name="f6" fmla="val ss"/>
            <a:gd name="f7" fmla="val 0"/>
            <a:gd name="f8" fmla="*/ 5419351 1 1725033"/>
            <a:gd name="f9" fmla="val 105146"/>
            <a:gd name="f10" fmla="val 110557"/>
            <a:gd name="f11" fmla="val 19098"/>
            <a:gd name="f12" fmla="+- 0 0 -270"/>
            <a:gd name="f13" fmla="+- 0 0 -180"/>
            <a:gd name="f14" fmla="+- 0 0 -90"/>
            <a:gd name="f15" fmla="abs f4"/>
            <a:gd name="f16" fmla="abs f5"/>
            <a:gd name="f17" fmla="abs f6"/>
            <a:gd name="f18" fmla="val f7"/>
            <a:gd name="f19" fmla="val f11"/>
            <a:gd name="f20" fmla="+- 1080000 f2 0"/>
            <a:gd name="f21" fmla="+- 18360000 f2 0"/>
            <a:gd name="f22" fmla="+- 20520000 f2 0"/>
            <a:gd name="f23" fmla="+- 3240000 f2 0"/>
            <a:gd name="f24" fmla="*/ f12 f1 1"/>
            <a:gd name="f25" fmla="*/ f13 f1 1"/>
            <a:gd name="f26" fmla="*/ f14 f1 1"/>
            <a:gd name="f27" fmla="?: f15 f4 1"/>
            <a:gd name="f28" fmla="?: f16 f5 1"/>
            <a:gd name="f29" fmla="?: f17 f6 1"/>
            <a:gd name="f30" fmla="*/ f20 f8 1"/>
            <a:gd name="f31" fmla="*/ f21 f8 1"/>
            <a:gd name="f32" fmla="*/ f22 f8 1"/>
            <a:gd name="f33" fmla="*/ f23 f8 1"/>
            <a:gd name="f34" fmla="*/ f24 1 f3"/>
            <a:gd name="f35" fmla="*/ f25 1 f3"/>
            <a:gd name="f36" fmla="*/ f26 1 f3"/>
            <a:gd name="f37" fmla="*/ f27 1 21600"/>
            <a:gd name="f38" fmla="*/ f28 1 21600"/>
            <a:gd name="f39" fmla="*/ 21600 f27 1"/>
            <a:gd name="f40" fmla="*/ 21600 f28 1"/>
            <a:gd name="f41" fmla="*/ f30 1 f1"/>
            <a:gd name="f42" fmla="*/ f31 1 f1"/>
            <a:gd name="f43" fmla="*/ f32 1 f1"/>
            <a:gd name="f44" fmla="*/ f33 1 f1"/>
            <a:gd name="f45" fmla="+- f34 0 f2"/>
            <a:gd name="f46" fmla="+- f35 0 f2"/>
            <a:gd name="f47" fmla="+- f36 0 f2"/>
            <a:gd name="f48" fmla="min f38 f37"/>
            <a:gd name="f49" fmla="*/ f39 1 f29"/>
            <a:gd name="f50" fmla="*/ f40 1 f29"/>
            <a:gd name="f51" fmla="+- 0 0 f41"/>
            <a:gd name="f52" fmla="+- 0 0 f42"/>
            <a:gd name="f53" fmla="+- 0 0 f43"/>
            <a:gd name="f54" fmla="+- 0 0 f44"/>
            <a:gd name="f55" fmla="val f49"/>
            <a:gd name="f56" fmla="val f50"/>
            <a:gd name="f57" fmla="+- 0 0 f51"/>
            <a:gd name="f58" fmla="+- 0 0 f52"/>
            <a:gd name="f59" fmla="+- 0 0 f53"/>
            <a:gd name="f60" fmla="+- 0 0 f54"/>
            <a:gd name="f61" fmla="*/ f18 f48 1"/>
            <a:gd name="f62" fmla="+- f56 0 f18"/>
            <a:gd name="f63" fmla="+- f55 0 f18"/>
            <a:gd name="f64" fmla="*/ f57 f1 1"/>
            <a:gd name="f65" fmla="*/ f58 f1 1"/>
            <a:gd name="f66" fmla="*/ f59 f1 1"/>
            <a:gd name="f67" fmla="*/ f60 f1 1"/>
            <a:gd name="f68" fmla="*/ f62 1 2"/>
            <a:gd name="f69" fmla="*/ f63 1 2"/>
            <a:gd name="f70" fmla="*/ f64 1 f8"/>
            <a:gd name="f71" fmla="*/ f65 1 f8"/>
            <a:gd name="f72" fmla="*/ f66 1 f8"/>
            <a:gd name="f73" fmla="*/ f67 1 f8"/>
            <a:gd name="f74" fmla="+- f18 f68 0"/>
            <a:gd name="f75" fmla="+- f18 f69 0"/>
            <a:gd name="f76" fmla="*/ f69 f9 1"/>
            <a:gd name="f77" fmla="*/ f68 f10 1"/>
            <a:gd name="f78" fmla="+- f70 0 f2"/>
            <a:gd name="f79" fmla="+- f71 0 f2"/>
            <a:gd name="f80" fmla="+- f72 0 f2"/>
            <a:gd name="f81" fmla="+- f73 0 f2"/>
            <a:gd name="f82" fmla="*/ f76 1 100000"/>
            <a:gd name="f83" fmla="*/ f77 1 100000"/>
            <a:gd name="f84" fmla="*/ f74 f10 1"/>
            <a:gd name="f85" fmla="cos 1 f78"/>
            <a:gd name="f86" fmla="cos 1 f79"/>
            <a:gd name="f87" fmla="sin 1 f78"/>
            <a:gd name="f88" fmla="sin 1 f79"/>
            <a:gd name="f89" fmla="cos 1 f80"/>
            <a:gd name="f90" fmla="cos 1 f81"/>
            <a:gd name="f91" fmla="sin 1 f81"/>
            <a:gd name="f92" fmla="sin 1 f80"/>
            <a:gd name="f93" fmla="*/ f75 f48 1"/>
            <a:gd name="f94" fmla="*/ f84 1 100000"/>
            <a:gd name="f95" fmla="+- 0 0 f85"/>
            <a:gd name="f96" fmla="+- 0 0 f86"/>
            <a:gd name="f97" fmla="+- 0 0 f87"/>
            <a:gd name="f98" fmla="+- 0 0 f88"/>
            <a:gd name="f99" fmla="*/ f82 f19 1"/>
            <a:gd name="f100" fmla="*/ f83 f19 1"/>
            <a:gd name="f101" fmla="+- 0 0 f89"/>
            <a:gd name="f102" fmla="+- 0 0 f90"/>
            <a:gd name="f103" fmla="+- 0 0 f91"/>
            <a:gd name="f104" fmla="+- 0 0 f92"/>
            <a:gd name="f105" fmla="+- 0 0 f95"/>
            <a:gd name="f106" fmla="+- 0 0 f96"/>
            <a:gd name="f107" fmla="+- 0 0 f97"/>
            <a:gd name="f108" fmla="+- 0 0 f98"/>
            <a:gd name="f109" fmla="*/ f99 1 50000"/>
            <a:gd name="f110" fmla="*/ f100 1 50000"/>
            <a:gd name="f111" fmla="+- 0 0 f101"/>
            <a:gd name="f112" fmla="+- 0 0 f102"/>
            <a:gd name="f113" fmla="+- 0 0 f103"/>
            <a:gd name="f114" fmla="+- 0 0 f104"/>
            <a:gd name="f115" fmla="*/ f105 f82 1"/>
            <a:gd name="f116" fmla="*/ f106 f82 1"/>
            <a:gd name="f117" fmla="*/ f107 f83 1"/>
            <a:gd name="f118" fmla="*/ f108 f83 1"/>
            <a:gd name="f119" fmla="*/ f111 f109 1"/>
            <a:gd name="f120" fmla="*/ f112 f109 1"/>
            <a:gd name="f121" fmla="*/ f113 f110 1"/>
            <a:gd name="f122" fmla="*/ f114 f110 1"/>
            <a:gd name="f123" fmla="+- f94 f110 0"/>
            <a:gd name="f124" fmla="+- f75 0 f115"/>
            <a:gd name="f125" fmla="+- f75 0 f116"/>
            <a:gd name="f126" fmla="+- f75 f116 0"/>
            <a:gd name="f127" fmla="+- f75 f115 0"/>
            <a:gd name="f128" fmla="+- f94 0 f117"/>
            <a:gd name="f129" fmla="+- f94 0 f118"/>
            <a:gd name="f130" fmla="+- f75 0 f119"/>
            <a:gd name="f131" fmla="+- f75 0 f120"/>
            <a:gd name="f132" fmla="+- f75 f120 0"/>
            <a:gd name="f133" fmla="+- f75 f119 0"/>
            <a:gd name="f134" fmla="+- f94 0 f121"/>
            <a:gd name="f135" fmla="+- f94 0 f122"/>
            <a:gd name="f136" fmla="*/ f123 f48 1"/>
            <a:gd name="f137" fmla="*/ f130 f48 1"/>
            <a:gd name="f138" fmla="*/ f134 f48 1"/>
            <a:gd name="f139" fmla="*/ f133 f48 1"/>
            <a:gd name="f140" fmla="*/ f124 f48 1"/>
            <a:gd name="f141" fmla="*/ f128 f48 1"/>
            <a:gd name="f142" fmla="*/ f131 f48 1"/>
            <a:gd name="f143" fmla="*/ f132 f48 1"/>
            <a:gd name="f144" fmla="*/ f127 f48 1"/>
            <a:gd name="f145" fmla="*/ f135 f48 1"/>
            <a:gd name="f146" fmla="*/ f126 f48 1"/>
            <a:gd name="f147" fmla="*/ f129 f48 1"/>
            <a:gd name="f148" fmla="*/ f125 f48 1"/>
          </a:gdLst>
          <a:ahLst/>
          <a:cxnLst>
            <a:cxn ang="3cd4">
              <a:pos x="hc" y="t"/>
            </a:cxn>
            <a:cxn ang="0">
              <a:pos x="r" y="vc"/>
            </a:cxn>
            <a:cxn ang="cd4">
              <a:pos x="hc" y="b"/>
            </a:cxn>
            <a:cxn ang="cd2">
              <a:pos x="l" y="vc"/>
            </a:cxn>
            <a:cxn ang="f45">
              <a:pos x="f140" y="f141"/>
            </a:cxn>
            <a:cxn ang="f46">
              <a:pos x="f148" y="f147"/>
            </a:cxn>
            <a:cxn ang="f46">
              <a:pos x="f146" y="f147"/>
            </a:cxn>
            <a:cxn ang="f47">
              <a:pos x="f144" y="f141"/>
            </a:cxn>
          </a:cxnLst>
          <a:rect l="f137" t="f138" r="f139" b="f136"/>
          <a:pathLst>
            <a:path>
              <a:moveTo>
                <a:pt x="f140" y="f141"/>
              </a:moveTo>
              <a:lnTo>
                <a:pt x="f142" y="f138"/>
              </a:lnTo>
              <a:lnTo>
                <a:pt x="f93" y="f61"/>
              </a:lnTo>
              <a:lnTo>
                <a:pt x="f143" y="f138"/>
              </a:lnTo>
              <a:lnTo>
                <a:pt x="f144" y="f141"/>
              </a:lnTo>
              <a:lnTo>
                <a:pt x="f139" y="f145"/>
              </a:lnTo>
              <a:lnTo>
                <a:pt x="f146" y="f147"/>
              </a:lnTo>
              <a:lnTo>
                <a:pt x="f93" y="f136"/>
              </a:lnTo>
              <a:lnTo>
                <a:pt x="f148" y="f147"/>
              </a:lnTo>
              <a:lnTo>
                <a:pt x="f137" y="f145"/>
              </a:lnTo>
              <a:close/>
            </a:path>
          </a:pathLst>
        </a:custGeom>
        <a:solidFill>
          <a:srgbClr val="FFFF00"/>
        </a:solidFill>
        <a:ln w="9528" cap="flat">
          <a:solidFill>
            <a:srgbClr val="000000"/>
          </a:solidFill>
          <a:prstDash val="solid"/>
          <a:round/>
        </a:ln>
      </xdr:spPr>
      <xdr:txBody>
        <a:bodyPr vert="horz" wrap="square" lIns="18288"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7</xdr:col>
      <xdr:colOff>31875</xdr:colOff>
      <xdr:row>7</xdr:row>
      <xdr:rowOff>19284</xdr:rowOff>
    </xdr:from>
    <xdr:ext cx="175189" cy="138321"/>
    <xdr:sp macro="" textlink="">
      <xdr:nvSpPr>
        <xdr:cNvPr id="13" name="5-Point Star 23">
          <a:extLst>
            <a:ext uri="{FF2B5EF4-FFF2-40B4-BE49-F238E27FC236}">
              <a16:creationId xmlns:a16="http://schemas.microsoft.com/office/drawing/2014/main" id="{1F348E47-FD0C-4841-856D-F78F76EDFE16}"/>
            </a:ext>
          </a:extLst>
        </xdr:cNvPr>
        <xdr:cNvSpPr/>
      </xdr:nvSpPr>
      <xdr:spPr>
        <a:xfrm>
          <a:off x="5061075" y="1688064"/>
          <a:ext cx="175189" cy="138321"/>
        </a:xfrm>
        <a:custGeom>
          <a:avLst>
            <a:gd name="f11" fmla="val 19098"/>
          </a:avLst>
          <a:gdLst>
            <a:gd name="f1" fmla="val 10800000"/>
            <a:gd name="f2" fmla="val 5400000"/>
            <a:gd name="f3" fmla="val 180"/>
            <a:gd name="f4" fmla="val w"/>
            <a:gd name="f5" fmla="val h"/>
            <a:gd name="f6" fmla="val ss"/>
            <a:gd name="f7" fmla="val 0"/>
            <a:gd name="f8" fmla="*/ 5419351 1 1725033"/>
            <a:gd name="f9" fmla="val 105146"/>
            <a:gd name="f10" fmla="val 110557"/>
            <a:gd name="f11" fmla="val 19098"/>
            <a:gd name="f12" fmla="+- 0 0 -270"/>
            <a:gd name="f13" fmla="+- 0 0 -180"/>
            <a:gd name="f14" fmla="+- 0 0 -90"/>
            <a:gd name="f15" fmla="abs f4"/>
            <a:gd name="f16" fmla="abs f5"/>
            <a:gd name="f17" fmla="abs f6"/>
            <a:gd name="f18" fmla="val f7"/>
            <a:gd name="f19" fmla="val f11"/>
            <a:gd name="f20" fmla="+- 1080000 f2 0"/>
            <a:gd name="f21" fmla="+- 18360000 f2 0"/>
            <a:gd name="f22" fmla="+- 20520000 f2 0"/>
            <a:gd name="f23" fmla="+- 3240000 f2 0"/>
            <a:gd name="f24" fmla="*/ f12 f1 1"/>
            <a:gd name="f25" fmla="*/ f13 f1 1"/>
            <a:gd name="f26" fmla="*/ f14 f1 1"/>
            <a:gd name="f27" fmla="?: f15 f4 1"/>
            <a:gd name="f28" fmla="?: f16 f5 1"/>
            <a:gd name="f29" fmla="?: f17 f6 1"/>
            <a:gd name="f30" fmla="*/ f20 f8 1"/>
            <a:gd name="f31" fmla="*/ f21 f8 1"/>
            <a:gd name="f32" fmla="*/ f22 f8 1"/>
            <a:gd name="f33" fmla="*/ f23 f8 1"/>
            <a:gd name="f34" fmla="*/ f24 1 f3"/>
            <a:gd name="f35" fmla="*/ f25 1 f3"/>
            <a:gd name="f36" fmla="*/ f26 1 f3"/>
            <a:gd name="f37" fmla="*/ f27 1 21600"/>
            <a:gd name="f38" fmla="*/ f28 1 21600"/>
            <a:gd name="f39" fmla="*/ 21600 f27 1"/>
            <a:gd name="f40" fmla="*/ 21600 f28 1"/>
            <a:gd name="f41" fmla="*/ f30 1 f1"/>
            <a:gd name="f42" fmla="*/ f31 1 f1"/>
            <a:gd name="f43" fmla="*/ f32 1 f1"/>
            <a:gd name="f44" fmla="*/ f33 1 f1"/>
            <a:gd name="f45" fmla="+- f34 0 f2"/>
            <a:gd name="f46" fmla="+- f35 0 f2"/>
            <a:gd name="f47" fmla="+- f36 0 f2"/>
            <a:gd name="f48" fmla="min f38 f37"/>
            <a:gd name="f49" fmla="*/ f39 1 f29"/>
            <a:gd name="f50" fmla="*/ f40 1 f29"/>
            <a:gd name="f51" fmla="+- 0 0 f41"/>
            <a:gd name="f52" fmla="+- 0 0 f42"/>
            <a:gd name="f53" fmla="+- 0 0 f43"/>
            <a:gd name="f54" fmla="+- 0 0 f44"/>
            <a:gd name="f55" fmla="val f49"/>
            <a:gd name="f56" fmla="val f50"/>
            <a:gd name="f57" fmla="+- 0 0 f51"/>
            <a:gd name="f58" fmla="+- 0 0 f52"/>
            <a:gd name="f59" fmla="+- 0 0 f53"/>
            <a:gd name="f60" fmla="+- 0 0 f54"/>
            <a:gd name="f61" fmla="*/ f18 f48 1"/>
            <a:gd name="f62" fmla="+- f56 0 f18"/>
            <a:gd name="f63" fmla="+- f55 0 f18"/>
            <a:gd name="f64" fmla="*/ f57 f1 1"/>
            <a:gd name="f65" fmla="*/ f58 f1 1"/>
            <a:gd name="f66" fmla="*/ f59 f1 1"/>
            <a:gd name="f67" fmla="*/ f60 f1 1"/>
            <a:gd name="f68" fmla="*/ f62 1 2"/>
            <a:gd name="f69" fmla="*/ f63 1 2"/>
            <a:gd name="f70" fmla="*/ f64 1 f8"/>
            <a:gd name="f71" fmla="*/ f65 1 f8"/>
            <a:gd name="f72" fmla="*/ f66 1 f8"/>
            <a:gd name="f73" fmla="*/ f67 1 f8"/>
            <a:gd name="f74" fmla="+- f18 f68 0"/>
            <a:gd name="f75" fmla="+- f18 f69 0"/>
            <a:gd name="f76" fmla="*/ f69 f9 1"/>
            <a:gd name="f77" fmla="*/ f68 f10 1"/>
            <a:gd name="f78" fmla="+- f70 0 f2"/>
            <a:gd name="f79" fmla="+- f71 0 f2"/>
            <a:gd name="f80" fmla="+- f72 0 f2"/>
            <a:gd name="f81" fmla="+- f73 0 f2"/>
            <a:gd name="f82" fmla="*/ f76 1 100000"/>
            <a:gd name="f83" fmla="*/ f77 1 100000"/>
            <a:gd name="f84" fmla="*/ f74 f10 1"/>
            <a:gd name="f85" fmla="cos 1 f78"/>
            <a:gd name="f86" fmla="cos 1 f79"/>
            <a:gd name="f87" fmla="sin 1 f78"/>
            <a:gd name="f88" fmla="sin 1 f79"/>
            <a:gd name="f89" fmla="cos 1 f80"/>
            <a:gd name="f90" fmla="cos 1 f81"/>
            <a:gd name="f91" fmla="sin 1 f81"/>
            <a:gd name="f92" fmla="sin 1 f80"/>
            <a:gd name="f93" fmla="*/ f75 f48 1"/>
            <a:gd name="f94" fmla="*/ f84 1 100000"/>
            <a:gd name="f95" fmla="+- 0 0 f85"/>
            <a:gd name="f96" fmla="+- 0 0 f86"/>
            <a:gd name="f97" fmla="+- 0 0 f87"/>
            <a:gd name="f98" fmla="+- 0 0 f88"/>
            <a:gd name="f99" fmla="*/ f82 f19 1"/>
            <a:gd name="f100" fmla="*/ f83 f19 1"/>
            <a:gd name="f101" fmla="+- 0 0 f89"/>
            <a:gd name="f102" fmla="+- 0 0 f90"/>
            <a:gd name="f103" fmla="+- 0 0 f91"/>
            <a:gd name="f104" fmla="+- 0 0 f92"/>
            <a:gd name="f105" fmla="+- 0 0 f95"/>
            <a:gd name="f106" fmla="+- 0 0 f96"/>
            <a:gd name="f107" fmla="+- 0 0 f97"/>
            <a:gd name="f108" fmla="+- 0 0 f98"/>
            <a:gd name="f109" fmla="*/ f99 1 50000"/>
            <a:gd name="f110" fmla="*/ f100 1 50000"/>
            <a:gd name="f111" fmla="+- 0 0 f101"/>
            <a:gd name="f112" fmla="+- 0 0 f102"/>
            <a:gd name="f113" fmla="+- 0 0 f103"/>
            <a:gd name="f114" fmla="+- 0 0 f104"/>
            <a:gd name="f115" fmla="*/ f105 f82 1"/>
            <a:gd name="f116" fmla="*/ f106 f82 1"/>
            <a:gd name="f117" fmla="*/ f107 f83 1"/>
            <a:gd name="f118" fmla="*/ f108 f83 1"/>
            <a:gd name="f119" fmla="*/ f111 f109 1"/>
            <a:gd name="f120" fmla="*/ f112 f109 1"/>
            <a:gd name="f121" fmla="*/ f113 f110 1"/>
            <a:gd name="f122" fmla="*/ f114 f110 1"/>
            <a:gd name="f123" fmla="+- f94 f110 0"/>
            <a:gd name="f124" fmla="+- f75 0 f115"/>
            <a:gd name="f125" fmla="+- f75 0 f116"/>
            <a:gd name="f126" fmla="+- f75 f116 0"/>
            <a:gd name="f127" fmla="+- f75 f115 0"/>
            <a:gd name="f128" fmla="+- f94 0 f117"/>
            <a:gd name="f129" fmla="+- f94 0 f118"/>
            <a:gd name="f130" fmla="+- f75 0 f119"/>
            <a:gd name="f131" fmla="+- f75 0 f120"/>
            <a:gd name="f132" fmla="+- f75 f120 0"/>
            <a:gd name="f133" fmla="+- f75 f119 0"/>
            <a:gd name="f134" fmla="+- f94 0 f121"/>
            <a:gd name="f135" fmla="+- f94 0 f122"/>
            <a:gd name="f136" fmla="*/ f123 f48 1"/>
            <a:gd name="f137" fmla="*/ f130 f48 1"/>
            <a:gd name="f138" fmla="*/ f134 f48 1"/>
            <a:gd name="f139" fmla="*/ f133 f48 1"/>
            <a:gd name="f140" fmla="*/ f124 f48 1"/>
            <a:gd name="f141" fmla="*/ f128 f48 1"/>
            <a:gd name="f142" fmla="*/ f131 f48 1"/>
            <a:gd name="f143" fmla="*/ f132 f48 1"/>
            <a:gd name="f144" fmla="*/ f127 f48 1"/>
            <a:gd name="f145" fmla="*/ f135 f48 1"/>
            <a:gd name="f146" fmla="*/ f126 f48 1"/>
            <a:gd name="f147" fmla="*/ f129 f48 1"/>
            <a:gd name="f148" fmla="*/ f125 f48 1"/>
          </a:gdLst>
          <a:ahLst/>
          <a:cxnLst>
            <a:cxn ang="3cd4">
              <a:pos x="hc" y="t"/>
            </a:cxn>
            <a:cxn ang="0">
              <a:pos x="r" y="vc"/>
            </a:cxn>
            <a:cxn ang="cd4">
              <a:pos x="hc" y="b"/>
            </a:cxn>
            <a:cxn ang="cd2">
              <a:pos x="l" y="vc"/>
            </a:cxn>
            <a:cxn ang="f45">
              <a:pos x="f140" y="f141"/>
            </a:cxn>
            <a:cxn ang="f46">
              <a:pos x="f148" y="f147"/>
            </a:cxn>
            <a:cxn ang="f46">
              <a:pos x="f146" y="f147"/>
            </a:cxn>
            <a:cxn ang="f47">
              <a:pos x="f144" y="f141"/>
            </a:cxn>
          </a:cxnLst>
          <a:rect l="f137" t="f138" r="f139" b="f136"/>
          <a:pathLst>
            <a:path>
              <a:moveTo>
                <a:pt x="f140" y="f141"/>
              </a:moveTo>
              <a:lnTo>
                <a:pt x="f142" y="f138"/>
              </a:lnTo>
              <a:lnTo>
                <a:pt x="f93" y="f61"/>
              </a:lnTo>
              <a:lnTo>
                <a:pt x="f143" y="f138"/>
              </a:lnTo>
              <a:lnTo>
                <a:pt x="f144" y="f141"/>
              </a:lnTo>
              <a:lnTo>
                <a:pt x="f139" y="f145"/>
              </a:lnTo>
              <a:lnTo>
                <a:pt x="f146" y="f147"/>
              </a:lnTo>
              <a:lnTo>
                <a:pt x="f93" y="f136"/>
              </a:lnTo>
              <a:lnTo>
                <a:pt x="f148" y="f147"/>
              </a:lnTo>
              <a:lnTo>
                <a:pt x="f137" y="f145"/>
              </a:lnTo>
              <a:close/>
            </a:path>
          </a:pathLst>
        </a:custGeom>
        <a:solidFill>
          <a:srgbClr val="FFFF00"/>
        </a:solidFill>
        <a:ln w="9528" cap="flat">
          <a:solidFill>
            <a:srgbClr val="000000"/>
          </a:solidFill>
          <a:prstDash val="solid"/>
          <a:round/>
        </a:ln>
      </xdr:spPr>
      <xdr:txBody>
        <a:bodyPr vert="horz" wrap="square" lIns="18288"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11</xdr:col>
      <xdr:colOff>164524</xdr:colOff>
      <xdr:row>2</xdr:row>
      <xdr:rowOff>33599</xdr:rowOff>
    </xdr:from>
    <xdr:ext cx="568902" cy="375902"/>
    <xdr:pic>
      <xdr:nvPicPr>
        <xdr:cNvPr id="3" name="Picture 3" descr="A red white and blue flag&#10;&#10;Description automatically generated">
          <a:extLst>
            <a:ext uri="{FF2B5EF4-FFF2-40B4-BE49-F238E27FC236}">
              <a16:creationId xmlns:a16="http://schemas.microsoft.com/office/drawing/2014/main" id="{708626B5-DE9F-407D-A84C-7B762D89245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a:xfrm>
          <a:off x="6177974" y="224099"/>
          <a:ext cx="568902" cy="375902"/>
        </a:xfrm>
        <a:prstGeom prst="rect">
          <a:avLst/>
        </a:prstGeom>
        <a:noFill/>
        <a:ln cap="flat">
          <a:noFill/>
        </a:ln>
      </xdr:spPr>
    </xdr:pic>
    <xdr:clientData/>
  </xdr:oneCellAnchor>
  <xdr:oneCellAnchor>
    <xdr:from>
      <xdr:col>8</xdr:col>
      <xdr:colOff>8504</xdr:colOff>
      <xdr:row>418</xdr:row>
      <xdr:rowOff>8505</xdr:rowOff>
    </xdr:from>
    <xdr:ext cx="230136" cy="134279"/>
    <xdr:pic>
      <xdr:nvPicPr>
        <xdr:cNvPr id="114" name="Picture 40" descr="UK2.jpg">
          <a:extLst>
            <a:ext uri="{FF2B5EF4-FFF2-40B4-BE49-F238E27FC236}">
              <a16:creationId xmlns:a16="http://schemas.microsoft.com/office/drawing/2014/main" id="{C4634ABF-C1C8-4C3D-8717-B335B2967347}"/>
            </a:ext>
          </a:extLst>
        </xdr:cNvPr>
        <xdr:cNvPicPr>
          <a:picLocks noChangeAspect="1"/>
        </xdr:cNvPicPr>
      </xdr:nvPicPr>
      <xdr:blipFill>
        <a:blip xmlns:r="http://schemas.openxmlformats.org/officeDocument/2006/relationships" r:embed="rId1"/>
        <a:srcRect/>
        <a:stretch>
          <a:fillRect/>
        </a:stretch>
      </xdr:blipFill>
      <xdr:spPr>
        <a:xfrm>
          <a:off x="5187723" y="25377322"/>
          <a:ext cx="230136" cy="134279"/>
        </a:xfrm>
        <a:prstGeom prst="rect">
          <a:avLst/>
        </a:prstGeom>
        <a:noFill/>
        <a:ln cap="flat">
          <a:noFill/>
        </a:ln>
      </xdr:spPr>
    </xdr:pic>
    <xdr:clientData/>
  </xdr:oneCellAnchor>
  <xdr:oneCellAnchor>
    <xdr:from>
      <xdr:col>24</xdr:col>
      <xdr:colOff>161925</xdr:colOff>
      <xdr:row>24</xdr:row>
      <xdr:rowOff>9524</xdr:rowOff>
    </xdr:from>
    <xdr:ext cx="238125" cy="219075"/>
    <xdr:sp macro="" textlink="">
      <xdr:nvSpPr>
        <xdr:cNvPr id="38" name="Circle: Hollow 223">
          <a:extLst>
            <a:ext uri="{FF2B5EF4-FFF2-40B4-BE49-F238E27FC236}">
              <a16:creationId xmlns:a16="http://schemas.microsoft.com/office/drawing/2014/main" id="{091F0763-6933-456F-A7A6-7979B0F5B740}"/>
            </a:ext>
          </a:extLst>
        </xdr:cNvPr>
        <xdr:cNvSpPr/>
      </xdr:nvSpPr>
      <xdr:spPr>
        <a:xfrm>
          <a:off x="10077450" y="3629024"/>
          <a:ext cx="238125" cy="219075"/>
        </a:xfrm>
        <a:custGeom>
          <a:avLst>
            <a:gd name="f11" fmla="val 25000"/>
          </a:avLst>
          <a:gdLst>
            <a:gd name="f1" fmla="val 21600000"/>
            <a:gd name="f2" fmla="val 10800000"/>
            <a:gd name="f3" fmla="val 5400000"/>
            <a:gd name="f4" fmla="val 180"/>
            <a:gd name="f5" fmla="val w"/>
            <a:gd name="f6" fmla="val h"/>
            <a:gd name="f7" fmla="val ss"/>
            <a:gd name="f8" fmla="val 0"/>
            <a:gd name="f9" fmla="*/ 5419351 1 1725033"/>
            <a:gd name="f10" fmla="+- 0 0 21600000"/>
            <a:gd name="f11" fmla="val 25000"/>
            <a:gd name="f12" fmla="+- 0 0 -360"/>
            <a:gd name="f13" fmla="+- 0 0 -180"/>
            <a:gd name="f14" fmla="abs f5"/>
            <a:gd name="f15" fmla="abs f6"/>
            <a:gd name="f16" fmla="abs f7"/>
            <a:gd name="f17" fmla="val f8"/>
            <a:gd name="f18" fmla="val f11"/>
            <a:gd name="f19" fmla="+- 2700000 f3 0"/>
            <a:gd name="f20" fmla="*/ f12 f2 1"/>
            <a:gd name="f21" fmla="*/ f13 f2 1"/>
            <a:gd name="f22" fmla="?: f14 f5 1"/>
            <a:gd name="f23" fmla="?: f15 f6 1"/>
            <a:gd name="f24" fmla="?: f16 f7 1"/>
            <a:gd name="f25" fmla="*/ f19 f9 1"/>
            <a:gd name="f26" fmla="*/ f20 1 f4"/>
            <a:gd name="f27" fmla="*/ f21 1 f4"/>
            <a:gd name="f28" fmla="*/ f22 1 21600"/>
            <a:gd name="f29" fmla="*/ f23 1 21600"/>
            <a:gd name="f30" fmla="*/ 21600 f22 1"/>
            <a:gd name="f31" fmla="*/ 21600 f23 1"/>
            <a:gd name="f32" fmla="*/ f25 1 f2"/>
            <a:gd name="f33" fmla="+- f26 0 f3"/>
            <a:gd name="f34" fmla="+- f27 0 f3"/>
            <a:gd name="f35" fmla="min f29 f28"/>
            <a:gd name="f36" fmla="*/ f30 1 f24"/>
            <a:gd name="f37" fmla="*/ f31 1 f24"/>
            <a:gd name="f38" fmla="+- 0 0 f32"/>
            <a:gd name="f39" fmla="val f36"/>
            <a:gd name="f40" fmla="val f37"/>
            <a:gd name="f41" fmla="+- 0 0 f38"/>
            <a:gd name="f42" fmla="*/ f17 f35 1"/>
            <a:gd name="f43" fmla="+- f40 0 f17"/>
            <a:gd name="f44" fmla="+- f39 0 f17"/>
            <a:gd name="f45" fmla="*/ f41 f2 1"/>
            <a:gd name="f46" fmla="*/ f43 1 2"/>
            <a:gd name="f47" fmla="*/ f44 1 2"/>
            <a:gd name="f48" fmla="min f44 f43"/>
            <a:gd name="f49" fmla="*/ f45 1 f9"/>
            <a:gd name="f50" fmla="+- f17 f46 0"/>
            <a:gd name="f51" fmla="+- f17 f47 0"/>
            <a:gd name="f52" fmla="*/ f48 f18 1"/>
            <a:gd name="f53" fmla="+- f49 0 f3"/>
            <a:gd name="f54" fmla="*/ f47 f35 1"/>
            <a:gd name="f55" fmla="*/ f46 f35 1"/>
            <a:gd name="f56" fmla="*/ f52 1 100000"/>
            <a:gd name="f57" fmla="cos 1 f53"/>
            <a:gd name="f58" fmla="sin 1 f53"/>
            <a:gd name="f59" fmla="*/ f50 f35 1"/>
            <a:gd name="f60" fmla="+- f47 0 f56"/>
            <a:gd name="f61" fmla="+- f46 0 f56"/>
            <a:gd name="f62" fmla="+- 0 0 f57"/>
            <a:gd name="f63" fmla="+- 0 0 f58"/>
            <a:gd name="f64" fmla="*/ f56 f35 1"/>
            <a:gd name="f65" fmla="+- 0 0 f62"/>
            <a:gd name="f66" fmla="+- 0 0 f63"/>
            <a:gd name="f67" fmla="*/ f60 f35 1"/>
            <a:gd name="f68" fmla="*/ f61 f35 1"/>
            <a:gd name="f69" fmla="*/ f65 f47 1"/>
            <a:gd name="f70" fmla="*/ f66 f46 1"/>
            <a:gd name="f71" fmla="+- f51 0 f69"/>
            <a:gd name="f72" fmla="+- f51 f69 0"/>
            <a:gd name="f73" fmla="+- f50 0 f70"/>
            <a:gd name="f74" fmla="+- f50 f70 0"/>
            <a:gd name="f75" fmla="*/ f71 f35 1"/>
            <a:gd name="f76" fmla="*/ f73 f35 1"/>
            <a:gd name="f77" fmla="*/ f72 f35 1"/>
            <a:gd name="f78" fmla="*/ f74 f35 1"/>
          </a:gdLst>
          <a:ahLst/>
          <a:cxnLst>
            <a:cxn ang="3cd4">
              <a:pos x="hc" y="t"/>
            </a:cxn>
            <a:cxn ang="0">
              <a:pos x="r" y="vc"/>
            </a:cxn>
            <a:cxn ang="cd4">
              <a:pos x="hc" y="b"/>
            </a:cxn>
            <a:cxn ang="cd2">
              <a:pos x="l" y="vc"/>
            </a:cxn>
            <a:cxn ang="f33">
              <a:pos x="f75" y="f76"/>
            </a:cxn>
            <a:cxn ang="f34">
              <a:pos x="f75" y="f78"/>
            </a:cxn>
            <a:cxn ang="f34">
              <a:pos x="f77" y="f78"/>
            </a:cxn>
            <a:cxn ang="f33">
              <a:pos x="f77" y="f76"/>
            </a:cxn>
          </a:cxnLst>
          <a:rect l="f75" t="f76" r="f77" b="f78"/>
          <a:pathLst>
            <a:path>
              <a:moveTo>
                <a:pt x="f42" y="f59"/>
              </a:moveTo>
              <a:arcTo wR="f54" hR="f55" stAng="f2" swAng="f1"/>
              <a:close/>
              <a:moveTo>
                <a:pt x="f64" y="f59"/>
              </a:moveTo>
              <a:arcTo wR="f67" hR="f68" stAng="f2" swAng="f10"/>
              <a:close/>
            </a:path>
          </a:pathLst>
        </a:custGeom>
        <a:solidFill>
          <a:srgbClr val="000000"/>
        </a:solidFill>
        <a:ln w="12701" cap="flat">
          <a:solidFill>
            <a:srgbClr val="2F528F"/>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28</xdr:col>
      <xdr:colOff>142875</xdr:colOff>
      <xdr:row>24</xdr:row>
      <xdr:rowOff>0</xdr:rowOff>
    </xdr:from>
    <xdr:ext cx="238125" cy="219075"/>
    <xdr:sp macro="" textlink="">
      <xdr:nvSpPr>
        <xdr:cNvPr id="39" name="Circle: Hollow 223">
          <a:extLst>
            <a:ext uri="{FF2B5EF4-FFF2-40B4-BE49-F238E27FC236}">
              <a16:creationId xmlns:a16="http://schemas.microsoft.com/office/drawing/2014/main" id="{A7A4EABA-C752-44E1-BBCF-C082EE9B09DD}"/>
            </a:ext>
          </a:extLst>
        </xdr:cNvPr>
        <xdr:cNvSpPr/>
      </xdr:nvSpPr>
      <xdr:spPr>
        <a:xfrm>
          <a:off x="13315950" y="3619500"/>
          <a:ext cx="238125" cy="219075"/>
        </a:xfrm>
        <a:custGeom>
          <a:avLst>
            <a:gd name="f11" fmla="val 25000"/>
          </a:avLst>
          <a:gdLst>
            <a:gd name="f1" fmla="val 21600000"/>
            <a:gd name="f2" fmla="val 10800000"/>
            <a:gd name="f3" fmla="val 5400000"/>
            <a:gd name="f4" fmla="val 180"/>
            <a:gd name="f5" fmla="val w"/>
            <a:gd name="f6" fmla="val h"/>
            <a:gd name="f7" fmla="val ss"/>
            <a:gd name="f8" fmla="val 0"/>
            <a:gd name="f9" fmla="*/ 5419351 1 1725033"/>
            <a:gd name="f10" fmla="+- 0 0 21600000"/>
            <a:gd name="f11" fmla="val 25000"/>
            <a:gd name="f12" fmla="+- 0 0 -360"/>
            <a:gd name="f13" fmla="+- 0 0 -180"/>
            <a:gd name="f14" fmla="abs f5"/>
            <a:gd name="f15" fmla="abs f6"/>
            <a:gd name="f16" fmla="abs f7"/>
            <a:gd name="f17" fmla="val f8"/>
            <a:gd name="f18" fmla="val f11"/>
            <a:gd name="f19" fmla="+- 2700000 f3 0"/>
            <a:gd name="f20" fmla="*/ f12 f2 1"/>
            <a:gd name="f21" fmla="*/ f13 f2 1"/>
            <a:gd name="f22" fmla="?: f14 f5 1"/>
            <a:gd name="f23" fmla="?: f15 f6 1"/>
            <a:gd name="f24" fmla="?: f16 f7 1"/>
            <a:gd name="f25" fmla="*/ f19 f9 1"/>
            <a:gd name="f26" fmla="*/ f20 1 f4"/>
            <a:gd name="f27" fmla="*/ f21 1 f4"/>
            <a:gd name="f28" fmla="*/ f22 1 21600"/>
            <a:gd name="f29" fmla="*/ f23 1 21600"/>
            <a:gd name="f30" fmla="*/ 21600 f22 1"/>
            <a:gd name="f31" fmla="*/ 21600 f23 1"/>
            <a:gd name="f32" fmla="*/ f25 1 f2"/>
            <a:gd name="f33" fmla="+- f26 0 f3"/>
            <a:gd name="f34" fmla="+- f27 0 f3"/>
            <a:gd name="f35" fmla="min f29 f28"/>
            <a:gd name="f36" fmla="*/ f30 1 f24"/>
            <a:gd name="f37" fmla="*/ f31 1 f24"/>
            <a:gd name="f38" fmla="+- 0 0 f32"/>
            <a:gd name="f39" fmla="val f36"/>
            <a:gd name="f40" fmla="val f37"/>
            <a:gd name="f41" fmla="+- 0 0 f38"/>
            <a:gd name="f42" fmla="*/ f17 f35 1"/>
            <a:gd name="f43" fmla="+- f40 0 f17"/>
            <a:gd name="f44" fmla="+- f39 0 f17"/>
            <a:gd name="f45" fmla="*/ f41 f2 1"/>
            <a:gd name="f46" fmla="*/ f43 1 2"/>
            <a:gd name="f47" fmla="*/ f44 1 2"/>
            <a:gd name="f48" fmla="min f44 f43"/>
            <a:gd name="f49" fmla="*/ f45 1 f9"/>
            <a:gd name="f50" fmla="+- f17 f46 0"/>
            <a:gd name="f51" fmla="+- f17 f47 0"/>
            <a:gd name="f52" fmla="*/ f48 f18 1"/>
            <a:gd name="f53" fmla="+- f49 0 f3"/>
            <a:gd name="f54" fmla="*/ f47 f35 1"/>
            <a:gd name="f55" fmla="*/ f46 f35 1"/>
            <a:gd name="f56" fmla="*/ f52 1 100000"/>
            <a:gd name="f57" fmla="cos 1 f53"/>
            <a:gd name="f58" fmla="sin 1 f53"/>
            <a:gd name="f59" fmla="*/ f50 f35 1"/>
            <a:gd name="f60" fmla="+- f47 0 f56"/>
            <a:gd name="f61" fmla="+- f46 0 f56"/>
            <a:gd name="f62" fmla="+- 0 0 f57"/>
            <a:gd name="f63" fmla="+- 0 0 f58"/>
            <a:gd name="f64" fmla="*/ f56 f35 1"/>
            <a:gd name="f65" fmla="+- 0 0 f62"/>
            <a:gd name="f66" fmla="+- 0 0 f63"/>
            <a:gd name="f67" fmla="*/ f60 f35 1"/>
            <a:gd name="f68" fmla="*/ f61 f35 1"/>
            <a:gd name="f69" fmla="*/ f65 f47 1"/>
            <a:gd name="f70" fmla="*/ f66 f46 1"/>
            <a:gd name="f71" fmla="+- f51 0 f69"/>
            <a:gd name="f72" fmla="+- f51 f69 0"/>
            <a:gd name="f73" fmla="+- f50 0 f70"/>
            <a:gd name="f74" fmla="+- f50 f70 0"/>
            <a:gd name="f75" fmla="*/ f71 f35 1"/>
            <a:gd name="f76" fmla="*/ f73 f35 1"/>
            <a:gd name="f77" fmla="*/ f72 f35 1"/>
            <a:gd name="f78" fmla="*/ f74 f35 1"/>
          </a:gdLst>
          <a:ahLst/>
          <a:cxnLst>
            <a:cxn ang="3cd4">
              <a:pos x="hc" y="t"/>
            </a:cxn>
            <a:cxn ang="0">
              <a:pos x="r" y="vc"/>
            </a:cxn>
            <a:cxn ang="cd4">
              <a:pos x="hc" y="b"/>
            </a:cxn>
            <a:cxn ang="cd2">
              <a:pos x="l" y="vc"/>
            </a:cxn>
            <a:cxn ang="f33">
              <a:pos x="f75" y="f76"/>
            </a:cxn>
            <a:cxn ang="f34">
              <a:pos x="f75" y="f78"/>
            </a:cxn>
            <a:cxn ang="f34">
              <a:pos x="f77" y="f78"/>
            </a:cxn>
            <a:cxn ang="f33">
              <a:pos x="f77" y="f76"/>
            </a:cxn>
          </a:cxnLst>
          <a:rect l="f75" t="f76" r="f77" b="f78"/>
          <a:pathLst>
            <a:path>
              <a:moveTo>
                <a:pt x="f42" y="f59"/>
              </a:moveTo>
              <a:arcTo wR="f54" hR="f55" stAng="f2" swAng="f1"/>
              <a:close/>
              <a:moveTo>
                <a:pt x="f64" y="f59"/>
              </a:moveTo>
              <a:arcTo wR="f67" hR="f68" stAng="f2" swAng="f10"/>
              <a:close/>
            </a:path>
          </a:pathLst>
        </a:custGeom>
        <a:solidFill>
          <a:srgbClr val="000000"/>
        </a:solidFill>
        <a:ln w="12701" cap="flat">
          <a:solidFill>
            <a:srgbClr val="2F528F"/>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7</xdr:col>
      <xdr:colOff>269575</xdr:colOff>
      <xdr:row>231</xdr:row>
      <xdr:rowOff>8986</xdr:rowOff>
    </xdr:from>
    <xdr:ext cx="230136" cy="134279"/>
    <xdr:pic>
      <xdr:nvPicPr>
        <xdr:cNvPr id="62" name="Picture 40" descr="UK2.jpg">
          <a:extLst>
            <a:ext uri="{FF2B5EF4-FFF2-40B4-BE49-F238E27FC236}">
              <a16:creationId xmlns:a16="http://schemas.microsoft.com/office/drawing/2014/main" id="{0C23ECFD-DCF9-4DEF-868B-4E985F9BF6E7}"/>
            </a:ext>
          </a:extLst>
        </xdr:cNvPr>
        <xdr:cNvPicPr>
          <a:picLocks noChangeAspect="1"/>
        </xdr:cNvPicPr>
      </xdr:nvPicPr>
      <xdr:blipFill>
        <a:blip xmlns:r="http://schemas.openxmlformats.org/officeDocument/2006/relationships" r:embed="rId1"/>
        <a:srcRect/>
        <a:stretch>
          <a:fillRect/>
        </a:stretch>
      </xdr:blipFill>
      <xdr:spPr>
        <a:xfrm>
          <a:off x="5328608" y="15123184"/>
          <a:ext cx="230136" cy="134279"/>
        </a:xfrm>
        <a:prstGeom prst="rect">
          <a:avLst/>
        </a:prstGeom>
        <a:noFill/>
        <a:ln cap="flat">
          <a:noFill/>
        </a:ln>
      </xdr:spPr>
    </xdr:pic>
    <xdr:clientData/>
  </xdr:oneCellAnchor>
  <xdr:oneCellAnchor>
    <xdr:from>
      <xdr:col>8</xdr:col>
      <xdr:colOff>0</xdr:colOff>
      <xdr:row>117</xdr:row>
      <xdr:rowOff>25594</xdr:rowOff>
    </xdr:from>
    <xdr:ext cx="230136" cy="134279"/>
    <xdr:pic>
      <xdr:nvPicPr>
        <xdr:cNvPr id="60" name="Picture 40" descr="UK2.jpg">
          <a:extLst>
            <a:ext uri="{FF2B5EF4-FFF2-40B4-BE49-F238E27FC236}">
              <a16:creationId xmlns:a16="http://schemas.microsoft.com/office/drawing/2014/main" id="{831445BD-A307-4AD2-84D8-6198075F813E}"/>
            </a:ext>
          </a:extLst>
        </xdr:cNvPr>
        <xdr:cNvPicPr>
          <a:picLocks noChangeAspect="1"/>
        </xdr:cNvPicPr>
      </xdr:nvPicPr>
      <xdr:blipFill>
        <a:blip xmlns:r="http://schemas.openxmlformats.org/officeDocument/2006/relationships" r:embed="rId1"/>
        <a:srcRect/>
        <a:stretch>
          <a:fillRect/>
        </a:stretch>
      </xdr:blipFill>
      <xdr:spPr>
        <a:xfrm>
          <a:off x="5520612" y="6625058"/>
          <a:ext cx="230136" cy="134279"/>
        </a:xfrm>
        <a:prstGeom prst="rect">
          <a:avLst/>
        </a:prstGeom>
        <a:noFill/>
        <a:ln cap="flat">
          <a:noFill/>
        </a:ln>
      </xdr:spPr>
    </xdr:pic>
    <xdr:clientData/>
  </xdr:oneCellAnchor>
  <xdr:oneCellAnchor>
    <xdr:from>
      <xdr:col>7</xdr:col>
      <xdr:colOff>269574</xdr:colOff>
      <xdr:row>159</xdr:row>
      <xdr:rowOff>17972</xdr:rowOff>
    </xdr:from>
    <xdr:ext cx="230136" cy="134279"/>
    <xdr:pic>
      <xdr:nvPicPr>
        <xdr:cNvPr id="25" name="Picture 40" descr="UK2.jpg">
          <a:extLst>
            <a:ext uri="{FF2B5EF4-FFF2-40B4-BE49-F238E27FC236}">
              <a16:creationId xmlns:a16="http://schemas.microsoft.com/office/drawing/2014/main" id="{BDDD408F-E623-4312-B5DC-33CF212EABE0}"/>
            </a:ext>
          </a:extLst>
        </xdr:cNvPr>
        <xdr:cNvPicPr>
          <a:picLocks noChangeAspect="1"/>
        </xdr:cNvPicPr>
      </xdr:nvPicPr>
      <xdr:blipFill>
        <a:blip xmlns:r="http://schemas.openxmlformats.org/officeDocument/2006/relationships" r:embed="rId1"/>
        <a:srcRect/>
        <a:stretch>
          <a:fillRect/>
        </a:stretch>
      </xdr:blipFill>
      <xdr:spPr>
        <a:xfrm>
          <a:off x="5328607" y="13164269"/>
          <a:ext cx="230136" cy="134279"/>
        </a:xfrm>
        <a:prstGeom prst="rect">
          <a:avLst/>
        </a:prstGeom>
        <a:noFill/>
        <a:ln cap="flat">
          <a:noFill/>
        </a:ln>
      </xdr:spPr>
    </xdr:pic>
    <xdr:clientData/>
  </xdr:oneCellAnchor>
  <xdr:oneCellAnchor>
    <xdr:from>
      <xdr:col>8</xdr:col>
      <xdr:colOff>0</xdr:colOff>
      <xdr:row>232</xdr:row>
      <xdr:rowOff>0</xdr:rowOff>
    </xdr:from>
    <xdr:ext cx="230136" cy="134279"/>
    <xdr:pic>
      <xdr:nvPicPr>
        <xdr:cNvPr id="43" name="Picture 40" descr="UK2.jpg">
          <a:extLst>
            <a:ext uri="{FF2B5EF4-FFF2-40B4-BE49-F238E27FC236}">
              <a16:creationId xmlns:a16="http://schemas.microsoft.com/office/drawing/2014/main" id="{58B07643-54B5-4558-B6C8-B4D244915C55}"/>
            </a:ext>
          </a:extLst>
        </xdr:cNvPr>
        <xdr:cNvPicPr>
          <a:picLocks noChangeAspect="1"/>
        </xdr:cNvPicPr>
      </xdr:nvPicPr>
      <xdr:blipFill>
        <a:blip xmlns:r="http://schemas.openxmlformats.org/officeDocument/2006/relationships" r:embed="rId1"/>
        <a:srcRect/>
        <a:stretch>
          <a:fillRect/>
        </a:stretch>
      </xdr:blipFill>
      <xdr:spPr>
        <a:xfrm>
          <a:off x="5448300" y="13735050"/>
          <a:ext cx="230136" cy="134279"/>
        </a:xfrm>
        <a:prstGeom prst="rect">
          <a:avLst/>
        </a:prstGeom>
        <a:noFill/>
        <a:ln cap="flat">
          <a:noFill/>
        </a:ln>
      </xdr:spPr>
    </xdr:pic>
    <xdr:clientData/>
  </xdr:oneCellAnchor>
  <xdr:oneCellAnchor>
    <xdr:from>
      <xdr:col>8</xdr:col>
      <xdr:colOff>866</xdr:colOff>
      <xdr:row>232</xdr:row>
      <xdr:rowOff>17462</xdr:rowOff>
    </xdr:from>
    <xdr:ext cx="230136" cy="134279"/>
    <xdr:pic>
      <xdr:nvPicPr>
        <xdr:cNvPr id="56" name="Picture 40" descr="UK2.jpg">
          <a:extLst>
            <a:ext uri="{FF2B5EF4-FFF2-40B4-BE49-F238E27FC236}">
              <a16:creationId xmlns:a16="http://schemas.microsoft.com/office/drawing/2014/main" id="{E084299E-A800-4F9F-AD74-C744966567A4}"/>
            </a:ext>
          </a:extLst>
        </xdr:cNvPr>
        <xdr:cNvPicPr>
          <a:picLocks noChangeAspect="1"/>
        </xdr:cNvPicPr>
      </xdr:nvPicPr>
      <xdr:blipFill>
        <a:blip xmlns:r="http://schemas.openxmlformats.org/officeDocument/2006/relationships" r:embed="rId1"/>
        <a:srcRect/>
        <a:stretch>
          <a:fillRect/>
        </a:stretch>
      </xdr:blipFill>
      <xdr:spPr>
        <a:xfrm>
          <a:off x="5449166" y="13735050"/>
          <a:ext cx="230136" cy="134279"/>
        </a:xfrm>
        <a:prstGeom prst="rect">
          <a:avLst/>
        </a:prstGeom>
        <a:noFill/>
        <a:ln cap="flat">
          <a:noFill/>
        </a:ln>
      </xdr:spPr>
    </xdr:pic>
    <xdr:clientData/>
  </xdr:oneCellAnchor>
  <xdr:oneCellAnchor>
    <xdr:from>
      <xdr:col>8</xdr:col>
      <xdr:colOff>0</xdr:colOff>
      <xdr:row>257</xdr:row>
      <xdr:rowOff>0</xdr:rowOff>
    </xdr:from>
    <xdr:ext cx="230136" cy="134279"/>
    <xdr:pic>
      <xdr:nvPicPr>
        <xdr:cNvPr id="21" name="Picture 40" descr="UK2.jpg">
          <a:extLst>
            <a:ext uri="{FF2B5EF4-FFF2-40B4-BE49-F238E27FC236}">
              <a16:creationId xmlns:a16="http://schemas.microsoft.com/office/drawing/2014/main" id="{A47ED9BF-9105-4402-813D-EDDF311A606F}"/>
            </a:ext>
          </a:extLst>
        </xdr:cNvPr>
        <xdr:cNvPicPr>
          <a:picLocks noChangeAspect="1"/>
        </xdr:cNvPicPr>
      </xdr:nvPicPr>
      <xdr:blipFill>
        <a:blip xmlns:r="http://schemas.openxmlformats.org/officeDocument/2006/relationships" r:embed="rId1"/>
        <a:srcRect/>
        <a:stretch>
          <a:fillRect/>
        </a:stretch>
      </xdr:blipFill>
      <xdr:spPr>
        <a:xfrm>
          <a:off x="5436439" y="19571179"/>
          <a:ext cx="230136" cy="134279"/>
        </a:xfrm>
        <a:prstGeom prst="rect">
          <a:avLst/>
        </a:prstGeom>
        <a:noFill/>
        <a:ln cap="flat">
          <a:noFill/>
        </a:ln>
      </xdr:spPr>
    </xdr:pic>
    <xdr:clientData/>
  </xdr:oneCellAnchor>
  <xdr:oneCellAnchor>
    <xdr:from>
      <xdr:col>7</xdr:col>
      <xdr:colOff>269575</xdr:colOff>
      <xdr:row>98</xdr:row>
      <xdr:rowOff>17972</xdr:rowOff>
    </xdr:from>
    <xdr:ext cx="230136" cy="134279"/>
    <xdr:pic>
      <xdr:nvPicPr>
        <xdr:cNvPr id="98" name="Picture 40" descr="UK2.jpg">
          <a:extLst>
            <a:ext uri="{FF2B5EF4-FFF2-40B4-BE49-F238E27FC236}">
              <a16:creationId xmlns:a16="http://schemas.microsoft.com/office/drawing/2014/main" id="{FB029E3B-7386-49C9-9997-2A42BEF544DA}"/>
            </a:ext>
          </a:extLst>
        </xdr:cNvPr>
        <xdr:cNvPicPr>
          <a:picLocks noChangeAspect="1"/>
        </xdr:cNvPicPr>
      </xdr:nvPicPr>
      <xdr:blipFill>
        <a:blip xmlns:r="http://schemas.openxmlformats.org/officeDocument/2006/relationships" r:embed="rId1"/>
        <a:srcRect/>
        <a:stretch>
          <a:fillRect/>
        </a:stretch>
      </xdr:blipFill>
      <xdr:spPr>
        <a:xfrm>
          <a:off x="5328608" y="11798420"/>
          <a:ext cx="230136" cy="134279"/>
        </a:xfrm>
        <a:prstGeom prst="rect">
          <a:avLst/>
        </a:prstGeom>
        <a:noFill/>
        <a:ln cap="flat">
          <a:noFill/>
        </a:ln>
      </xdr:spPr>
    </xdr:pic>
    <xdr:clientData/>
  </xdr:oneCellAnchor>
  <xdr:oneCellAnchor>
    <xdr:from>
      <xdr:col>7</xdr:col>
      <xdr:colOff>269575</xdr:colOff>
      <xdr:row>166</xdr:row>
      <xdr:rowOff>17972</xdr:rowOff>
    </xdr:from>
    <xdr:ext cx="230136" cy="134279"/>
    <xdr:pic>
      <xdr:nvPicPr>
        <xdr:cNvPr id="72" name="Picture 40" descr="UK2.jpg">
          <a:extLst>
            <a:ext uri="{FF2B5EF4-FFF2-40B4-BE49-F238E27FC236}">
              <a16:creationId xmlns:a16="http://schemas.microsoft.com/office/drawing/2014/main" id="{62FD42A8-7D6D-4886-90A7-78BA84CCA688}"/>
            </a:ext>
          </a:extLst>
        </xdr:cNvPr>
        <xdr:cNvPicPr>
          <a:picLocks noChangeAspect="1"/>
        </xdr:cNvPicPr>
      </xdr:nvPicPr>
      <xdr:blipFill>
        <a:blip xmlns:r="http://schemas.openxmlformats.org/officeDocument/2006/relationships" r:embed="rId1"/>
        <a:srcRect/>
        <a:stretch>
          <a:fillRect/>
        </a:stretch>
      </xdr:blipFill>
      <xdr:spPr>
        <a:xfrm>
          <a:off x="5328608" y="13335000"/>
          <a:ext cx="230136" cy="134279"/>
        </a:xfrm>
        <a:prstGeom prst="rect">
          <a:avLst/>
        </a:prstGeom>
        <a:noFill/>
        <a:ln cap="flat">
          <a:noFill/>
        </a:ln>
      </xdr:spPr>
    </xdr:pic>
    <xdr:clientData/>
  </xdr:oneCellAnchor>
  <xdr:oneCellAnchor>
    <xdr:from>
      <xdr:col>7</xdr:col>
      <xdr:colOff>260590</xdr:colOff>
      <xdr:row>467</xdr:row>
      <xdr:rowOff>8986</xdr:rowOff>
    </xdr:from>
    <xdr:ext cx="230136" cy="134279"/>
    <xdr:pic>
      <xdr:nvPicPr>
        <xdr:cNvPr id="30" name="Picture 40" descr="UK2.jpg">
          <a:extLst>
            <a:ext uri="{FF2B5EF4-FFF2-40B4-BE49-F238E27FC236}">
              <a16:creationId xmlns:a16="http://schemas.microsoft.com/office/drawing/2014/main" id="{4E09F3A3-F9EE-4F19-B71A-5DD9D03E6EE2}"/>
            </a:ext>
          </a:extLst>
        </xdr:cNvPr>
        <xdr:cNvPicPr>
          <a:picLocks noChangeAspect="1"/>
        </xdr:cNvPicPr>
      </xdr:nvPicPr>
      <xdr:blipFill>
        <a:blip xmlns:r="http://schemas.openxmlformats.org/officeDocument/2006/relationships" r:embed="rId1"/>
        <a:srcRect/>
        <a:stretch>
          <a:fillRect/>
        </a:stretch>
      </xdr:blipFill>
      <xdr:spPr>
        <a:xfrm>
          <a:off x="5319623" y="19463349"/>
          <a:ext cx="230136" cy="134279"/>
        </a:xfrm>
        <a:prstGeom prst="rect">
          <a:avLst/>
        </a:prstGeom>
        <a:noFill/>
        <a:ln cap="flat">
          <a:noFill/>
        </a:ln>
      </xdr:spPr>
    </xdr:pic>
    <xdr:clientData/>
  </xdr:oneCellAnchor>
  <xdr:oneCellAnchor>
    <xdr:from>
      <xdr:col>8</xdr:col>
      <xdr:colOff>0</xdr:colOff>
      <xdr:row>373</xdr:row>
      <xdr:rowOff>0</xdr:rowOff>
    </xdr:from>
    <xdr:ext cx="230136" cy="134279"/>
    <xdr:pic>
      <xdr:nvPicPr>
        <xdr:cNvPr id="121" name="Picture 40" descr="UK2.jpg">
          <a:extLst>
            <a:ext uri="{FF2B5EF4-FFF2-40B4-BE49-F238E27FC236}">
              <a16:creationId xmlns:a16="http://schemas.microsoft.com/office/drawing/2014/main" id="{F4A9050A-4D47-42F2-8780-BFF89619BC80}"/>
            </a:ext>
          </a:extLst>
        </xdr:cNvPr>
        <xdr:cNvPicPr>
          <a:picLocks noChangeAspect="1"/>
        </xdr:cNvPicPr>
      </xdr:nvPicPr>
      <xdr:blipFill>
        <a:blip xmlns:r="http://schemas.openxmlformats.org/officeDocument/2006/relationships" r:embed="rId1"/>
        <a:srcRect/>
        <a:stretch>
          <a:fillRect/>
        </a:stretch>
      </xdr:blipFill>
      <xdr:spPr>
        <a:xfrm>
          <a:off x="5335332" y="18323969"/>
          <a:ext cx="230136" cy="134279"/>
        </a:xfrm>
        <a:prstGeom prst="rect">
          <a:avLst/>
        </a:prstGeom>
        <a:noFill/>
        <a:ln cap="flat">
          <a:noFill/>
        </a:ln>
      </xdr:spPr>
    </xdr:pic>
    <xdr:clientData/>
  </xdr:oneCellAnchor>
  <xdr:oneCellAnchor>
    <xdr:from>
      <xdr:col>7</xdr:col>
      <xdr:colOff>269575</xdr:colOff>
      <xdr:row>373</xdr:row>
      <xdr:rowOff>8986</xdr:rowOff>
    </xdr:from>
    <xdr:ext cx="230136" cy="134279"/>
    <xdr:pic>
      <xdr:nvPicPr>
        <xdr:cNvPr id="122" name="Picture 40" descr="UK2.jpg">
          <a:extLst>
            <a:ext uri="{FF2B5EF4-FFF2-40B4-BE49-F238E27FC236}">
              <a16:creationId xmlns:a16="http://schemas.microsoft.com/office/drawing/2014/main" id="{569E34F2-37D7-480F-B64B-9BE10E6EB466}"/>
            </a:ext>
          </a:extLst>
        </xdr:cNvPr>
        <xdr:cNvPicPr>
          <a:picLocks noChangeAspect="1"/>
        </xdr:cNvPicPr>
      </xdr:nvPicPr>
      <xdr:blipFill>
        <a:blip xmlns:r="http://schemas.openxmlformats.org/officeDocument/2006/relationships" r:embed="rId1"/>
        <a:srcRect/>
        <a:stretch>
          <a:fillRect/>
        </a:stretch>
      </xdr:blipFill>
      <xdr:spPr>
        <a:xfrm>
          <a:off x="5328608" y="18115472"/>
          <a:ext cx="230136" cy="134279"/>
        </a:xfrm>
        <a:prstGeom prst="rect">
          <a:avLst/>
        </a:prstGeom>
        <a:noFill/>
        <a:ln cap="flat">
          <a:noFill/>
        </a:ln>
      </xdr:spPr>
    </xdr:pic>
    <xdr:clientData/>
  </xdr:oneCellAnchor>
  <xdr:oneCellAnchor>
    <xdr:from>
      <xdr:col>7</xdr:col>
      <xdr:colOff>269575</xdr:colOff>
      <xdr:row>545</xdr:row>
      <xdr:rowOff>8986</xdr:rowOff>
    </xdr:from>
    <xdr:ext cx="230136" cy="155863"/>
    <xdr:pic>
      <xdr:nvPicPr>
        <xdr:cNvPr id="112" name="Picture 40" descr="UK2.jpg">
          <a:extLst>
            <a:ext uri="{FF2B5EF4-FFF2-40B4-BE49-F238E27FC236}">
              <a16:creationId xmlns:a16="http://schemas.microsoft.com/office/drawing/2014/main" id="{8CE5FAD9-9A2C-4837-8092-F28308349E36}"/>
            </a:ext>
          </a:extLst>
        </xdr:cNvPr>
        <xdr:cNvPicPr>
          <a:picLocks noChangeAspect="1"/>
        </xdr:cNvPicPr>
      </xdr:nvPicPr>
      <xdr:blipFill>
        <a:blip xmlns:r="http://schemas.openxmlformats.org/officeDocument/2006/relationships" r:embed="rId1"/>
        <a:srcRect/>
        <a:stretch>
          <a:fillRect/>
        </a:stretch>
      </xdr:blipFill>
      <xdr:spPr>
        <a:xfrm flipV="1">
          <a:off x="5328608" y="21691840"/>
          <a:ext cx="230136" cy="155863"/>
        </a:xfrm>
        <a:prstGeom prst="rect">
          <a:avLst/>
        </a:prstGeom>
        <a:noFill/>
        <a:ln cap="flat">
          <a:noFill/>
        </a:ln>
      </xdr:spPr>
    </xdr:pic>
    <xdr:clientData/>
  </xdr:oneCellAnchor>
  <xdr:oneCellAnchor>
    <xdr:from>
      <xdr:col>8</xdr:col>
      <xdr:colOff>2875</xdr:colOff>
      <xdr:row>505</xdr:row>
      <xdr:rowOff>19050</xdr:rowOff>
    </xdr:from>
    <xdr:ext cx="228600" cy="133350"/>
    <xdr:pic>
      <xdr:nvPicPr>
        <xdr:cNvPr id="93" name="Picture 40" descr="UK2.jpg">
          <a:extLst>
            <a:ext uri="{FF2B5EF4-FFF2-40B4-BE49-F238E27FC236}">
              <a16:creationId xmlns:a16="http://schemas.microsoft.com/office/drawing/2014/main" id="{8890C175-6FC6-4617-97F3-DBC91C432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6875" y="70570725"/>
          <a:ext cx="228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269575</xdr:colOff>
      <xdr:row>808</xdr:row>
      <xdr:rowOff>17969</xdr:rowOff>
    </xdr:from>
    <xdr:ext cx="228600" cy="133350"/>
    <xdr:pic>
      <xdr:nvPicPr>
        <xdr:cNvPr id="104" name="Picture 40" descr="UK2.jpg">
          <a:extLst>
            <a:ext uri="{FF2B5EF4-FFF2-40B4-BE49-F238E27FC236}">
              <a16:creationId xmlns:a16="http://schemas.microsoft.com/office/drawing/2014/main" id="{408C60B9-35BA-4D26-B643-BCFC62651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8608" y="19822780"/>
          <a:ext cx="228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269575</xdr:colOff>
      <xdr:row>382</xdr:row>
      <xdr:rowOff>0</xdr:rowOff>
    </xdr:from>
    <xdr:ext cx="230136" cy="134279"/>
    <xdr:pic>
      <xdr:nvPicPr>
        <xdr:cNvPr id="19" name="Picture 40" descr="UK2.jpg">
          <a:extLst>
            <a:ext uri="{FF2B5EF4-FFF2-40B4-BE49-F238E27FC236}">
              <a16:creationId xmlns:a16="http://schemas.microsoft.com/office/drawing/2014/main" id="{43803FD3-DF6B-421E-933A-BDE6829820A2}"/>
            </a:ext>
          </a:extLst>
        </xdr:cNvPr>
        <xdr:cNvPicPr>
          <a:picLocks noChangeAspect="1"/>
        </xdr:cNvPicPr>
      </xdr:nvPicPr>
      <xdr:blipFill>
        <a:blip xmlns:r="http://schemas.openxmlformats.org/officeDocument/2006/relationships" r:embed="rId1"/>
        <a:srcRect/>
        <a:stretch>
          <a:fillRect/>
        </a:stretch>
      </xdr:blipFill>
      <xdr:spPr>
        <a:xfrm>
          <a:off x="5328608" y="13388915"/>
          <a:ext cx="230136" cy="134279"/>
        </a:xfrm>
        <a:prstGeom prst="rect">
          <a:avLst/>
        </a:prstGeom>
        <a:noFill/>
        <a:ln cap="flat">
          <a:noFill/>
        </a:ln>
      </xdr:spPr>
    </xdr:pic>
    <xdr:clientData/>
  </xdr:oneCellAnchor>
  <xdr:oneCellAnchor>
    <xdr:from>
      <xdr:col>7</xdr:col>
      <xdr:colOff>269575</xdr:colOff>
      <xdr:row>430</xdr:row>
      <xdr:rowOff>17972</xdr:rowOff>
    </xdr:from>
    <xdr:ext cx="230136" cy="134279"/>
    <xdr:pic>
      <xdr:nvPicPr>
        <xdr:cNvPr id="24" name="Picture 40" descr="UK2.jpg">
          <a:extLst>
            <a:ext uri="{FF2B5EF4-FFF2-40B4-BE49-F238E27FC236}">
              <a16:creationId xmlns:a16="http://schemas.microsoft.com/office/drawing/2014/main" id="{5933CEC8-BD70-4970-8C3A-AE5ABD479706}"/>
            </a:ext>
          </a:extLst>
        </xdr:cNvPr>
        <xdr:cNvPicPr>
          <a:picLocks noChangeAspect="1"/>
        </xdr:cNvPicPr>
      </xdr:nvPicPr>
      <xdr:blipFill>
        <a:blip xmlns:r="http://schemas.openxmlformats.org/officeDocument/2006/relationships" r:embed="rId1"/>
        <a:srcRect/>
        <a:stretch>
          <a:fillRect/>
        </a:stretch>
      </xdr:blipFill>
      <xdr:spPr>
        <a:xfrm>
          <a:off x="5328608" y="18798397"/>
          <a:ext cx="230136" cy="134279"/>
        </a:xfrm>
        <a:prstGeom prst="rect">
          <a:avLst/>
        </a:prstGeom>
        <a:noFill/>
        <a:ln cap="flat">
          <a:noFill/>
        </a:ln>
      </xdr:spPr>
    </xdr:pic>
    <xdr:clientData/>
  </xdr:oneCellAnchor>
  <xdr:oneCellAnchor>
    <xdr:from>
      <xdr:col>8</xdr:col>
      <xdr:colOff>2082</xdr:colOff>
      <xdr:row>150</xdr:row>
      <xdr:rowOff>9922</xdr:rowOff>
    </xdr:from>
    <xdr:ext cx="230136" cy="134279"/>
    <xdr:pic>
      <xdr:nvPicPr>
        <xdr:cNvPr id="26" name="Picture 40" descr="UK2.jpg">
          <a:extLst>
            <a:ext uri="{FF2B5EF4-FFF2-40B4-BE49-F238E27FC236}">
              <a16:creationId xmlns:a16="http://schemas.microsoft.com/office/drawing/2014/main" id="{8B607EEB-2900-4C84-A931-CF03563540E1}"/>
            </a:ext>
          </a:extLst>
        </xdr:cNvPr>
        <xdr:cNvPicPr>
          <a:picLocks noChangeAspect="1"/>
        </xdr:cNvPicPr>
      </xdr:nvPicPr>
      <xdr:blipFill>
        <a:blip xmlns:r="http://schemas.openxmlformats.org/officeDocument/2006/relationships" r:embed="rId1"/>
        <a:srcRect/>
        <a:stretch>
          <a:fillRect/>
        </a:stretch>
      </xdr:blipFill>
      <xdr:spPr>
        <a:xfrm>
          <a:off x="5300363" y="8413750"/>
          <a:ext cx="230136" cy="134279"/>
        </a:xfrm>
        <a:prstGeom prst="rect">
          <a:avLst/>
        </a:prstGeom>
        <a:noFill/>
        <a:ln cap="flat">
          <a:noFill/>
        </a:ln>
      </xdr:spPr>
    </xdr:pic>
    <xdr:clientData/>
  </xdr:oneCellAnchor>
  <xdr:oneCellAnchor>
    <xdr:from>
      <xdr:col>8</xdr:col>
      <xdr:colOff>0</xdr:colOff>
      <xdr:row>624</xdr:row>
      <xdr:rowOff>0</xdr:rowOff>
    </xdr:from>
    <xdr:ext cx="230136" cy="155863"/>
    <xdr:pic>
      <xdr:nvPicPr>
        <xdr:cNvPr id="17" name="Picture 40" descr="UK2.jpg">
          <a:extLst>
            <a:ext uri="{FF2B5EF4-FFF2-40B4-BE49-F238E27FC236}">
              <a16:creationId xmlns:a16="http://schemas.microsoft.com/office/drawing/2014/main" id="{BD180E80-DAAD-4CD2-A359-B3F37D672F74}"/>
            </a:ext>
          </a:extLst>
        </xdr:cNvPr>
        <xdr:cNvPicPr>
          <a:picLocks noChangeAspect="1"/>
        </xdr:cNvPicPr>
      </xdr:nvPicPr>
      <xdr:blipFill>
        <a:blip xmlns:r="http://schemas.openxmlformats.org/officeDocument/2006/relationships" r:embed="rId1"/>
        <a:srcRect/>
        <a:stretch>
          <a:fillRect/>
        </a:stretch>
      </xdr:blipFill>
      <xdr:spPr>
        <a:xfrm flipV="1">
          <a:off x="5334000" y="26955750"/>
          <a:ext cx="230136" cy="155863"/>
        </a:xfrm>
        <a:prstGeom prst="rect">
          <a:avLst/>
        </a:prstGeom>
        <a:noFill/>
        <a:ln cap="flat">
          <a:noFill/>
        </a:ln>
      </xdr:spPr>
    </xdr:pic>
    <xdr:clientData/>
  </xdr:oneCellAnchor>
  <xdr:oneCellAnchor>
    <xdr:from>
      <xdr:col>8</xdr:col>
      <xdr:colOff>0</xdr:colOff>
      <xdr:row>61</xdr:row>
      <xdr:rowOff>9525</xdr:rowOff>
    </xdr:from>
    <xdr:ext cx="230136" cy="134279"/>
    <xdr:pic>
      <xdr:nvPicPr>
        <xdr:cNvPr id="18" name="Picture 40" descr="UK2.jpg">
          <a:extLst>
            <a:ext uri="{FF2B5EF4-FFF2-40B4-BE49-F238E27FC236}">
              <a16:creationId xmlns:a16="http://schemas.microsoft.com/office/drawing/2014/main" id="{FED21CBF-A3AB-44B3-93B9-33F58F3A4E05}"/>
            </a:ext>
          </a:extLst>
        </xdr:cNvPr>
        <xdr:cNvPicPr>
          <a:picLocks noChangeAspect="1"/>
        </xdr:cNvPicPr>
      </xdr:nvPicPr>
      <xdr:blipFill>
        <a:blip xmlns:r="http://schemas.openxmlformats.org/officeDocument/2006/relationships" r:embed="rId1"/>
        <a:srcRect/>
        <a:stretch>
          <a:fillRect/>
        </a:stretch>
      </xdr:blipFill>
      <xdr:spPr>
        <a:xfrm>
          <a:off x="5334000" y="11677650"/>
          <a:ext cx="230136" cy="134279"/>
        </a:xfrm>
        <a:prstGeom prst="rect">
          <a:avLst/>
        </a:prstGeom>
        <a:noFill/>
        <a:ln cap="flat">
          <a:noFill/>
        </a:ln>
      </xdr:spPr>
    </xdr:pic>
    <xdr:clientData/>
  </xdr:oneCellAnchor>
  <xdr:oneCellAnchor>
    <xdr:from>
      <xdr:col>8</xdr:col>
      <xdr:colOff>0</xdr:colOff>
      <xdr:row>80</xdr:row>
      <xdr:rowOff>9525</xdr:rowOff>
    </xdr:from>
    <xdr:ext cx="230136" cy="134279"/>
    <xdr:pic>
      <xdr:nvPicPr>
        <xdr:cNvPr id="20" name="Picture 40" descr="UK2.jpg">
          <a:extLst>
            <a:ext uri="{FF2B5EF4-FFF2-40B4-BE49-F238E27FC236}">
              <a16:creationId xmlns:a16="http://schemas.microsoft.com/office/drawing/2014/main" id="{C93F53AF-2469-42AD-B980-07941930856C}"/>
            </a:ext>
          </a:extLst>
        </xdr:cNvPr>
        <xdr:cNvPicPr>
          <a:picLocks noChangeAspect="1"/>
        </xdr:cNvPicPr>
      </xdr:nvPicPr>
      <xdr:blipFill>
        <a:blip xmlns:r="http://schemas.openxmlformats.org/officeDocument/2006/relationships" r:embed="rId1"/>
        <a:srcRect/>
        <a:stretch>
          <a:fillRect/>
        </a:stretch>
      </xdr:blipFill>
      <xdr:spPr>
        <a:xfrm>
          <a:off x="5334000" y="11849100"/>
          <a:ext cx="230136" cy="134279"/>
        </a:xfrm>
        <a:prstGeom prst="rect">
          <a:avLst/>
        </a:prstGeom>
        <a:noFill/>
        <a:ln cap="flat">
          <a:noFill/>
        </a:ln>
      </xdr:spPr>
    </xdr:pic>
    <xdr:clientData/>
  </xdr:oneCellAnchor>
  <xdr:oneCellAnchor>
    <xdr:from>
      <xdr:col>8</xdr:col>
      <xdr:colOff>0</xdr:colOff>
      <xdr:row>631</xdr:row>
      <xdr:rowOff>0</xdr:rowOff>
    </xdr:from>
    <xdr:ext cx="230136" cy="155863"/>
    <xdr:pic>
      <xdr:nvPicPr>
        <xdr:cNvPr id="14" name="Picture 40" descr="UK2.jpg">
          <a:extLst>
            <a:ext uri="{FF2B5EF4-FFF2-40B4-BE49-F238E27FC236}">
              <a16:creationId xmlns:a16="http://schemas.microsoft.com/office/drawing/2014/main" id="{97506E77-D938-4B6C-81E9-7CEB7CFD777A}"/>
            </a:ext>
          </a:extLst>
        </xdr:cNvPr>
        <xdr:cNvPicPr>
          <a:picLocks noChangeAspect="1"/>
        </xdr:cNvPicPr>
      </xdr:nvPicPr>
      <xdr:blipFill>
        <a:blip xmlns:r="http://schemas.openxmlformats.org/officeDocument/2006/relationships" r:embed="rId1"/>
        <a:srcRect/>
        <a:stretch>
          <a:fillRect/>
        </a:stretch>
      </xdr:blipFill>
      <xdr:spPr>
        <a:xfrm flipV="1">
          <a:off x="5287119" y="22714893"/>
          <a:ext cx="230136" cy="155863"/>
        </a:xfrm>
        <a:prstGeom prst="rect">
          <a:avLst/>
        </a:prstGeom>
        <a:noFill/>
        <a:ln cap="flat">
          <a:noFill/>
        </a:ln>
      </xdr:spPr>
    </xdr:pic>
    <xdr:clientData/>
  </xdr:oneCellAnchor>
  <xdr:oneCellAnchor>
    <xdr:from>
      <xdr:col>8</xdr:col>
      <xdr:colOff>0</xdr:colOff>
      <xdr:row>97</xdr:row>
      <xdr:rowOff>15875</xdr:rowOff>
    </xdr:from>
    <xdr:ext cx="230136" cy="134279"/>
    <xdr:pic>
      <xdr:nvPicPr>
        <xdr:cNvPr id="22" name="Picture 40" descr="UK2.jpg">
          <a:extLst>
            <a:ext uri="{FF2B5EF4-FFF2-40B4-BE49-F238E27FC236}">
              <a16:creationId xmlns:a16="http://schemas.microsoft.com/office/drawing/2014/main" id="{BC18A20A-9CC1-4F00-9413-8D3A1E55D05D}"/>
            </a:ext>
          </a:extLst>
        </xdr:cNvPr>
        <xdr:cNvPicPr>
          <a:picLocks noChangeAspect="1"/>
        </xdr:cNvPicPr>
      </xdr:nvPicPr>
      <xdr:blipFill>
        <a:blip xmlns:r="http://schemas.openxmlformats.org/officeDocument/2006/relationships" r:embed="rId1"/>
        <a:srcRect/>
        <a:stretch>
          <a:fillRect/>
        </a:stretch>
      </xdr:blipFill>
      <xdr:spPr>
        <a:xfrm>
          <a:off x="5286375" y="6651625"/>
          <a:ext cx="230136" cy="134279"/>
        </a:xfrm>
        <a:prstGeom prst="rect">
          <a:avLst/>
        </a:prstGeom>
        <a:noFill/>
        <a:ln cap="flat">
          <a:noFill/>
        </a:ln>
      </xdr:spPr>
    </xdr:pic>
    <xdr:clientData/>
  </xdr:oneCellAnchor>
  <xdr:oneCellAnchor>
    <xdr:from>
      <xdr:col>8</xdr:col>
      <xdr:colOff>0</xdr:colOff>
      <xdr:row>180</xdr:row>
      <xdr:rowOff>0</xdr:rowOff>
    </xdr:from>
    <xdr:ext cx="230136" cy="134279"/>
    <xdr:pic>
      <xdr:nvPicPr>
        <xdr:cNvPr id="23" name="Picture 40" descr="UK2.jpg">
          <a:extLst>
            <a:ext uri="{FF2B5EF4-FFF2-40B4-BE49-F238E27FC236}">
              <a16:creationId xmlns:a16="http://schemas.microsoft.com/office/drawing/2014/main" id="{F43561B5-3FC3-41C6-AE88-BF3D5AACFCE7}"/>
            </a:ext>
          </a:extLst>
        </xdr:cNvPr>
        <xdr:cNvPicPr>
          <a:picLocks noChangeAspect="1"/>
        </xdr:cNvPicPr>
      </xdr:nvPicPr>
      <xdr:blipFill>
        <a:blip xmlns:r="http://schemas.openxmlformats.org/officeDocument/2006/relationships" r:embed="rId1"/>
        <a:srcRect/>
        <a:stretch>
          <a:fillRect/>
        </a:stretch>
      </xdr:blipFill>
      <xdr:spPr>
        <a:xfrm>
          <a:off x="5286375" y="9779000"/>
          <a:ext cx="230136" cy="134279"/>
        </a:xfrm>
        <a:prstGeom prst="rect">
          <a:avLst/>
        </a:prstGeom>
        <a:noFill/>
        <a:ln cap="flat">
          <a:noFill/>
        </a:ln>
      </xdr:spPr>
    </xdr:pic>
    <xdr:clientData/>
  </xdr:oneCellAnchor>
  <xdr:oneCellAnchor>
    <xdr:from>
      <xdr:col>8</xdr:col>
      <xdr:colOff>0</xdr:colOff>
      <xdr:row>213</xdr:row>
      <xdr:rowOff>0</xdr:rowOff>
    </xdr:from>
    <xdr:ext cx="230136" cy="134279"/>
    <xdr:pic>
      <xdr:nvPicPr>
        <xdr:cNvPr id="27" name="Picture 40" descr="UK2.jpg">
          <a:extLst>
            <a:ext uri="{FF2B5EF4-FFF2-40B4-BE49-F238E27FC236}">
              <a16:creationId xmlns:a16="http://schemas.microsoft.com/office/drawing/2014/main" id="{E94D6245-3981-4A4A-AA25-97AA7C7E5ADA}"/>
            </a:ext>
          </a:extLst>
        </xdr:cNvPr>
        <xdr:cNvPicPr>
          <a:picLocks noChangeAspect="1"/>
        </xdr:cNvPicPr>
      </xdr:nvPicPr>
      <xdr:blipFill>
        <a:blip xmlns:r="http://schemas.openxmlformats.org/officeDocument/2006/relationships" r:embed="rId1"/>
        <a:srcRect/>
        <a:stretch>
          <a:fillRect/>
        </a:stretch>
      </xdr:blipFill>
      <xdr:spPr>
        <a:xfrm>
          <a:off x="5286375" y="10652125"/>
          <a:ext cx="230136" cy="134279"/>
        </a:xfrm>
        <a:prstGeom prst="rect">
          <a:avLst/>
        </a:prstGeom>
        <a:noFill/>
        <a:ln cap="flat">
          <a:noFill/>
        </a:ln>
      </xdr:spPr>
    </xdr:pic>
    <xdr:clientData/>
  </xdr:oneCellAnchor>
  <xdr:oneCellAnchor>
    <xdr:from>
      <xdr:col>8</xdr:col>
      <xdr:colOff>0</xdr:colOff>
      <xdr:row>218</xdr:row>
      <xdr:rowOff>0</xdr:rowOff>
    </xdr:from>
    <xdr:ext cx="230136" cy="134279"/>
    <xdr:pic>
      <xdr:nvPicPr>
        <xdr:cNvPr id="29" name="Picture 40" descr="UK2.jpg">
          <a:extLst>
            <a:ext uri="{FF2B5EF4-FFF2-40B4-BE49-F238E27FC236}">
              <a16:creationId xmlns:a16="http://schemas.microsoft.com/office/drawing/2014/main" id="{C6C8BFB0-4FF1-470E-8BBD-93099DB75EE3}"/>
            </a:ext>
          </a:extLst>
        </xdr:cNvPr>
        <xdr:cNvPicPr>
          <a:picLocks noChangeAspect="1"/>
        </xdr:cNvPicPr>
      </xdr:nvPicPr>
      <xdr:blipFill>
        <a:blip xmlns:r="http://schemas.openxmlformats.org/officeDocument/2006/relationships" r:embed="rId1"/>
        <a:srcRect/>
        <a:stretch>
          <a:fillRect/>
        </a:stretch>
      </xdr:blipFill>
      <xdr:spPr>
        <a:xfrm>
          <a:off x="5286375" y="10826750"/>
          <a:ext cx="230136" cy="134279"/>
        </a:xfrm>
        <a:prstGeom prst="rect">
          <a:avLst/>
        </a:prstGeom>
        <a:noFill/>
        <a:ln cap="flat">
          <a:noFill/>
        </a:ln>
      </xdr:spPr>
    </xdr:pic>
    <xdr:clientData/>
  </xdr:oneCellAnchor>
  <xdr:oneCellAnchor>
    <xdr:from>
      <xdr:col>8</xdr:col>
      <xdr:colOff>0</xdr:colOff>
      <xdr:row>233</xdr:row>
      <xdr:rowOff>0</xdr:rowOff>
    </xdr:from>
    <xdr:ext cx="230136" cy="134279"/>
    <xdr:pic>
      <xdr:nvPicPr>
        <xdr:cNvPr id="31" name="Picture 40" descr="UK2.jpg">
          <a:extLst>
            <a:ext uri="{FF2B5EF4-FFF2-40B4-BE49-F238E27FC236}">
              <a16:creationId xmlns:a16="http://schemas.microsoft.com/office/drawing/2014/main" id="{24123765-3090-4C99-B2F6-B94758839CF9}"/>
            </a:ext>
          </a:extLst>
        </xdr:cNvPr>
        <xdr:cNvPicPr>
          <a:picLocks noChangeAspect="1"/>
        </xdr:cNvPicPr>
      </xdr:nvPicPr>
      <xdr:blipFill>
        <a:blip xmlns:r="http://schemas.openxmlformats.org/officeDocument/2006/relationships" r:embed="rId1"/>
        <a:srcRect/>
        <a:stretch>
          <a:fillRect/>
        </a:stretch>
      </xdr:blipFill>
      <xdr:spPr>
        <a:xfrm>
          <a:off x="5286375" y="12120563"/>
          <a:ext cx="230136" cy="134279"/>
        </a:xfrm>
        <a:prstGeom prst="rect">
          <a:avLst/>
        </a:prstGeom>
        <a:noFill/>
        <a:ln cap="flat">
          <a:noFill/>
        </a:ln>
      </xdr:spPr>
    </xdr:pic>
    <xdr:clientData/>
  </xdr:oneCellAnchor>
  <xdr:oneCellAnchor>
    <xdr:from>
      <xdr:col>8</xdr:col>
      <xdr:colOff>0</xdr:colOff>
      <xdr:row>239</xdr:row>
      <xdr:rowOff>0</xdr:rowOff>
    </xdr:from>
    <xdr:ext cx="230136" cy="134279"/>
    <xdr:pic>
      <xdr:nvPicPr>
        <xdr:cNvPr id="33" name="Picture 40" descr="UK2.jpg">
          <a:extLst>
            <a:ext uri="{FF2B5EF4-FFF2-40B4-BE49-F238E27FC236}">
              <a16:creationId xmlns:a16="http://schemas.microsoft.com/office/drawing/2014/main" id="{112A4FCA-0B84-45B8-95B2-545E5458B04E}"/>
            </a:ext>
          </a:extLst>
        </xdr:cNvPr>
        <xdr:cNvPicPr>
          <a:picLocks noChangeAspect="1"/>
        </xdr:cNvPicPr>
      </xdr:nvPicPr>
      <xdr:blipFill>
        <a:blip xmlns:r="http://schemas.openxmlformats.org/officeDocument/2006/relationships" r:embed="rId1"/>
        <a:srcRect/>
        <a:stretch>
          <a:fillRect/>
        </a:stretch>
      </xdr:blipFill>
      <xdr:spPr>
        <a:xfrm>
          <a:off x="5286375" y="12438063"/>
          <a:ext cx="230136" cy="134279"/>
        </a:xfrm>
        <a:prstGeom prst="rect">
          <a:avLst/>
        </a:prstGeom>
        <a:noFill/>
        <a:ln cap="flat">
          <a:noFill/>
        </a:ln>
      </xdr:spPr>
    </xdr:pic>
    <xdr:clientData/>
  </xdr:oneCellAnchor>
  <xdr:oneCellAnchor>
    <xdr:from>
      <xdr:col>8</xdr:col>
      <xdr:colOff>0</xdr:colOff>
      <xdr:row>241</xdr:row>
      <xdr:rowOff>0</xdr:rowOff>
    </xdr:from>
    <xdr:ext cx="230136" cy="134279"/>
    <xdr:pic>
      <xdr:nvPicPr>
        <xdr:cNvPr id="34" name="Picture 40" descr="UK2.jpg">
          <a:extLst>
            <a:ext uri="{FF2B5EF4-FFF2-40B4-BE49-F238E27FC236}">
              <a16:creationId xmlns:a16="http://schemas.microsoft.com/office/drawing/2014/main" id="{49E7002E-0BE9-482B-A70E-58D27D19BAF0}"/>
            </a:ext>
          </a:extLst>
        </xdr:cNvPr>
        <xdr:cNvPicPr>
          <a:picLocks noChangeAspect="1"/>
        </xdr:cNvPicPr>
      </xdr:nvPicPr>
      <xdr:blipFill>
        <a:blip xmlns:r="http://schemas.openxmlformats.org/officeDocument/2006/relationships" r:embed="rId1"/>
        <a:srcRect/>
        <a:stretch>
          <a:fillRect/>
        </a:stretch>
      </xdr:blipFill>
      <xdr:spPr>
        <a:xfrm>
          <a:off x="5286375" y="12787313"/>
          <a:ext cx="230136" cy="134279"/>
        </a:xfrm>
        <a:prstGeom prst="rect">
          <a:avLst/>
        </a:prstGeom>
        <a:noFill/>
        <a:ln cap="flat">
          <a:noFill/>
        </a:ln>
      </xdr:spPr>
    </xdr:pic>
    <xdr:clientData/>
  </xdr:oneCellAnchor>
  <xdr:oneCellAnchor>
    <xdr:from>
      <xdr:col>8</xdr:col>
      <xdr:colOff>0</xdr:colOff>
      <xdr:row>374</xdr:row>
      <xdr:rowOff>0</xdr:rowOff>
    </xdr:from>
    <xdr:ext cx="230136" cy="134279"/>
    <xdr:pic>
      <xdr:nvPicPr>
        <xdr:cNvPr id="35" name="Picture 40" descr="UK2.jpg">
          <a:extLst>
            <a:ext uri="{FF2B5EF4-FFF2-40B4-BE49-F238E27FC236}">
              <a16:creationId xmlns:a16="http://schemas.microsoft.com/office/drawing/2014/main" id="{743F62A9-2089-4BDA-8BBF-24D6B1BCD123}"/>
            </a:ext>
          </a:extLst>
        </xdr:cNvPr>
        <xdr:cNvPicPr>
          <a:picLocks noChangeAspect="1"/>
        </xdr:cNvPicPr>
      </xdr:nvPicPr>
      <xdr:blipFill>
        <a:blip xmlns:r="http://schemas.openxmlformats.org/officeDocument/2006/relationships" r:embed="rId1"/>
        <a:srcRect/>
        <a:stretch>
          <a:fillRect/>
        </a:stretch>
      </xdr:blipFill>
      <xdr:spPr>
        <a:xfrm>
          <a:off x="5286375" y="16335375"/>
          <a:ext cx="230136" cy="134279"/>
        </a:xfrm>
        <a:prstGeom prst="rect">
          <a:avLst/>
        </a:prstGeom>
        <a:noFill/>
        <a:ln cap="flat">
          <a:noFill/>
        </a:ln>
      </xdr:spPr>
    </xdr:pic>
    <xdr:clientData/>
  </xdr:oneCellAnchor>
  <xdr:oneCellAnchor>
    <xdr:from>
      <xdr:col>8</xdr:col>
      <xdr:colOff>0</xdr:colOff>
      <xdr:row>431</xdr:row>
      <xdr:rowOff>0</xdr:rowOff>
    </xdr:from>
    <xdr:ext cx="230136" cy="134279"/>
    <xdr:pic>
      <xdr:nvPicPr>
        <xdr:cNvPr id="36" name="Picture 40" descr="UK2.jpg">
          <a:extLst>
            <a:ext uri="{FF2B5EF4-FFF2-40B4-BE49-F238E27FC236}">
              <a16:creationId xmlns:a16="http://schemas.microsoft.com/office/drawing/2014/main" id="{735F831A-9657-4E11-9DBB-8A1413583AE8}"/>
            </a:ext>
          </a:extLst>
        </xdr:cNvPr>
        <xdr:cNvPicPr>
          <a:picLocks noChangeAspect="1"/>
        </xdr:cNvPicPr>
      </xdr:nvPicPr>
      <xdr:blipFill>
        <a:blip xmlns:r="http://schemas.openxmlformats.org/officeDocument/2006/relationships" r:embed="rId1"/>
        <a:srcRect/>
        <a:stretch>
          <a:fillRect/>
        </a:stretch>
      </xdr:blipFill>
      <xdr:spPr>
        <a:xfrm>
          <a:off x="5286375" y="17176750"/>
          <a:ext cx="230136" cy="134279"/>
        </a:xfrm>
        <a:prstGeom prst="rect">
          <a:avLst/>
        </a:prstGeom>
        <a:noFill/>
        <a:ln cap="flat">
          <a:noFill/>
        </a:ln>
      </xdr:spPr>
    </xdr:pic>
    <xdr:clientData/>
  </xdr:oneCellAnchor>
  <xdr:oneCellAnchor>
    <xdr:from>
      <xdr:col>8</xdr:col>
      <xdr:colOff>0</xdr:colOff>
      <xdr:row>683</xdr:row>
      <xdr:rowOff>0</xdr:rowOff>
    </xdr:from>
    <xdr:ext cx="230136" cy="134279"/>
    <xdr:pic>
      <xdr:nvPicPr>
        <xdr:cNvPr id="37" name="Picture 40" descr="UK2.jpg">
          <a:extLst>
            <a:ext uri="{FF2B5EF4-FFF2-40B4-BE49-F238E27FC236}">
              <a16:creationId xmlns:a16="http://schemas.microsoft.com/office/drawing/2014/main" id="{4C840DDE-1AED-4DE4-B133-74B922EED5ED}"/>
            </a:ext>
          </a:extLst>
        </xdr:cNvPr>
        <xdr:cNvPicPr>
          <a:picLocks noChangeAspect="1"/>
        </xdr:cNvPicPr>
      </xdr:nvPicPr>
      <xdr:blipFill>
        <a:blip xmlns:r="http://schemas.openxmlformats.org/officeDocument/2006/relationships" r:embed="rId1"/>
        <a:srcRect/>
        <a:stretch>
          <a:fillRect/>
        </a:stretch>
      </xdr:blipFill>
      <xdr:spPr>
        <a:xfrm>
          <a:off x="5286375" y="24780875"/>
          <a:ext cx="230136" cy="134279"/>
        </a:xfrm>
        <a:prstGeom prst="rect">
          <a:avLst/>
        </a:prstGeom>
        <a:noFill/>
        <a:ln cap="flat">
          <a:noFill/>
        </a:ln>
      </xdr:spPr>
    </xdr:pic>
    <xdr:clientData/>
  </xdr:oneCellAnchor>
  <xdr:oneCellAnchor>
    <xdr:from>
      <xdr:col>8</xdr:col>
      <xdr:colOff>0</xdr:colOff>
      <xdr:row>46</xdr:row>
      <xdr:rowOff>0</xdr:rowOff>
    </xdr:from>
    <xdr:ext cx="230136" cy="134279"/>
    <xdr:pic>
      <xdr:nvPicPr>
        <xdr:cNvPr id="28" name="Picture 40" descr="UK2.jpg">
          <a:extLst>
            <a:ext uri="{FF2B5EF4-FFF2-40B4-BE49-F238E27FC236}">
              <a16:creationId xmlns:a16="http://schemas.microsoft.com/office/drawing/2014/main" id="{7860A7FD-6812-46FB-A18A-1E6ACA3C1424}"/>
            </a:ext>
          </a:extLst>
        </xdr:cNvPr>
        <xdr:cNvPicPr>
          <a:picLocks noChangeAspect="1"/>
        </xdr:cNvPicPr>
      </xdr:nvPicPr>
      <xdr:blipFill>
        <a:blip xmlns:r="http://schemas.openxmlformats.org/officeDocument/2006/relationships" r:embed="rId1"/>
        <a:srcRect/>
        <a:stretch>
          <a:fillRect/>
        </a:stretch>
      </xdr:blipFill>
      <xdr:spPr>
        <a:xfrm>
          <a:off x="5286375" y="5413375"/>
          <a:ext cx="230136" cy="134279"/>
        </a:xfrm>
        <a:prstGeom prst="rect">
          <a:avLst/>
        </a:prstGeom>
        <a:noFill/>
        <a:ln cap="flat">
          <a:noFill/>
        </a:ln>
      </xdr:spPr>
    </xdr:pic>
    <xdr:clientData/>
  </xdr:oneCellAnchor>
  <xdr:oneCellAnchor>
    <xdr:from>
      <xdr:col>8</xdr:col>
      <xdr:colOff>0</xdr:colOff>
      <xdr:row>553</xdr:row>
      <xdr:rowOff>0</xdr:rowOff>
    </xdr:from>
    <xdr:ext cx="230136" cy="155863"/>
    <xdr:pic>
      <xdr:nvPicPr>
        <xdr:cNvPr id="32" name="Picture 40" descr="UK2.jpg">
          <a:extLst>
            <a:ext uri="{FF2B5EF4-FFF2-40B4-BE49-F238E27FC236}">
              <a16:creationId xmlns:a16="http://schemas.microsoft.com/office/drawing/2014/main" id="{021A3F55-8D5E-4033-87BA-1F9E473024DC}"/>
            </a:ext>
          </a:extLst>
        </xdr:cNvPr>
        <xdr:cNvPicPr>
          <a:picLocks noChangeAspect="1"/>
        </xdr:cNvPicPr>
      </xdr:nvPicPr>
      <xdr:blipFill>
        <a:blip xmlns:r="http://schemas.openxmlformats.org/officeDocument/2006/relationships" r:embed="rId1"/>
        <a:srcRect/>
        <a:stretch>
          <a:fillRect/>
        </a:stretch>
      </xdr:blipFill>
      <xdr:spPr>
        <a:xfrm flipV="1">
          <a:off x="5286375" y="20113625"/>
          <a:ext cx="230136" cy="155863"/>
        </a:xfrm>
        <a:prstGeom prst="rect">
          <a:avLst/>
        </a:prstGeom>
        <a:noFill/>
        <a:ln cap="flat">
          <a:noFill/>
        </a:ln>
      </xdr:spPr>
    </xdr:pic>
    <xdr:clientData/>
  </xdr:oneCellAnchor>
  <xdr:oneCellAnchor>
    <xdr:from>
      <xdr:col>8</xdr:col>
      <xdr:colOff>0</xdr:colOff>
      <xdr:row>244</xdr:row>
      <xdr:rowOff>0</xdr:rowOff>
    </xdr:from>
    <xdr:ext cx="230136" cy="155863"/>
    <xdr:pic>
      <xdr:nvPicPr>
        <xdr:cNvPr id="42" name="Picture 40" descr="UK2.jpg">
          <a:extLst>
            <a:ext uri="{FF2B5EF4-FFF2-40B4-BE49-F238E27FC236}">
              <a16:creationId xmlns:a16="http://schemas.microsoft.com/office/drawing/2014/main" id="{4E553F2F-3950-4405-A2F0-7F9F9380DC95}"/>
            </a:ext>
          </a:extLst>
        </xdr:cNvPr>
        <xdr:cNvPicPr>
          <a:picLocks noChangeAspect="1"/>
        </xdr:cNvPicPr>
      </xdr:nvPicPr>
      <xdr:blipFill>
        <a:blip xmlns:r="http://schemas.openxmlformats.org/officeDocument/2006/relationships" r:embed="rId1"/>
        <a:srcRect/>
        <a:stretch>
          <a:fillRect/>
        </a:stretch>
      </xdr:blipFill>
      <xdr:spPr>
        <a:xfrm flipV="1">
          <a:off x="5286375" y="12438063"/>
          <a:ext cx="230136" cy="155863"/>
        </a:xfrm>
        <a:prstGeom prst="rect">
          <a:avLst/>
        </a:prstGeom>
        <a:noFill/>
        <a:ln cap="flat">
          <a:noFill/>
        </a:ln>
      </xdr:spPr>
    </xdr:pic>
    <xdr:clientData/>
  </xdr:oneCellAnchor>
  <xdr:oneCellAnchor>
    <xdr:from>
      <xdr:col>8</xdr:col>
      <xdr:colOff>0</xdr:colOff>
      <xdr:row>570</xdr:row>
      <xdr:rowOff>0</xdr:rowOff>
    </xdr:from>
    <xdr:ext cx="230136" cy="134279"/>
    <xdr:pic>
      <xdr:nvPicPr>
        <xdr:cNvPr id="2" name="Picture 40" descr="UK2.jpg">
          <a:extLst>
            <a:ext uri="{FF2B5EF4-FFF2-40B4-BE49-F238E27FC236}">
              <a16:creationId xmlns:a16="http://schemas.microsoft.com/office/drawing/2014/main" id="{4B12DBB2-9345-4B14-A646-BCBA8BA5B559}"/>
            </a:ext>
          </a:extLst>
        </xdr:cNvPr>
        <xdr:cNvPicPr>
          <a:picLocks noChangeAspect="1"/>
        </xdr:cNvPicPr>
      </xdr:nvPicPr>
      <xdr:blipFill>
        <a:blip xmlns:r="http://schemas.openxmlformats.org/officeDocument/2006/relationships" r:embed="rId1"/>
        <a:srcRect/>
        <a:stretch>
          <a:fillRect/>
        </a:stretch>
      </xdr:blipFill>
      <xdr:spPr>
        <a:xfrm>
          <a:off x="5286375" y="20494625"/>
          <a:ext cx="230136" cy="134279"/>
        </a:xfrm>
        <a:prstGeom prst="rect">
          <a:avLst/>
        </a:prstGeom>
        <a:noFill/>
        <a:ln cap="flat">
          <a:noFill/>
        </a:ln>
      </xdr:spPr>
    </xdr:pic>
    <xdr:clientData/>
  </xdr:oneCellAnchor>
  <xdr:oneCellAnchor>
    <xdr:from>
      <xdr:col>8</xdr:col>
      <xdr:colOff>0</xdr:colOff>
      <xdr:row>221</xdr:row>
      <xdr:rowOff>0</xdr:rowOff>
    </xdr:from>
    <xdr:ext cx="230136" cy="155863"/>
    <xdr:pic>
      <xdr:nvPicPr>
        <xdr:cNvPr id="16" name="Picture 40" descr="UK2.jpg">
          <a:extLst>
            <a:ext uri="{FF2B5EF4-FFF2-40B4-BE49-F238E27FC236}">
              <a16:creationId xmlns:a16="http://schemas.microsoft.com/office/drawing/2014/main" id="{C910B0EE-C80D-4124-9BB3-DB91A42F6461}"/>
            </a:ext>
          </a:extLst>
        </xdr:cNvPr>
        <xdr:cNvPicPr>
          <a:picLocks noChangeAspect="1"/>
        </xdr:cNvPicPr>
      </xdr:nvPicPr>
      <xdr:blipFill>
        <a:blip xmlns:r="http://schemas.openxmlformats.org/officeDocument/2006/relationships" r:embed="rId1"/>
        <a:srcRect/>
        <a:stretch>
          <a:fillRect/>
        </a:stretch>
      </xdr:blipFill>
      <xdr:spPr>
        <a:xfrm flipV="1">
          <a:off x="5286375" y="10858500"/>
          <a:ext cx="230136" cy="155863"/>
        </a:xfrm>
        <a:prstGeom prst="rect">
          <a:avLst/>
        </a:prstGeom>
        <a:noFill/>
        <a:ln cap="flat">
          <a:noFill/>
        </a:ln>
      </xdr:spPr>
    </xdr:pic>
    <xdr:clientData/>
  </xdr:oneCellAnchor>
  <xdr:oneCellAnchor>
    <xdr:from>
      <xdr:col>8</xdr:col>
      <xdr:colOff>0</xdr:colOff>
      <xdr:row>51</xdr:row>
      <xdr:rowOff>0</xdr:rowOff>
    </xdr:from>
    <xdr:ext cx="230136" cy="155863"/>
    <xdr:pic>
      <xdr:nvPicPr>
        <xdr:cNvPr id="45" name="Picture 40" descr="UK2.jpg">
          <a:extLst>
            <a:ext uri="{FF2B5EF4-FFF2-40B4-BE49-F238E27FC236}">
              <a16:creationId xmlns:a16="http://schemas.microsoft.com/office/drawing/2014/main" id="{42457B32-4DA6-4A6D-A63B-B52DF5DEA53D}"/>
            </a:ext>
          </a:extLst>
        </xdr:cNvPr>
        <xdr:cNvPicPr>
          <a:picLocks noChangeAspect="1"/>
        </xdr:cNvPicPr>
      </xdr:nvPicPr>
      <xdr:blipFill>
        <a:blip xmlns:r="http://schemas.openxmlformats.org/officeDocument/2006/relationships" r:embed="rId1"/>
        <a:srcRect/>
        <a:stretch>
          <a:fillRect/>
        </a:stretch>
      </xdr:blipFill>
      <xdr:spPr>
        <a:xfrm flipV="1">
          <a:off x="5286375" y="5943600"/>
          <a:ext cx="230136" cy="155863"/>
        </a:xfrm>
        <a:prstGeom prst="rect">
          <a:avLst/>
        </a:prstGeom>
        <a:noFill/>
        <a:ln cap="flat">
          <a:noFill/>
        </a:ln>
      </xdr:spPr>
    </xdr:pic>
    <xdr:clientData/>
  </xdr:oneCellAnchor>
  <xdr:oneCellAnchor>
    <xdr:from>
      <xdr:col>8</xdr:col>
      <xdr:colOff>0</xdr:colOff>
      <xdr:row>251</xdr:row>
      <xdr:rowOff>0</xdr:rowOff>
    </xdr:from>
    <xdr:ext cx="230136" cy="155863"/>
    <xdr:pic>
      <xdr:nvPicPr>
        <xdr:cNvPr id="46" name="Picture 40" descr="UK2.jpg">
          <a:extLst>
            <a:ext uri="{FF2B5EF4-FFF2-40B4-BE49-F238E27FC236}">
              <a16:creationId xmlns:a16="http://schemas.microsoft.com/office/drawing/2014/main" id="{EBC693CF-5C93-4CBD-9F51-E23407BD2209}"/>
            </a:ext>
          </a:extLst>
        </xdr:cNvPr>
        <xdr:cNvPicPr>
          <a:picLocks noChangeAspect="1"/>
        </xdr:cNvPicPr>
      </xdr:nvPicPr>
      <xdr:blipFill>
        <a:blip xmlns:r="http://schemas.openxmlformats.org/officeDocument/2006/relationships" r:embed="rId1"/>
        <a:srcRect/>
        <a:stretch>
          <a:fillRect/>
        </a:stretch>
      </xdr:blipFill>
      <xdr:spPr>
        <a:xfrm flipV="1">
          <a:off x="5286375" y="13354050"/>
          <a:ext cx="230136" cy="155863"/>
        </a:xfrm>
        <a:prstGeom prst="rect">
          <a:avLst/>
        </a:prstGeom>
        <a:noFill/>
        <a:ln cap="flat">
          <a:noFill/>
        </a:ln>
      </xdr:spPr>
    </xdr:pic>
    <xdr:clientData/>
  </xdr:oneCellAnchor>
  <xdr:oneCellAnchor>
    <xdr:from>
      <xdr:col>8</xdr:col>
      <xdr:colOff>0</xdr:colOff>
      <xdr:row>699</xdr:row>
      <xdr:rowOff>0</xdr:rowOff>
    </xdr:from>
    <xdr:ext cx="230136" cy="134279"/>
    <xdr:pic>
      <xdr:nvPicPr>
        <xdr:cNvPr id="52" name="Picture 40" descr="UK2.jpg">
          <a:extLst>
            <a:ext uri="{FF2B5EF4-FFF2-40B4-BE49-F238E27FC236}">
              <a16:creationId xmlns:a16="http://schemas.microsoft.com/office/drawing/2014/main" id="{A1A412C1-F2B2-488A-90DC-C57D9A078D37}"/>
            </a:ext>
          </a:extLst>
        </xdr:cNvPr>
        <xdr:cNvPicPr>
          <a:picLocks noChangeAspect="1"/>
        </xdr:cNvPicPr>
      </xdr:nvPicPr>
      <xdr:blipFill>
        <a:blip xmlns:r="http://schemas.openxmlformats.org/officeDocument/2006/relationships" r:embed="rId1"/>
        <a:srcRect/>
        <a:stretch>
          <a:fillRect/>
        </a:stretch>
      </xdr:blipFill>
      <xdr:spPr>
        <a:xfrm>
          <a:off x="5298281" y="27523281"/>
          <a:ext cx="230136" cy="134279"/>
        </a:xfrm>
        <a:prstGeom prst="rect">
          <a:avLst/>
        </a:prstGeom>
        <a:noFill/>
        <a:ln cap="flat">
          <a:noFill/>
        </a:ln>
      </xdr:spPr>
    </xdr:pic>
    <xdr:clientData/>
  </xdr:oneCellAnchor>
  <xdr:oneCellAnchor>
    <xdr:from>
      <xdr:col>12</xdr:col>
      <xdr:colOff>0</xdr:colOff>
      <xdr:row>180</xdr:row>
      <xdr:rowOff>0</xdr:rowOff>
    </xdr:from>
    <xdr:ext cx="188348" cy="162315"/>
    <xdr:pic>
      <xdr:nvPicPr>
        <xdr:cNvPr id="15" name="Picture 1">
          <a:extLst>
            <a:ext uri="{FF2B5EF4-FFF2-40B4-BE49-F238E27FC236}">
              <a16:creationId xmlns:a16="http://schemas.microsoft.com/office/drawing/2014/main" id="{6480B5B2-3F7E-44D1-B51D-6ACF2187A170}"/>
            </a:ext>
          </a:extLst>
        </xdr:cNvPr>
        <xdr:cNvPicPr>
          <a:picLocks noChangeAspect="1"/>
        </xdr:cNvPicPr>
      </xdr:nvPicPr>
      <xdr:blipFill>
        <a:blip xmlns:r="http://schemas.openxmlformats.org/officeDocument/2006/relationships" r:embed="rId2"/>
        <a:srcRect/>
        <a:stretch>
          <a:fillRect/>
        </a:stretch>
      </xdr:blipFill>
      <xdr:spPr>
        <a:xfrm>
          <a:off x="6101953" y="9921875"/>
          <a:ext cx="188348" cy="162315"/>
        </a:xfrm>
        <a:prstGeom prst="rect">
          <a:avLst/>
        </a:prstGeom>
        <a:noFill/>
        <a:ln cap="flat">
          <a:noFill/>
        </a:ln>
      </xdr:spPr>
    </xdr:pic>
    <xdr:clientData/>
  </xdr:oneCellAnchor>
  <xdr:oneCellAnchor>
    <xdr:from>
      <xdr:col>8</xdr:col>
      <xdr:colOff>0</xdr:colOff>
      <xdr:row>194</xdr:row>
      <xdr:rowOff>0</xdr:rowOff>
    </xdr:from>
    <xdr:ext cx="230136" cy="134279"/>
    <xdr:pic>
      <xdr:nvPicPr>
        <xdr:cNvPr id="40" name="Picture 40" descr="UK2.jpg">
          <a:extLst>
            <a:ext uri="{FF2B5EF4-FFF2-40B4-BE49-F238E27FC236}">
              <a16:creationId xmlns:a16="http://schemas.microsoft.com/office/drawing/2014/main" id="{5DFD353A-B132-47A0-BD0E-EF50968FC8DF}"/>
            </a:ext>
          </a:extLst>
        </xdr:cNvPr>
        <xdr:cNvPicPr>
          <a:picLocks noChangeAspect="1"/>
        </xdr:cNvPicPr>
      </xdr:nvPicPr>
      <xdr:blipFill>
        <a:blip xmlns:r="http://schemas.openxmlformats.org/officeDocument/2006/relationships" r:embed="rId1"/>
        <a:srcRect/>
        <a:stretch>
          <a:fillRect/>
        </a:stretch>
      </xdr:blipFill>
      <xdr:spPr>
        <a:xfrm>
          <a:off x="5298281" y="10090547"/>
          <a:ext cx="230136" cy="134279"/>
        </a:xfrm>
        <a:prstGeom prst="rect">
          <a:avLst/>
        </a:prstGeom>
        <a:noFill/>
        <a:ln cap="flat">
          <a:noFill/>
        </a:ln>
      </xdr:spPr>
    </xdr:pic>
    <xdr:clientData/>
  </xdr:oneCellAnchor>
  <xdr:oneCellAnchor>
    <xdr:from>
      <xdr:col>8</xdr:col>
      <xdr:colOff>0</xdr:colOff>
      <xdr:row>198</xdr:row>
      <xdr:rowOff>0</xdr:rowOff>
    </xdr:from>
    <xdr:ext cx="230136" cy="134279"/>
    <xdr:pic>
      <xdr:nvPicPr>
        <xdr:cNvPr id="41" name="Picture 40" descr="UK2.jpg">
          <a:extLst>
            <a:ext uri="{FF2B5EF4-FFF2-40B4-BE49-F238E27FC236}">
              <a16:creationId xmlns:a16="http://schemas.microsoft.com/office/drawing/2014/main" id="{522A479F-4585-4510-B7E4-ABE8EE1966E4}"/>
            </a:ext>
          </a:extLst>
        </xdr:cNvPr>
        <xdr:cNvPicPr>
          <a:picLocks noChangeAspect="1"/>
        </xdr:cNvPicPr>
      </xdr:nvPicPr>
      <xdr:blipFill>
        <a:blip xmlns:r="http://schemas.openxmlformats.org/officeDocument/2006/relationships" r:embed="rId1"/>
        <a:srcRect/>
        <a:stretch>
          <a:fillRect/>
        </a:stretch>
      </xdr:blipFill>
      <xdr:spPr>
        <a:xfrm>
          <a:off x="5298281" y="10259219"/>
          <a:ext cx="230136" cy="134279"/>
        </a:xfrm>
        <a:prstGeom prst="rect">
          <a:avLst/>
        </a:prstGeom>
        <a:noFill/>
        <a:ln cap="flat">
          <a:noFill/>
        </a:ln>
      </xdr:spPr>
    </xdr:pic>
    <xdr:clientData/>
  </xdr:oneCellAnchor>
  <xdr:oneCellAnchor>
    <xdr:from>
      <xdr:col>8</xdr:col>
      <xdr:colOff>0</xdr:colOff>
      <xdr:row>55</xdr:row>
      <xdr:rowOff>0</xdr:rowOff>
    </xdr:from>
    <xdr:ext cx="230136" cy="134279"/>
    <xdr:pic>
      <xdr:nvPicPr>
        <xdr:cNvPr id="44" name="Picture 40" descr="UK2.jpg">
          <a:extLst>
            <a:ext uri="{FF2B5EF4-FFF2-40B4-BE49-F238E27FC236}">
              <a16:creationId xmlns:a16="http://schemas.microsoft.com/office/drawing/2014/main" id="{90A74FFC-EF42-4CEA-A358-9FBEF727CA0B}"/>
            </a:ext>
          </a:extLst>
        </xdr:cNvPr>
        <xdr:cNvPicPr>
          <a:picLocks noChangeAspect="1"/>
        </xdr:cNvPicPr>
      </xdr:nvPicPr>
      <xdr:blipFill>
        <a:blip xmlns:r="http://schemas.openxmlformats.org/officeDocument/2006/relationships" r:embed="rId1"/>
        <a:srcRect/>
        <a:stretch>
          <a:fillRect/>
        </a:stretch>
      </xdr:blipFill>
      <xdr:spPr>
        <a:xfrm>
          <a:off x="5298281" y="6042422"/>
          <a:ext cx="230136" cy="134279"/>
        </a:xfrm>
        <a:prstGeom prst="rect">
          <a:avLst/>
        </a:prstGeom>
        <a:noFill/>
        <a:ln cap="flat">
          <a:noFill/>
        </a:ln>
      </xdr:spPr>
    </xdr:pic>
    <xdr:clientData/>
  </xdr:oneCellAnchor>
  <xdr:oneCellAnchor>
    <xdr:from>
      <xdr:col>12</xdr:col>
      <xdr:colOff>0</xdr:colOff>
      <xdr:row>158</xdr:row>
      <xdr:rowOff>0</xdr:rowOff>
    </xdr:from>
    <xdr:ext cx="188348" cy="162315"/>
    <xdr:pic>
      <xdr:nvPicPr>
        <xdr:cNvPr id="47" name="Picture 1">
          <a:extLst>
            <a:ext uri="{FF2B5EF4-FFF2-40B4-BE49-F238E27FC236}">
              <a16:creationId xmlns:a16="http://schemas.microsoft.com/office/drawing/2014/main" id="{7A3D121B-15D2-45BC-A868-AD65ACC4BB56}"/>
            </a:ext>
          </a:extLst>
        </xdr:cNvPr>
        <xdr:cNvPicPr>
          <a:picLocks noChangeAspect="1"/>
        </xdr:cNvPicPr>
      </xdr:nvPicPr>
      <xdr:blipFill>
        <a:blip xmlns:r="http://schemas.openxmlformats.org/officeDocument/2006/relationships" r:embed="rId2"/>
        <a:srcRect/>
        <a:stretch>
          <a:fillRect/>
        </a:stretch>
      </xdr:blipFill>
      <xdr:spPr>
        <a:xfrm>
          <a:off x="6101953" y="8741172"/>
          <a:ext cx="188348" cy="162315"/>
        </a:xfrm>
        <a:prstGeom prst="rect">
          <a:avLst/>
        </a:prstGeom>
        <a:noFill/>
        <a:ln cap="flat">
          <a:noFill/>
        </a:ln>
      </xdr:spPr>
    </xdr:pic>
    <xdr:clientData/>
  </xdr:oneCellAnchor>
  <xdr:oneCellAnchor>
    <xdr:from>
      <xdr:col>12</xdr:col>
      <xdr:colOff>0</xdr:colOff>
      <xdr:row>155</xdr:row>
      <xdr:rowOff>0</xdr:rowOff>
    </xdr:from>
    <xdr:ext cx="188348" cy="162315"/>
    <xdr:pic>
      <xdr:nvPicPr>
        <xdr:cNvPr id="49" name="Picture 1">
          <a:extLst>
            <a:ext uri="{FF2B5EF4-FFF2-40B4-BE49-F238E27FC236}">
              <a16:creationId xmlns:a16="http://schemas.microsoft.com/office/drawing/2014/main" id="{14BF561F-0D7A-4BDF-8013-80FCC467E4CB}"/>
            </a:ext>
          </a:extLst>
        </xdr:cNvPr>
        <xdr:cNvPicPr>
          <a:picLocks noChangeAspect="1"/>
        </xdr:cNvPicPr>
      </xdr:nvPicPr>
      <xdr:blipFill>
        <a:blip xmlns:r="http://schemas.openxmlformats.org/officeDocument/2006/relationships" r:embed="rId2"/>
        <a:srcRect/>
        <a:stretch>
          <a:fillRect/>
        </a:stretch>
      </xdr:blipFill>
      <xdr:spPr>
        <a:xfrm>
          <a:off x="6101953" y="8572500"/>
          <a:ext cx="188348" cy="162315"/>
        </a:xfrm>
        <a:prstGeom prst="rect">
          <a:avLst/>
        </a:prstGeom>
        <a:noFill/>
        <a:ln cap="flat">
          <a:noFill/>
        </a:ln>
      </xdr:spPr>
    </xdr:pic>
    <xdr:clientData/>
  </xdr:oneCellAnchor>
  <xdr:oneCellAnchor>
    <xdr:from>
      <xdr:col>8</xdr:col>
      <xdr:colOff>0</xdr:colOff>
      <xdr:row>153</xdr:row>
      <xdr:rowOff>9922</xdr:rowOff>
    </xdr:from>
    <xdr:ext cx="230136" cy="134279"/>
    <xdr:pic>
      <xdr:nvPicPr>
        <xdr:cNvPr id="48" name="Picture 40" descr="UK2.jpg">
          <a:extLst>
            <a:ext uri="{FF2B5EF4-FFF2-40B4-BE49-F238E27FC236}">
              <a16:creationId xmlns:a16="http://schemas.microsoft.com/office/drawing/2014/main" id="{EA973145-CB57-4C64-8B18-20C25AB60617}"/>
            </a:ext>
          </a:extLst>
        </xdr:cNvPr>
        <xdr:cNvPicPr>
          <a:picLocks noChangeAspect="1"/>
        </xdr:cNvPicPr>
      </xdr:nvPicPr>
      <xdr:blipFill>
        <a:blip xmlns:r="http://schemas.openxmlformats.org/officeDocument/2006/relationships" r:embed="rId1"/>
        <a:srcRect/>
        <a:stretch>
          <a:fillRect/>
        </a:stretch>
      </xdr:blipFill>
      <xdr:spPr>
        <a:xfrm>
          <a:off x="5298281" y="8582422"/>
          <a:ext cx="230136" cy="134279"/>
        </a:xfrm>
        <a:prstGeom prst="rect">
          <a:avLst/>
        </a:prstGeom>
        <a:noFill/>
        <a:ln cap="flat">
          <a:noFill/>
        </a:ln>
      </xdr:spPr>
    </xdr:pic>
    <xdr:clientData/>
  </xdr:oneCellAnchor>
  <xdr:oneCellAnchor>
    <xdr:from>
      <xdr:col>12</xdr:col>
      <xdr:colOff>0</xdr:colOff>
      <xdr:row>183</xdr:row>
      <xdr:rowOff>0</xdr:rowOff>
    </xdr:from>
    <xdr:ext cx="188348" cy="162315"/>
    <xdr:pic>
      <xdr:nvPicPr>
        <xdr:cNvPr id="50" name="Picture 1">
          <a:extLst>
            <a:ext uri="{FF2B5EF4-FFF2-40B4-BE49-F238E27FC236}">
              <a16:creationId xmlns:a16="http://schemas.microsoft.com/office/drawing/2014/main" id="{4A8176E7-D4A5-4E20-A016-013292EC2B86}"/>
            </a:ext>
          </a:extLst>
        </xdr:cNvPr>
        <xdr:cNvPicPr>
          <a:picLocks noChangeAspect="1"/>
        </xdr:cNvPicPr>
      </xdr:nvPicPr>
      <xdr:blipFill>
        <a:blip xmlns:r="http://schemas.openxmlformats.org/officeDocument/2006/relationships" r:embed="rId2"/>
        <a:srcRect/>
        <a:stretch>
          <a:fillRect/>
        </a:stretch>
      </xdr:blipFill>
      <xdr:spPr>
        <a:xfrm>
          <a:off x="6101953" y="10427891"/>
          <a:ext cx="188348" cy="162315"/>
        </a:xfrm>
        <a:prstGeom prst="rect">
          <a:avLst/>
        </a:prstGeom>
        <a:noFill/>
        <a:ln cap="flat">
          <a:noFill/>
        </a:ln>
      </xdr:spPr>
    </xdr:pic>
    <xdr:clientData/>
  </xdr:oneCellAnchor>
  <xdr:oneCellAnchor>
    <xdr:from>
      <xdr:col>12</xdr:col>
      <xdr:colOff>0</xdr:colOff>
      <xdr:row>185</xdr:row>
      <xdr:rowOff>0</xdr:rowOff>
    </xdr:from>
    <xdr:ext cx="188348" cy="162315"/>
    <xdr:pic>
      <xdr:nvPicPr>
        <xdr:cNvPr id="51" name="Picture 1">
          <a:extLst>
            <a:ext uri="{FF2B5EF4-FFF2-40B4-BE49-F238E27FC236}">
              <a16:creationId xmlns:a16="http://schemas.microsoft.com/office/drawing/2014/main" id="{0116A211-8B1C-4BBF-B7AC-07AA498B4DAA}"/>
            </a:ext>
          </a:extLst>
        </xdr:cNvPr>
        <xdr:cNvPicPr>
          <a:picLocks noChangeAspect="1"/>
        </xdr:cNvPicPr>
      </xdr:nvPicPr>
      <xdr:blipFill>
        <a:blip xmlns:r="http://schemas.openxmlformats.org/officeDocument/2006/relationships" r:embed="rId2"/>
        <a:srcRect/>
        <a:stretch>
          <a:fillRect/>
        </a:stretch>
      </xdr:blipFill>
      <xdr:spPr>
        <a:xfrm>
          <a:off x="6101953" y="10596563"/>
          <a:ext cx="188348" cy="162315"/>
        </a:xfrm>
        <a:prstGeom prst="rect">
          <a:avLst/>
        </a:prstGeom>
        <a:noFill/>
        <a:ln cap="flat">
          <a:noFill/>
        </a:ln>
      </xdr:spPr>
    </xdr:pic>
    <xdr:clientData/>
  </xdr:oneCellAnchor>
  <xdr:oneCellAnchor>
    <xdr:from>
      <xdr:col>12</xdr:col>
      <xdr:colOff>0</xdr:colOff>
      <xdr:row>187</xdr:row>
      <xdr:rowOff>0</xdr:rowOff>
    </xdr:from>
    <xdr:ext cx="188348" cy="162315"/>
    <xdr:pic>
      <xdr:nvPicPr>
        <xdr:cNvPr id="53" name="Picture 1">
          <a:extLst>
            <a:ext uri="{FF2B5EF4-FFF2-40B4-BE49-F238E27FC236}">
              <a16:creationId xmlns:a16="http://schemas.microsoft.com/office/drawing/2014/main" id="{7843EF1E-1899-4ADB-9F86-2216BACA1201}"/>
            </a:ext>
          </a:extLst>
        </xdr:cNvPr>
        <xdr:cNvPicPr>
          <a:picLocks noChangeAspect="1"/>
        </xdr:cNvPicPr>
      </xdr:nvPicPr>
      <xdr:blipFill>
        <a:blip xmlns:r="http://schemas.openxmlformats.org/officeDocument/2006/relationships" r:embed="rId2"/>
        <a:srcRect/>
        <a:stretch>
          <a:fillRect/>
        </a:stretch>
      </xdr:blipFill>
      <xdr:spPr>
        <a:xfrm>
          <a:off x="6101953" y="10785078"/>
          <a:ext cx="188348" cy="162315"/>
        </a:xfrm>
        <a:prstGeom prst="rect">
          <a:avLst/>
        </a:prstGeom>
        <a:noFill/>
        <a:ln cap="flat">
          <a:noFill/>
        </a:ln>
      </xdr:spPr>
    </xdr:pic>
    <xdr:clientData/>
  </xdr:oneCellAnchor>
  <xdr:oneCellAnchor>
    <xdr:from>
      <xdr:col>12</xdr:col>
      <xdr:colOff>0</xdr:colOff>
      <xdr:row>188</xdr:row>
      <xdr:rowOff>0</xdr:rowOff>
    </xdr:from>
    <xdr:ext cx="188348" cy="162315"/>
    <xdr:pic>
      <xdr:nvPicPr>
        <xdr:cNvPr id="55" name="Picture 1">
          <a:extLst>
            <a:ext uri="{FF2B5EF4-FFF2-40B4-BE49-F238E27FC236}">
              <a16:creationId xmlns:a16="http://schemas.microsoft.com/office/drawing/2014/main" id="{D6D3B6F4-77A9-489C-84C2-750396BAF98F}"/>
            </a:ext>
          </a:extLst>
        </xdr:cNvPr>
        <xdr:cNvPicPr>
          <a:picLocks noChangeAspect="1"/>
        </xdr:cNvPicPr>
      </xdr:nvPicPr>
      <xdr:blipFill>
        <a:blip xmlns:r="http://schemas.openxmlformats.org/officeDocument/2006/relationships" r:embed="rId2"/>
        <a:srcRect/>
        <a:stretch>
          <a:fillRect/>
        </a:stretch>
      </xdr:blipFill>
      <xdr:spPr>
        <a:xfrm>
          <a:off x="6101953" y="10953750"/>
          <a:ext cx="188348" cy="162315"/>
        </a:xfrm>
        <a:prstGeom prst="rect">
          <a:avLst/>
        </a:prstGeom>
        <a:noFill/>
        <a:ln cap="flat">
          <a:noFill/>
        </a:ln>
      </xdr:spPr>
    </xdr:pic>
    <xdr:clientData/>
  </xdr:oneCellAnchor>
  <xdr:oneCellAnchor>
    <xdr:from>
      <xdr:col>12</xdr:col>
      <xdr:colOff>0</xdr:colOff>
      <xdr:row>55</xdr:row>
      <xdr:rowOff>0</xdr:rowOff>
    </xdr:from>
    <xdr:ext cx="188348" cy="162315"/>
    <xdr:pic>
      <xdr:nvPicPr>
        <xdr:cNvPr id="57" name="Picture 1">
          <a:extLst>
            <a:ext uri="{FF2B5EF4-FFF2-40B4-BE49-F238E27FC236}">
              <a16:creationId xmlns:a16="http://schemas.microsoft.com/office/drawing/2014/main" id="{7016AE73-5F8C-4E0F-B22E-1397989DCF0C}"/>
            </a:ext>
          </a:extLst>
        </xdr:cNvPr>
        <xdr:cNvPicPr>
          <a:picLocks noChangeAspect="1"/>
        </xdr:cNvPicPr>
      </xdr:nvPicPr>
      <xdr:blipFill>
        <a:blip xmlns:r="http://schemas.openxmlformats.org/officeDocument/2006/relationships" r:embed="rId2"/>
        <a:srcRect/>
        <a:stretch>
          <a:fillRect/>
        </a:stretch>
      </xdr:blipFill>
      <xdr:spPr>
        <a:xfrm>
          <a:off x="6101953" y="5873750"/>
          <a:ext cx="188348" cy="162315"/>
        </a:xfrm>
        <a:prstGeom prst="rect">
          <a:avLst/>
        </a:prstGeom>
        <a:noFill/>
        <a:ln cap="flat">
          <a:noFill/>
        </a:ln>
      </xdr:spPr>
    </xdr:pic>
    <xdr:clientData/>
  </xdr:oneCellAnchor>
  <xdr:oneCellAnchor>
    <xdr:from>
      <xdr:col>8</xdr:col>
      <xdr:colOff>0</xdr:colOff>
      <xdr:row>447</xdr:row>
      <xdr:rowOff>0</xdr:rowOff>
    </xdr:from>
    <xdr:ext cx="230136" cy="134279"/>
    <xdr:pic>
      <xdr:nvPicPr>
        <xdr:cNvPr id="58" name="Picture 40" descr="UK2.jpg">
          <a:extLst>
            <a:ext uri="{FF2B5EF4-FFF2-40B4-BE49-F238E27FC236}">
              <a16:creationId xmlns:a16="http://schemas.microsoft.com/office/drawing/2014/main" id="{44B0D888-8F4E-4C29-B238-2FE6F3DFF31B}"/>
            </a:ext>
          </a:extLst>
        </xdr:cNvPr>
        <xdr:cNvPicPr>
          <a:picLocks noChangeAspect="1"/>
        </xdr:cNvPicPr>
      </xdr:nvPicPr>
      <xdr:blipFill>
        <a:blip xmlns:r="http://schemas.openxmlformats.org/officeDocument/2006/relationships" r:embed="rId1"/>
        <a:srcRect/>
        <a:stretch>
          <a:fillRect/>
        </a:stretch>
      </xdr:blipFill>
      <xdr:spPr>
        <a:xfrm>
          <a:off x="5298281" y="19178984"/>
          <a:ext cx="230136" cy="134279"/>
        </a:xfrm>
        <a:prstGeom prst="rect">
          <a:avLst/>
        </a:prstGeom>
        <a:noFill/>
        <a:ln cap="flat">
          <a:noFill/>
        </a:ln>
      </xdr:spPr>
    </xdr:pic>
    <xdr:clientData/>
  </xdr:oneCellAnchor>
  <xdr:oneCellAnchor>
    <xdr:from>
      <xdr:col>8</xdr:col>
      <xdr:colOff>0</xdr:colOff>
      <xdr:row>450</xdr:row>
      <xdr:rowOff>0</xdr:rowOff>
    </xdr:from>
    <xdr:ext cx="230136" cy="134279"/>
    <xdr:pic>
      <xdr:nvPicPr>
        <xdr:cNvPr id="59" name="Picture 40" descr="UK2.jpg">
          <a:extLst>
            <a:ext uri="{FF2B5EF4-FFF2-40B4-BE49-F238E27FC236}">
              <a16:creationId xmlns:a16="http://schemas.microsoft.com/office/drawing/2014/main" id="{F5BA8ACB-6708-44F5-BE25-1FC56061FC21}"/>
            </a:ext>
          </a:extLst>
        </xdr:cNvPr>
        <xdr:cNvPicPr>
          <a:picLocks noChangeAspect="1"/>
        </xdr:cNvPicPr>
      </xdr:nvPicPr>
      <xdr:blipFill>
        <a:blip xmlns:r="http://schemas.openxmlformats.org/officeDocument/2006/relationships" r:embed="rId1"/>
        <a:srcRect/>
        <a:stretch>
          <a:fillRect/>
        </a:stretch>
      </xdr:blipFill>
      <xdr:spPr>
        <a:xfrm>
          <a:off x="5298281" y="19367500"/>
          <a:ext cx="230136" cy="134279"/>
        </a:xfrm>
        <a:prstGeom prst="rect">
          <a:avLst/>
        </a:prstGeom>
        <a:noFill/>
        <a:ln cap="flat">
          <a:noFill/>
        </a:ln>
      </xdr:spPr>
    </xdr:pic>
    <xdr:clientData/>
  </xdr:oneCellAnchor>
  <xdr:oneCellAnchor>
    <xdr:from>
      <xdr:col>8</xdr:col>
      <xdr:colOff>0</xdr:colOff>
      <xdr:row>468</xdr:row>
      <xdr:rowOff>0</xdr:rowOff>
    </xdr:from>
    <xdr:ext cx="230136" cy="134279"/>
    <xdr:pic>
      <xdr:nvPicPr>
        <xdr:cNvPr id="61" name="Picture 40" descr="UK2.jpg">
          <a:extLst>
            <a:ext uri="{FF2B5EF4-FFF2-40B4-BE49-F238E27FC236}">
              <a16:creationId xmlns:a16="http://schemas.microsoft.com/office/drawing/2014/main" id="{299D95B7-24C6-4A65-A3C6-24E8F72734B0}"/>
            </a:ext>
          </a:extLst>
        </xdr:cNvPr>
        <xdr:cNvPicPr>
          <a:picLocks noChangeAspect="1"/>
        </xdr:cNvPicPr>
      </xdr:nvPicPr>
      <xdr:blipFill>
        <a:blip xmlns:r="http://schemas.openxmlformats.org/officeDocument/2006/relationships" r:embed="rId1"/>
        <a:srcRect/>
        <a:stretch>
          <a:fillRect/>
        </a:stretch>
      </xdr:blipFill>
      <xdr:spPr>
        <a:xfrm>
          <a:off x="5298281" y="20042188"/>
          <a:ext cx="230136" cy="134279"/>
        </a:xfrm>
        <a:prstGeom prst="rect">
          <a:avLst/>
        </a:prstGeom>
        <a:noFill/>
        <a:ln cap="flat">
          <a:noFill/>
        </a:ln>
      </xdr:spPr>
    </xdr:pic>
    <xdr:clientData/>
  </xdr:oneCellAnchor>
  <xdr:oneCellAnchor>
    <xdr:from>
      <xdr:col>8</xdr:col>
      <xdr:colOff>0</xdr:colOff>
      <xdr:row>501</xdr:row>
      <xdr:rowOff>0</xdr:rowOff>
    </xdr:from>
    <xdr:ext cx="230136" cy="155863"/>
    <xdr:pic>
      <xdr:nvPicPr>
        <xdr:cNvPr id="63" name="Picture 40" descr="UK2.jpg">
          <a:extLst>
            <a:ext uri="{FF2B5EF4-FFF2-40B4-BE49-F238E27FC236}">
              <a16:creationId xmlns:a16="http://schemas.microsoft.com/office/drawing/2014/main" id="{47E9ADBC-E3F4-40C6-98A7-4FA0D8C1580F}"/>
            </a:ext>
          </a:extLst>
        </xdr:cNvPr>
        <xdr:cNvPicPr>
          <a:picLocks noChangeAspect="1"/>
        </xdr:cNvPicPr>
      </xdr:nvPicPr>
      <xdr:blipFill>
        <a:blip xmlns:r="http://schemas.openxmlformats.org/officeDocument/2006/relationships" r:embed="rId1"/>
        <a:srcRect/>
        <a:stretch>
          <a:fillRect/>
        </a:stretch>
      </xdr:blipFill>
      <xdr:spPr>
        <a:xfrm flipV="1">
          <a:off x="5298281" y="22413516"/>
          <a:ext cx="230136" cy="155863"/>
        </a:xfrm>
        <a:prstGeom prst="rect">
          <a:avLst/>
        </a:prstGeom>
        <a:noFill/>
        <a:ln cap="flat">
          <a:noFill/>
        </a:ln>
      </xdr:spPr>
    </xdr:pic>
    <xdr:clientData/>
  </xdr:oneCellAnchor>
  <xdr:oneCellAnchor>
    <xdr:from>
      <xdr:col>12</xdr:col>
      <xdr:colOff>0</xdr:colOff>
      <xdr:row>503</xdr:row>
      <xdr:rowOff>0</xdr:rowOff>
    </xdr:from>
    <xdr:ext cx="188348" cy="162315"/>
    <xdr:pic>
      <xdr:nvPicPr>
        <xdr:cNvPr id="64" name="Picture 1">
          <a:extLst>
            <a:ext uri="{FF2B5EF4-FFF2-40B4-BE49-F238E27FC236}">
              <a16:creationId xmlns:a16="http://schemas.microsoft.com/office/drawing/2014/main" id="{711346A3-3B56-4B3A-A754-E49003DDDBC7}"/>
            </a:ext>
          </a:extLst>
        </xdr:cNvPr>
        <xdr:cNvPicPr>
          <a:picLocks noChangeAspect="1"/>
        </xdr:cNvPicPr>
      </xdr:nvPicPr>
      <xdr:blipFill>
        <a:blip xmlns:r="http://schemas.openxmlformats.org/officeDocument/2006/relationships" r:embed="rId2"/>
        <a:srcRect/>
        <a:stretch>
          <a:fillRect/>
        </a:stretch>
      </xdr:blipFill>
      <xdr:spPr>
        <a:xfrm>
          <a:off x="6101953" y="22582188"/>
          <a:ext cx="188348" cy="162315"/>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63"/>
  <sheetViews>
    <sheetView tabSelected="1" zoomScale="96" zoomScaleNormal="96" zoomScaleSheetLayoutView="96" workbookViewId="0">
      <selection activeCell="D4" sqref="D4:J4"/>
    </sheetView>
  </sheetViews>
  <sheetFormatPr defaultColWidth="8.85546875" defaultRowHeight="15" x14ac:dyDescent="0.25"/>
  <cols>
    <col min="1" max="1" width="4.42578125" style="1" customWidth="1"/>
    <col min="2" max="2" width="3.28515625" style="146" customWidth="1"/>
    <col min="3" max="3" width="15.42578125" style="2" customWidth="1"/>
    <col min="4" max="4" width="5" style="637" customWidth="1"/>
    <col min="5" max="5" width="6.28515625" style="855" customWidth="1"/>
    <col min="6" max="6" width="12.28515625" style="2" customWidth="1"/>
    <col min="7" max="7" width="28.7109375" style="2" customWidth="1"/>
    <col min="8" max="8" width="3.85546875" style="2" customWidth="1"/>
    <col min="9" max="9" width="3.42578125" style="2" customWidth="1"/>
    <col min="10" max="10" width="2.28515625" style="2" customWidth="1"/>
    <col min="11" max="11" width="2.85546875" style="2" customWidth="1"/>
    <col min="12" max="12" width="3.5703125" style="2" customWidth="1"/>
    <col min="13" max="13" width="1.42578125" style="3" customWidth="1"/>
    <col min="14" max="14" width="5.42578125" style="2" customWidth="1"/>
    <col min="15" max="15" width="2.42578125" style="533" customWidth="1"/>
    <col min="16" max="16" width="7.7109375" style="417" customWidth="1"/>
    <col min="17" max="17" width="8.42578125" customWidth="1"/>
    <col min="18" max="18" width="7.28515625" customWidth="1"/>
    <col min="19" max="19" width="11.42578125" style="417" customWidth="1"/>
    <col min="20" max="20" width="6" style="417" customWidth="1"/>
    <col min="21" max="21" width="7.42578125" style="417" customWidth="1"/>
    <col min="22" max="22" width="7.28515625" style="417" customWidth="1"/>
    <col min="23" max="23" width="7.28515625" style="418" customWidth="1"/>
    <col min="24" max="24" width="5.42578125" style="418" customWidth="1"/>
    <col min="25" max="25" width="9.42578125" style="418" customWidth="1"/>
    <col min="26" max="29" width="7.7109375" style="418" customWidth="1"/>
    <col min="30" max="30" width="5.85546875" style="418" bestFit="1" customWidth="1"/>
    <col min="31" max="31" width="8.85546875" style="418" customWidth="1"/>
    <col min="32" max="32" width="4.42578125" style="418" customWidth="1"/>
    <col min="33" max="43" width="9" style="2" bestFit="1" customWidth="1"/>
    <col min="44" max="16384" width="8.85546875" style="2"/>
  </cols>
  <sheetData>
    <row r="1" spans="1:47" ht="14.25" customHeight="1" x14ac:dyDescent="0.25">
      <c r="A1" s="2" t="str">
        <f>"Your order is "&amp;AI25&amp;" Trolley"&amp;IF(AI25&gt;1,"s","")</f>
        <v>Your order is 1 Trolley</v>
      </c>
      <c r="L1" s="3"/>
      <c r="M1" s="2"/>
      <c r="N1" s="1055" t="str">
        <f>IF(D4="","Please don't forget to enter your centre name","")</f>
        <v>Please don't forget to enter your centre name</v>
      </c>
      <c r="O1" s="1"/>
      <c r="P1" s="1"/>
      <c r="Q1" s="1"/>
      <c r="R1" s="1"/>
      <c r="S1" s="1"/>
      <c r="T1" s="1"/>
      <c r="U1" s="1"/>
      <c r="V1" s="542"/>
      <c r="W1" s="542"/>
      <c r="X1" s="542"/>
      <c r="Y1" s="542"/>
      <c r="Z1" s="542"/>
      <c r="AA1" s="542"/>
      <c r="AB1" s="542"/>
      <c r="AC1" s="542"/>
      <c r="AD1" s="542"/>
      <c r="AE1" s="542"/>
      <c r="AF1" s="542"/>
      <c r="AG1" s="1"/>
      <c r="AH1" s="1"/>
      <c r="AI1" s="1"/>
      <c r="AJ1" s="1"/>
      <c r="AK1" s="417"/>
      <c r="AL1" s="417"/>
      <c r="AM1" s="417"/>
      <c r="AN1" s="417"/>
      <c r="AO1" s="417"/>
      <c r="AP1" s="1"/>
      <c r="AQ1" s="1"/>
      <c r="AR1" s="1"/>
      <c r="AS1" s="1"/>
    </row>
    <row r="2" spans="1:47" ht="15" customHeight="1" x14ac:dyDescent="0.25">
      <c r="A2" s="1090" t="s">
        <v>0</v>
      </c>
      <c r="B2" s="1090"/>
      <c r="C2" s="1090"/>
      <c r="D2" s="1090"/>
      <c r="E2" s="1090"/>
      <c r="F2" s="1090"/>
      <c r="G2" s="1090"/>
      <c r="H2" s="535"/>
      <c r="I2" s="535"/>
      <c r="J2" s="535"/>
      <c r="K2" s="535"/>
      <c r="L2" s="535"/>
      <c r="M2" s="535"/>
      <c r="N2" s="552" t="s">
        <v>1175</v>
      </c>
      <c r="O2" s="795"/>
      <c r="P2" s="1093" t="s">
        <v>1182</v>
      </c>
      <c r="Q2" s="1093"/>
      <c r="R2" s="1093"/>
      <c r="S2" s="1093"/>
      <c r="T2" s="1093"/>
      <c r="U2" s="1093"/>
      <c r="V2" s="1"/>
      <c r="W2" s="1"/>
      <c r="X2" s="1"/>
      <c r="Y2" s="1089" t="s">
        <v>1177</v>
      </c>
      <c r="Z2" s="1089"/>
      <c r="AA2" s="1089"/>
      <c r="AB2" s="1089"/>
      <c r="AC2" s="1089"/>
      <c r="AD2" s="796"/>
      <c r="AE2" s="796"/>
      <c r="AF2" s="796"/>
      <c r="AG2" s="1"/>
      <c r="AH2" s="533"/>
      <c r="AI2" s="533"/>
      <c r="AJ2" s="533"/>
      <c r="AK2" s="533"/>
      <c r="AL2" s="533"/>
      <c r="AM2" s="533"/>
      <c r="AN2" s="533"/>
      <c r="AO2" s="417"/>
      <c r="AP2" s="1"/>
      <c r="AQ2" s="1"/>
      <c r="AR2" s="1"/>
      <c r="AS2" s="1"/>
    </row>
    <row r="3" spans="1:47" ht="13.5" customHeight="1" x14ac:dyDescent="0.55000000000000004">
      <c r="A3" s="1090"/>
      <c r="B3" s="1090"/>
      <c r="C3" s="1090"/>
      <c r="D3" s="1090"/>
      <c r="E3" s="1090"/>
      <c r="F3" s="1090"/>
      <c r="G3" s="1090"/>
      <c r="H3" s="535"/>
      <c r="I3" s="535"/>
      <c r="K3" s="535"/>
      <c r="L3" s="536" t="s">
        <v>1174</v>
      </c>
      <c r="M3" s="535"/>
      <c r="N3" s="535"/>
      <c r="O3" s="935"/>
      <c r="P3" s="1093"/>
      <c r="Q3" s="1093"/>
      <c r="R3" s="1093"/>
      <c r="S3" s="1093"/>
      <c r="T3" s="1093"/>
      <c r="U3" s="1093"/>
      <c r="V3" s="539"/>
      <c r="W3" s="1"/>
      <c r="X3" s="540"/>
      <c r="Y3" s="1089"/>
      <c r="Z3" s="1089"/>
      <c r="AA3" s="1089"/>
      <c r="AB3" s="1089"/>
      <c r="AC3" s="1089"/>
      <c r="AD3" s="533"/>
      <c r="AE3" s="533"/>
      <c r="AF3" s="533"/>
      <c r="AG3" s="533"/>
      <c r="AH3" s="533"/>
      <c r="AI3" s="533"/>
      <c r="AJ3" s="533"/>
      <c r="AK3" s="533"/>
      <c r="AL3" s="1"/>
      <c r="AM3" s="1"/>
      <c r="AN3" s="1"/>
      <c r="AO3" s="1"/>
      <c r="AP3" s="1"/>
      <c r="AQ3" s="1"/>
      <c r="AR3" s="1"/>
      <c r="AS3" s="1"/>
      <c r="AT3" s="1"/>
      <c r="AU3" s="1"/>
    </row>
    <row r="4" spans="1:47" ht="19.5" customHeight="1" x14ac:dyDescent="0.25">
      <c r="A4" s="5" t="s">
        <v>4</v>
      </c>
      <c r="B4" s="578"/>
      <c r="C4" s="537"/>
      <c r="D4" s="1097"/>
      <c r="E4" s="1097"/>
      <c r="F4" s="1097"/>
      <c r="G4" s="1097"/>
      <c r="H4" s="1097"/>
      <c r="I4" s="1097"/>
      <c r="J4" s="1097"/>
      <c r="K4" s="7"/>
      <c r="L4" s="7"/>
      <c r="M4" s="8"/>
      <c r="N4" s="9"/>
      <c r="O4"/>
      <c r="P4" s="1094" t="s">
        <v>1191</v>
      </c>
      <c r="Q4" s="1094"/>
      <c r="R4" s="1094"/>
      <c r="S4" s="1094"/>
      <c r="T4" s="1094"/>
      <c r="U4" s="1094"/>
      <c r="V4" s="539"/>
      <c r="W4" s="1"/>
      <c r="X4" s="540"/>
      <c r="Y4" s="1109" t="str">
        <f>"Trolley "&amp;AM44</f>
        <v>Trolley 1</v>
      </c>
      <c r="Z4" s="1109"/>
      <c r="AA4" s="1109"/>
      <c r="AB4" s="1109"/>
      <c r="AC4" s="1109"/>
      <c r="AD4" s="533"/>
      <c r="AE4" s="533"/>
      <c r="AF4" s="533"/>
      <c r="AG4" s="533"/>
      <c r="AH4" s="533"/>
      <c r="AI4" s="533"/>
      <c r="AJ4" s="533"/>
      <c r="AK4" s="533"/>
      <c r="AL4" s="533"/>
      <c r="AM4" s="1"/>
      <c r="AN4" s="1"/>
      <c r="AO4" s="1"/>
      <c r="AP4" s="1"/>
      <c r="AQ4" s="1"/>
      <c r="AR4" s="1"/>
      <c r="AS4" s="1"/>
      <c r="AT4" s="1"/>
      <c r="AU4" s="1"/>
    </row>
    <row r="5" spans="1:47" ht="20.25" x14ac:dyDescent="0.25">
      <c r="A5" s="5" t="s">
        <v>5</v>
      </c>
      <c r="B5" s="579"/>
      <c r="C5" s="10"/>
      <c r="D5" s="1098"/>
      <c r="E5" s="1098"/>
      <c r="F5" s="1098"/>
      <c r="G5" s="11" t="s">
        <v>6</v>
      </c>
      <c r="H5" s="1098"/>
      <c r="I5" s="1098"/>
      <c r="J5" s="1098"/>
      <c r="K5" s="1098"/>
      <c r="L5" s="1098"/>
      <c r="M5" s="1098"/>
      <c r="N5" s="1098"/>
      <c r="O5"/>
      <c r="P5" s="1094"/>
      <c r="Q5" s="1094"/>
      <c r="R5" s="1094"/>
      <c r="S5" s="1094"/>
      <c r="T5" s="1094"/>
      <c r="U5" s="1094"/>
      <c r="V5" s="539"/>
      <c r="W5" s="1"/>
      <c r="X5" s="540"/>
      <c r="AD5" s="704"/>
      <c r="AE5" s="704"/>
      <c r="AF5" s="704"/>
      <c r="AG5" s="533"/>
      <c r="AH5" s="533"/>
      <c r="AI5" s="533"/>
      <c r="AJ5" s="533"/>
      <c r="AK5" s="533"/>
      <c r="AL5" s="417"/>
      <c r="AM5" s="417"/>
      <c r="AN5" s="417"/>
      <c r="AO5" s="417"/>
      <c r="AP5" s="417"/>
      <c r="AQ5" s="417"/>
      <c r="AR5" s="417"/>
      <c r="AS5" s="417"/>
      <c r="AT5" s="417"/>
      <c r="AU5" s="417"/>
    </row>
    <row r="6" spans="1:47" ht="12.95" customHeight="1" x14ac:dyDescent="0.25">
      <c r="A6" s="1095" t="s">
        <v>1872</v>
      </c>
      <c r="B6" s="1095"/>
      <c r="C6" s="1095"/>
      <c r="D6" s="13"/>
      <c r="E6" s="13"/>
      <c r="F6" s="12" t="s">
        <v>1871</v>
      </c>
      <c r="G6" s="12"/>
      <c r="H6" s="13"/>
      <c r="I6" s="14"/>
      <c r="J6" s="13"/>
      <c r="K6" s="13"/>
      <c r="L6" s="13"/>
      <c r="M6" s="13"/>
      <c r="N6" s="15" t="s">
        <v>7</v>
      </c>
      <c r="O6"/>
      <c r="P6" s="1094"/>
      <c r="Q6" s="1094"/>
      <c r="R6" s="1094"/>
      <c r="S6" s="1094"/>
      <c r="T6" s="1094"/>
      <c r="U6" s="1094"/>
      <c r="V6" s="539"/>
      <c r="W6" s="1"/>
      <c r="X6" s="540"/>
      <c r="Y6" s="562"/>
      <c r="Z6" s="540"/>
      <c r="AA6" s="1"/>
      <c r="AB6" s="1"/>
      <c r="AC6" s="623"/>
      <c r="AD6" s="558">
        <f>AD7</f>
        <v>0</v>
      </c>
      <c r="AE6" s="533"/>
      <c r="AF6" s="543"/>
      <c r="AG6" s="543"/>
      <c r="AH6" s="533">
        <v>0</v>
      </c>
      <c r="AI6" s="533"/>
      <c r="AJ6" s="533"/>
      <c r="AK6" s="533"/>
      <c r="AL6" s="417"/>
      <c r="AM6" s="417"/>
      <c r="AN6" s="417"/>
      <c r="AO6" s="417"/>
      <c r="AP6" s="417"/>
      <c r="AQ6" s="417"/>
      <c r="AR6" s="417"/>
      <c r="AS6" s="417"/>
      <c r="AT6" s="417"/>
      <c r="AU6" s="417"/>
    </row>
    <row r="7" spans="1:47" ht="17.25" x14ac:dyDescent="0.25">
      <c r="A7" s="1096" t="s">
        <v>1859</v>
      </c>
      <c r="B7" s="1096"/>
      <c r="C7" s="1096"/>
      <c r="D7" s="1096"/>
      <c r="E7" s="1096"/>
      <c r="F7" s="1096"/>
      <c r="G7" s="1096"/>
      <c r="H7" s="1096"/>
      <c r="I7" s="1096"/>
      <c r="J7" s="1096"/>
      <c r="K7" s="1096"/>
      <c r="L7" s="1096"/>
      <c r="M7" s="1096"/>
      <c r="N7" s="1096"/>
      <c r="O7"/>
      <c r="P7" s="1094"/>
      <c r="Q7" s="1094"/>
      <c r="R7" s="1094"/>
      <c r="S7" s="1094"/>
      <c r="T7" s="1094"/>
      <c r="U7" s="1094"/>
      <c r="V7" s="539"/>
      <c r="W7" s="1"/>
      <c r="X7" s="540"/>
      <c r="Y7" s="562"/>
      <c r="Z7" s="540"/>
      <c r="AA7" s="1"/>
      <c r="AB7" s="1"/>
      <c r="AC7" s="623"/>
      <c r="AD7" s="558">
        <f>AJ44</f>
        <v>0</v>
      </c>
      <c r="AE7" s="533"/>
      <c r="AF7" s="543"/>
      <c r="AG7" s="543"/>
      <c r="AH7" s="533">
        <v>1</v>
      </c>
      <c r="AI7" s="533"/>
      <c r="AJ7" s="533"/>
      <c r="AK7" s="533"/>
      <c r="AL7" s="417"/>
      <c r="AM7" s="417"/>
      <c r="AN7" s="417"/>
      <c r="AO7" s="417"/>
      <c r="AP7" s="417"/>
      <c r="AQ7" s="417"/>
      <c r="AR7" s="417"/>
      <c r="AS7" s="417"/>
      <c r="AT7" s="417"/>
      <c r="AU7" s="417"/>
    </row>
    <row r="8" spans="1:47" ht="16.5" customHeight="1" x14ac:dyDescent="0.25">
      <c r="A8" s="16"/>
      <c r="B8" s="580"/>
      <c r="C8" s="17" t="s">
        <v>8</v>
      </c>
      <c r="D8" s="638"/>
      <c r="E8" s="856"/>
      <c r="F8" s="16"/>
      <c r="G8" s="16"/>
      <c r="H8" s="16"/>
      <c r="I8" s="16"/>
      <c r="J8" s="16"/>
      <c r="K8" s="16"/>
      <c r="L8" s="18"/>
      <c r="M8" s="16"/>
      <c r="N8" s="16"/>
      <c r="O8"/>
      <c r="P8" s="1094"/>
      <c r="Q8" s="1094"/>
      <c r="R8" s="1094"/>
      <c r="S8" s="1094"/>
      <c r="T8" s="1094"/>
      <c r="U8" s="1094"/>
      <c r="V8" s="539"/>
      <c r="W8" s="1"/>
      <c r="X8" s="540"/>
      <c r="Y8" s="562"/>
      <c r="Z8" s="540"/>
      <c r="AA8" s="1"/>
      <c r="AB8" s="1"/>
      <c r="AC8" s="623"/>
      <c r="AD8" s="543">
        <f t="shared" ref="AD8:AD21" si="0">_xlfn.SINGLE(_xlfn.XLOOKUP(AG8,AF$45:AF$52,AH$45:AH$52))</f>
        <v>0</v>
      </c>
      <c r="AE8" s="543">
        <v>14</v>
      </c>
      <c r="AF8" s="543">
        <f t="shared" ref="AF8:AF21" si="1">COUNTIF(AK$46:AK$52,AE8)</f>
        <v>0</v>
      </c>
      <c r="AG8" s="543">
        <f t="shared" ref="AG8:AG12" si="2">IF(AF8=0,AG9,AG9+1)</f>
        <v>0</v>
      </c>
      <c r="AH8" s="533">
        <f t="shared" ref="AH8:AH22" si="3">COUNTIF(AL$46:AL$52,AE8)</f>
        <v>0</v>
      </c>
      <c r="AI8" s="533"/>
      <c r="AJ8" s="533"/>
      <c r="AK8" s="533"/>
      <c r="AL8" s="417"/>
      <c r="AM8" s="417"/>
      <c r="AN8" s="417"/>
      <c r="AO8" s="417"/>
      <c r="AP8" s="417"/>
      <c r="AQ8" s="417"/>
      <c r="AR8" s="417"/>
      <c r="AS8" s="417"/>
      <c r="AT8" s="417"/>
      <c r="AU8" s="417"/>
    </row>
    <row r="9" spans="1:47" ht="12.95" customHeight="1" x14ac:dyDescent="0.25">
      <c r="A9" s="19"/>
      <c r="B9" s="581"/>
      <c r="C9" s="20" t="s">
        <v>9</v>
      </c>
      <c r="D9" s="639"/>
      <c r="E9" s="857"/>
      <c r="F9" s="21"/>
      <c r="G9" s="6"/>
      <c r="H9" s="6"/>
      <c r="I9" s="6"/>
      <c r="J9" s="6"/>
      <c r="K9" s="6"/>
      <c r="L9" s="22"/>
      <c r="M9" s="6"/>
      <c r="N9" s="6"/>
      <c r="O9"/>
      <c r="P9" s="1094"/>
      <c r="Q9" s="1094"/>
      <c r="R9" s="1094"/>
      <c r="S9" s="1094"/>
      <c r="T9" s="1094"/>
      <c r="U9" s="1094"/>
      <c r="V9" s="539"/>
      <c r="W9" s="1"/>
      <c r="X9" s="540"/>
      <c r="Y9" s="562"/>
      <c r="Z9" s="540"/>
      <c r="AA9" s="1"/>
      <c r="AB9" s="1"/>
      <c r="AC9" s="623"/>
      <c r="AD9" s="543">
        <f t="shared" si="0"/>
        <v>0</v>
      </c>
      <c r="AE9" s="543">
        <v>13</v>
      </c>
      <c r="AF9" s="543">
        <f t="shared" si="1"/>
        <v>0</v>
      </c>
      <c r="AG9" s="543">
        <f t="shared" si="2"/>
        <v>0</v>
      </c>
      <c r="AH9" s="533">
        <f t="shared" si="3"/>
        <v>0</v>
      </c>
      <c r="AI9" s="533"/>
      <c r="AJ9" s="533"/>
      <c r="AK9" s="533"/>
      <c r="AL9" s="417"/>
      <c r="AM9" s="417"/>
      <c r="AN9" s="417"/>
      <c r="AO9" s="417"/>
      <c r="AP9" s="417"/>
      <c r="AQ9" s="417"/>
      <c r="AR9" s="417"/>
      <c r="AS9" s="417"/>
      <c r="AT9" s="417"/>
      <c r="AU9" s="417"/>
    </row>
    <row r="10" spans="1:47" ht="12.95" hidden="1" customHeight="1" x14ac:dyDescent="0.25">
      <c r="A10" s="19"/>
      <c r="B10" s="581"/>
      <c r="C10" s="20"/>
      <c r="D10" s="639"/>
      <c r="E10" s="857"/>
      <c r="F10" s="21"/>
      <c r="G10" s="6"/>
      <c r="H10" s="6"/>
      <c r="I10" s="6"/>
      <c r="J10" s="6"/>
      <c r="K10" s="6"/>
      <c r="L10" s="22"/>
      <c r="M10" s="6"/>
      <c r="N10" s="6"/>
      <c r="O10"/>
      <c r="P10" s="1094"/>
      <c r="Q10" s="1094"/>
      <c r="R10" s="1094"/>
      <c r="S10" s="1094"/>
      <c r="T10" s="1094"/>
      <c r="U10" s="1094"/>
      <c r="V10" s="539"/>
      <c r="W10" s="1"/>
      <c r="X10" s="540"/>
      <c r="Y10" s="562"/>
      <c r="Z10" s="540"/>
      <c r="AA10" s="1"/>
      <c r="AB10" s="1"/>
      <c r="AC10" s="623"/>
      <c r="AD10" s="543">
        <f t="shared" si="0"/>
        <v>0</v>
      </c>
      <c r="AE10" s="543">
        <v>12</v>
      </c>
      <c r="AF10" s="543">
        <f t="shared" si="1"/>
        <v>0</v>
      </c>
      <c r="AG10" s="543">
        <f t="shared" si="2"/>
        <v>0</v>
      </c>
      <c r="AH10" s="533">
        <f t="shared" si="3"/>
        <v>0</v>
      </c>
      <c r="AI10" s="533"/>
      <c r="AJ10" s="533"/>
      <c r="AK10" s="533"/>
      <c r="AL10" s="417"/>
      <c r="AM10" s="417"/>
      <c r="AN10" s="417"/>
      <c r="AO10" s="417"/>
      <c r="AP10" s="417"/>
      <c r="AQ10" s="417"/>
      <c r="AR10" s="417"/>
      <c r="AS10" s="417"/>
      <c r="AT10" s="417"/>
      <c r="AU10" s="417"/>
    </row>
    <row r="11" spans="1:47" ht="12.95" customHeight="1" x14ac:dyDescent="0.25">
      <c r="A11" s="19"/>
      <c r="B11" s="581"/>
      <c r="C11" s="20"/>
      <c r="D11" s="639"/>
      <c r="E11" s="857"/>
      <c r="F11" s="21"/>
      <c r="G11" s="6"/>
      <c r="H11" s="6"/>
      <c r="I11" s="6"/>
      <c r="J11" s="6"/>
      <c r="K11" s="6"/>
      <c r="L11" s="22"/>
      <c r="M11" s="6"/>
      <c r="N11" s="6"/>
      <c r="O11"/>
      <c r="P11" s="1094"/>
      <c r="Q11" s="1094"/>
      <c r="R11" s="1094"/>
      <c r="S11" s="1094"/>
      <c r="T11" s="1094"/>
      <c r="U11" s="1094"/>
      <c r="V11" s="539"/>
      <c r="W11" s="1"/>
      <c r="X11" s="540"/>
      <c r="Y11" s="562"/>
      <c r="Z11" s="540"/>
      <c r="AA11" s="1"/>
      <c r="AB11" s="1"/>
      <c r="AC11" s="623"/>
      <c r="AD11" s="543">
        <f t="shared" si="0"/>
        <v>0</v>
      </c>
      <c r="AE11" s="543">
        <v>11</v>
      </c>
      <c r="AF11" s="543">
        <f t="shared" si="1"/>
        <v>0</v>
      </c>
      <c r="AG11" s="543">
        <f t="shared" si="2"/>
        <v>0</v>
      </c>
      <c r="AH11" s="533">
        <f t="shared" si="3"/>
        <v>0</v>
      </c>
      <c r="AI11" s="533"/>
      <c r="AJ11" s="533"/>
      <c r="AK11" s="533"/>
      <c r="AL11" s="417"/>
      <c r="AM11" s="417"/>
      <c r="AN11" s="417"/>
      <c r="AO11" s="417"/>
      <c r="AP11" s="417"/>
      <c r="AQ11" s="417"/>
      <c r="AR11" s="417"/>
      <c r="AS11" s="417"/>
      <c r="AT11" s="417"/>
      <c r="AU11" s="417"/>
    </row>
    <row r="12" spans="1:47" s="275" customFormat="1" ht="12.95" customHeight="1" x14ac:dyDescent="0.25">
      <c r="A12" s="1091" t="s">
        <v>11</v>
      </c>
      <c r="B12" s="1105"/>
      <c r="C12" s="1110" t="s">
        <v>1259</v>
      </c>
      <c r="D12" s="1111"/>
      <c r="E12" s="1111"/>
      <c r="F12" s="1111"/>
      <c r="G12" s="1111"/>
      <c r="H12" s="1111"/>
      <c r="I12" s="1111"/>
      <c r="J12" s="1111"/>
      <c r="K12" s="1112"/>
      <c r="L12" s="1131" t="s">
        <v>1082</v>
      </c>
      <c r="M12" s="1132"/>
      <c r="N12" s="1133"/>
      <c r="O12"/>
      <c r="P12" s="1094"/>
      <c r="Q12" s="1094"/>
      <c r="R12" s="1094"/>
      <c r="S12" s="1094"/>
      <c r="T12" s="1094"/>
      <c r="U12" s="1094"/>
      <c r="V12" s="541"/>
      <c r="W12" s="541"/>
      <c r="X12" s="541"/>
      <c r="Y12" s="562"/>
      <c r="Z12" s="541"/>
      <c r="AA12" s="541"/>
      <c r="AB12" s="541"/>
      <c r="AC12" s="563"/>
      <c r="AD12" s="543">
        <f t="shared" si="0"/>
        <v>0</v>
      </c>
      <c r="AE12" s="543">
        <v>10</v>
      </c>
      <c r="AF12" s="543">
        <f t="shared" si="1"/>
        <v>0</v>
      </c>
      <c r="AG12" s="543">
        <f t="shared" si="2"/>
        <v>0</v>
      </c>
      <c r="AH12" s="533">
        <f t="shared" si="3"/>
        <v>0</v>
      </c>
      <c r="AI12" s="543"/>
      <c r="AJ12" s="543"/>
      <c r="AK12" s="543"/>
      <c r="AL12" s="945"/>
      <c r="AM12" s="945"/>
      <c r="AN12" s="945"/>
      <c r="AO12" s="945"/>
      <c r="AP12" s="945"/>
      <c r="AQ12" s="945"/>
      <c r="AR12" s="945"/>
      <c r="AS12" s="945"/>
      <c r="AT12" s="945"/>
      <c r="AU12" s="945"/>
    </row>
    <row r="13" spans="1:47" s="275" customFormat="1" ht="12.95" customHeight="1" x14ac:dyDescent="0.25">
      <c r="A13" s="1091"/>
      <c r="B13" s="1105"/>
      <c r="C13" s="1113"/>
      <c r="D13" s="1114"/>
      <c r="E13" s="1114"/>
      <c r="F13" s="1114"/>
      <c r="G13" s="1114"/>
      <c r="H13" s="1114"/>
      <c r="I13" s="1114"/>
      <c r="J13" s="1114"/>
      <c r="K13" s="1115"/>
      <c r="L13" s="1134"/>
      <c r="M13" s="1135"/>
      <c r="N13" s="1136"/>
      <c r="O13" s="959"/>
      <c r="P13" s="955"/>
      <c r="Q13" s="955"/>
      <c r="R13" s="955"/>
      <c r="S13" s="955"/>
      <c r="T13" s="955"/>
      <c r="U13" s="955"/>
      <c r="V13" s="541"/>
      <c r="W13" s="541"/>
      <c r="X13" s="541"/>
      <c r="Y13" s="797"/>
      <c r="Z13" s="543"/>
      <c r="AA13" s="543"/>
      <c r="AB13" s="543"/>
      <c r="AC13" s="798"/>
      <c r="AD13" s="543">
        <f t="shared" si="0"/>
        <v>0</v>
      </c>
      <c r="AE13" s="543">
        <v>9</v>
      </c>
      <c r="AF13" s="543">
        <f t="shared" si="1"/>
        <v>0</v>
      </c>
      <c r="AG13" s="543">
        <f t="shared" ref="AG13" si="4">IF(AF13=0,AG14,AG14+1)</f>
        <v>0</v>
      </c>
      <c r="AH13" s="533">
        <f t="shared" si="3"/>
        <v>0</v>
      </c>
      <c r="AI13" s="543"/>
      <c r="AJ13" s="543"/>
      <c r="AK13" s="543"/>
      <c r="AL13" s="945"/>
      <c r="AM13" s="945"/>
      <c r="AN13" s="945"/>
      <c r="AO13" s="945"/>
      <c r="AP13" s="945"/>
      <c r="AQ13" s="945"/>
      <c r="AR13" s="945"/>
      <c r="AS13" s="945"/>
      <c r="AT13" s="945"/>
      <c r="AU13" s="945"/>
    </row>
    <row r="14" spans="1:47" s="275" customFormat="1" ht="14.25" customHeight="1" x14ac:dyDescent="0.25">
      <c r="A14" s="1091"/>
      <c r="B14" s="1105"/>
      <c r="C14" s="1125" t="s">
        <v>1775</v>
      </c>
      <c r="D14" s="1126"/>
      <c r="E14" s="1126"/>
      <c r="F14" s="1126"/>
      <c r="G14" s="1126"/>
      <c r="H14" s="1126"/>
      <c r="I14" s="1126"/>
      <c r="J14" s="1126"/>
      <c r="K14" s="1127"/>
      <c r="L14" s="1137"/>
      <c r="M14" s="1138"/>
      <c r="N14" s="1139"/>
      <c r="O14" s="959"/>
      <c r="P14" s="1014"/>
      <c r="Q14" s="1015"/>
      <c r="R14" s="1015"/>
      <c r="S14" s="1014"/>
      <c r="T14" s="1014"/>
      <c r="U14" s="1014"/>
      <c r="V14" s="1014"/>
      <c r="W14" s="1010"/>
      <c r="X14" s="1010"/>
      <c r="Y14" s="797"/>
      <c r="Z14" s="543"/>
      <c r="AA14" s="543"/>
      <c r="AB14" s="543"/>
      <c r="AC14" s="798"/>
      <c r="AD14" s="543">
        <f t="shared" si="0"/>
        <v>0</v>
      </c>
      <c r="AE14" s="543">
        <v>8</v>
      </c>
      <c r="AF14" s="543">
        <f t="shared" si="1"/>
        <v>0</v>
      </c>
      <c r="AG14" s="543">
        <f t="shared" ref="AG14:AG15" si="5">IF(AF14=0,AG15,AG15+1)</f>
        <v>0</v>
      </c>
      <c r="AH14" s="533">
        <f t="shared" si="3"/>
        <v>0</v>
      </c>
      <c r="AI14" s="543"/>
      <c r="AJ14" s="543"/>
      <c r="AK14" s="543"/>
      <c r="AL14" s="945"/>
      <c r="AM14" s="945"/>
      <c r="AN14" s="945"/>
      <c r="AO14" s="945"/>
      <c r="AP14" s="945"/>
      <c r="AQ14" s="945"/>
      <c r="AR14" s="945"/>
      <c r="AS14" s="945"/>
      <c r="AT14" s="945"/>
      <c r="AU14" s="945"/>
    </row>
    <row r="15" spans="1:47" s="275" customFormat="1" ht="15" customHeight="1" x14ac:dyDescent="0.25">
      <c r="A15" s="1091"/>
      <c r="B15" s="1092" t="s">
        <v>12</v>
      </c>
      <c r="C15" s="1106" t="s">
        <v>1830</v>
      </c>
      <c r="D15" s="1107"/>
      <c r="E15" s="1107"/>
      <c r="F15" s="1107"/>
      <c r="G15" s="1107"/>
      <c r="H15" s="1107"/>
      <c r="I15" s="1107"/>
      <c r="J15" s="1107"/>
      <c r="K15" s="1108"/>
      <c r="L15" s="1099">
        <v>867</v>
      </c>
      <c r="M15" s="1100"/>
      <c r="N15" s="1101"/>
      <c r="O15" s="959"/>
      <c r="P15" s="1015" t="s">
        <v>916</v>
      </c>
      <c r="Q15" s="1015" t="str">
        <f>IF(S15=0,"",COUNTIF(Q$12:Q12,"&gt;0")+1)</f>
        <v/>
      </c>
      <c r="R15" s="1015"/>
      <c r="S15" s="1015">
        <f>A15</f>
        <v>0</v>
      </c>
      <c r="T15" s="1015">
        <v>25</v>
      </c>
      <c r="U15" s="1015">
        <v>6</v>
      </c>
      <c r="V15" s="1014"/>
      <c r="W15" s="1010"/>
      <c r="X15" s="1010"/>
      <c r="Y15" s="797"/>
      <c r="Z15" s="543"/>
      <c r="AA15" s="543"/>
      <c r="AB15" s="543"/>
      <c r="AC15" s="798"/>
      <c r="AD15" s="543">
        <f t="shared" si="0"/>
        <v>0</v>
      </c>
      <c r="AE15" s="543">
        <v>7</v>
      </c>
      <c r="AF15" s="543">
        <f t="shared" si="1"/>
        <v>0</v>
      </c>
      <c r="AG15" s="543">
        <f t="shared" si="5"/>
        <v>0</v>
      </c>
      <c r="AH15" s="533">
        <f t="shared" si="3"/>
        <v>0</v>
      </c>
      <c r="AI15" s="543"/>
      <c r="AJ15" s="543"/>
      <c r="AK15" s="543"/>
      <c r="AL15" s="945"/>
      <c r="AM15" s="945"/>
      <c r="AN15" s="945"/>
      <c r="AO15" s="945"/>
      <c r="AP15" s="945"/>
      <c r="AQ15" s="945"/>
      <c r="AR15" s="945"/>
      <c r="AS15" s="945"/>
      <c r="AT15" s="945"/>
      <c r="AU15" s="945"/>
    </row>
    <row r="16" spans="1:47" s="275" customFormat="1" ht="15" customHeight="1" x14ac:dyDescent="0.25">
      <c r="A16" s="1091"/>
      <c r="B16" s="1092"/>
      <c r="C16" s="1106"/>
      <c r="D16" s="1107"/>
      <c r="E16" s="1107"/>
      <c r="F16" s="1107"/>
      <c r="G16" s="1107"/>
      <c r="H16" s="1107"/>
      <c r="I16" s="1107"/>
      <c r="J16" s="1107"/>
      <c r="K16" s="1108"/>
      <c r="L16" s="1102"/>
      <c r="M16" s="1103"/>
      <c r="N16" s="1104"/>
      <c r="O16" s="959"/>
      <c r="P16" s="1015"/>
      <c r="Q16" s="1015"/>
      <c r="R16" s="1015"/>
      <c r="S16" s="1015"/>
      <c r="T16" s="1015"/>
      <c r="U16" s="1015"/>
      <c r="V16" s="1014"/>
      <c r="W16" s="1010"/>
      <c r="X16" s="1010"/>
      <c r="Y16" s="797"/>
      <c r="Z16" s="543"/>
      <c r="AA16" s="543"/>
      <c r="AB16" s="543"/>
      <c r="AC16" s="798"/>
      <c r="AD16" s="543">
        <f t="shared" si="0"/>
        <v>0</v>
      </c>
      <c r="AE16" s="543">
        <v>6</v>
      </c>
      <c r="AF16" s="543">
        <f t="shared" si="1"/>
        <v>0</v>
      </c>
      <c r="AG16" s="543">
        <f t="shared" ref="AG16:AG21" si="6">IF(AF16=0,AG17,AG17+1)</f>
        <v>0</v>
      </c>
      <c r="AH16" s="533">
        <f t="shared" si="3"/>
        <v>0</v>
      </c>
      <c r="AI16" s="543"/>
      <c r="AJ16" s="543"/>
      <c r="AK16" s="543"/>
      <c r="AL16" s="945"/>
      <c r="AM16" s="945"/>
      <c r="AN16" s="945"/>
      <c r="AO16" s="945"/>
      <c r="AP16" s="945"/>
      <c r="AQ16" s="945"/>
      <c r="AR16" s="945"/>
      <c r="AS16" s="945"/>
      <c r="AT16" s="945"/>
      <c r="AU16" s="945"/>
    </row>
    <row r="17" spans="1:54" s="275" customFormat="1" ht="15" customHeight="1" x14ac:dyDescent="0.25">
      <c r="A17" s="1091"/>
      <c r="B17" s="1092" t="s">
        <v>12</v>
      </c>
      <c r="C17" s="1106" t="s">
        <v>1831</v>
      </c>
      <c r="D17" s="1107"/>
      <c r="E17" s="1107"/>
      <c r="F17" s="1107"/>
      <c r="G17" s="1107"/>
      <c r="H17" s="1107"/>
      <c r="I17" s="1107"/>
      <c r="J17" s="1107"/>
      <c r="K17" s="1108"/>
      <c r="L17" s="1099">
        <v>786</v>
      </c>
      <c r="M17" s="1100"/>
      <c r="N17" s="1101"/>
      <c r="O17" s="959"/>
      <c r="P17" s="1015" t="s">
        <v>916</v>
      </c>
      <c r="Q17" s="1015" t="str">
        <f>IF(S17=0,"",COUNTIF(Q$12:Q15,"&gt;0")+1)</f>
        <v/>
      </c>
      <c r="R17" s="1015"/>
      <c r="S17" s="1015">
        <f>A17</f>
        <v>0</v>
      </c>
      <c r="T17" s="1015">
        <v>30</v>
      </c>
      <c r="U17" s="1015">
        <v>6</v>
      </c>
      <c r="V17" s="1014"/>
      <c r="W17" s="1010"/>
      <c r="X17" s="1010"/>
      <c r="Y17" s="797"/>
      <c r="Z17" s="543"/>
      <c r="AA17" s="543"/>
      <c r="AB17" s="543"/>
      <c r="AC17" s="798"/>
      <c r="AD17" s="543">
        <f t="shared" si="0"/>
        <v>0</v>
      </c>
      <c r="AE17" s="543">
        <v>5</v>
      </c>
      <c r="AF17" s="543">
        <f t="shared" si="1"/>
        <v>0</v>
      </c>
      <c r="AG17" s="543">
        <f t="shared" si="6"/>
        <v>0</v>
      </c>
      <c r="AH17" s="533">
        <f t="shared" si="3"/>
        <v>0</v>
      </c>
      <c r="AI17" s="543"/>
      <c r="AJ17" s="543"/>
      <c r="AK17" s="543"/>
      <c r="AL17" s="945"/>
      <c r="AM17" s="945"/>
      <c r="AN17" s="945"/>
      <c r="AO17" s="945"/>
      <c r="AP17" s="945"/>
      <c r="AQ17" s="945"/>
      <c r="AR17" s="945"/>
      <c r="AS17" s="945"/>
      <c r="AT17" s="945"/>
      <c r="AU17" s="945"/>
    </row>
    <row r="18" spans="1:54" s="275" customFormat="1" ht="15" customHeight="1" x14ac:dyDescent="0.25">
      <c r="A18" s="1091"/>
      <c r="B18" s="1092"/>
      <c r="C18" s="1106"/>
      <c r="D18" s="1107"/>
      <c r="E18" s="1107"/>
      <c r="F18" s="1107"/>
      <c r="G18" s="1107"/>
      <c r="H18" s="1107"/>
      <c r="I18" s="1107"/>
      <c r="J18" s="1107"/>
      <c r="K18" s="1108"/>
      <c r="L18" s="1102"/>
      <c r="M18" s="1103"/>
      <c r="N18" s="1104"/>
      <c r="O18" s="959"/>
      <c r="P18" s="1015"/>
      <c r="Q18" s="1015"/>
      <c r="R18" s="1015"/>
      <c r="S18" s="1015"/>
      <c r="T18" s="1015"/>
      <c r="U18" s="1015"/>
      <c r="V18" s="1014"/>
      <c r="W18" s="1010"/>
      <c r="X18" s="1010"/>
      <c r="Y18" s="797"/>
      <c r="Z18" s="543"/>
      <c r="AA18" s="543"/>
      <c r="AB18" s="543"/>
      <c r="AC18" s="798"/>
      <c r="AD18" s="543">
        <f t="shared" si="0"/>
        <v>0</v>
      </c>
      <c r="AE18" s="543">
        <v>4</v>
      </c>
      <c r="AF18" s="543">
        <f t="shared" si="1"/>
        <v>0</v>
      </c>
      <c r="AG18" s="543">
        <f t="shared" si="6"/>
        <v>0</v>
      </c>
      <c r="AH18" s="533">
        <f t="shared" si="3"/>
        <v>0</v>
      </c>
      <c r="AI18" s="543"/>
      <c r="AJ18" s="543"/>
      <c r="AK18" s="543"/>
      <c r="AL18" s="945"/>
      <c r="AM18" s="945"/>
      <c r="AN18" s="945"/>
      <c r="AO18" s="945"/>
      <c r="AP18" s="945"/>
      <c r="AQ18" s="945"/>
      <c r="AR18" s="945"/>
      <c r="AS18" s="945"/>
      <c r="AT18" s="945"/>
      <c r="AU18" s="945"/>
    </row>
    <row r="19" spans="1:54" s="275" customFormat="1" ht="15" customHeight="1" x14ac:dyDescent="0.25">
      <c r="A19" s="1091"/>
      <c r="B19" s="1092" t="s">
        <v>12</v>
      </c>
      <c r="C19" s="1106" t="s">
        <v>1834</v>
      </c>
      <c r="D19" s="1107"/>
      <c r="E19" s="1107"/>
      <c r="F19" s="1107"/>
      <c r="G19" s="1107"/>
      <c r="H19" s="1107"/>
      <c r="I19" s="1107"/>
      <c r="J19" s="1107"/>
      <c r="K19" s="1108"/>
      <c r="L19" s="1099">
        <v>847</v>
      </c>
      <c r="M19" s="1100"/>
      <c r="N19" s="1101"/>
      <c r="O19" s="959"/>
      <c r="P19" s="1015" t="s">
        <v>916</v>
      </c>
      <c r="Q19" s="1015" t="str">
        <f>IF(S19=0,"",COUNTIF(Q$12:Q17,"&gt;0")+1)</f>
        <v/>
      </c>
      <c r="R19" s="1015"/>
      <c r="S19" s="1015">
        <f>A19</f>
        <v>0</v>
      </c>
      <c r="T19" s="1015">
        <v>30</v>
      </c>
      <c r="U19" s="1015">
        <v>6</v>
      </c>
      <c r="V19" s="1014"/>
      <c r="W19" s="1010"/>
      <c r="X19" s="1010"/>
      <c r="Y19" s="797"/>
      <c r="Z19" s="543"/>
      <c r="AA19" s="543"/>
      <c r="AB19" s="543"/>
      <c r="AC19" s="798"/>
      <c r="AD19" s="543">
        <f t="shared" si="0"/>
        <v>0</v>
      </c>
      <c r="AE19" s="543">
        <v>3</v>
      </c>
      <c r="AF19" s="543">
        <f t="shared" si="1"/>
        <v>0</v>
      </c>
      <c r="AG19" s="543">
        <f t="shared" si="6"/>
        <v>0</v>
      </c>
      <c r="AH19" s="533">
        <f t="shared" si="3"/>
        <v>0</v>
      </c>
      <c r="AI19" s="543"/>
      <c r="AJ19" s="543"/>
      <c r="AK19" s="543"/>
      <c r="AL19" s="945"/>
      <c r="AM19" s="945"/>
      <c r="AN19" s="945"/>
      <c r="AO19" s="945"/>
      <c r="AP19" s="945"/>
      <c r="AQ19" s="945"/>
      <c r="AR19" s="945"/>
      <c r="AS19" s="945"/>
      <c r="AT19" s="945"/>
      <c r="AU19" s="945"/>
    </row>
    <row r="20" spans="1:54" s="275" customFormat="1" ht="15" customHeight="1" x14ac:dyDescent="0.25">
      <c r="A20" s="1091"/>
      <c r="B20" s="1092"/>
      <c r="C20" s="1106"/>
      <c r="D20" s="1107"/>
      <c r="E20" s="1107"/>
      <c r="F20" s="1107"/>
      <c r="G20" s="1107"/>
      <c r="H20" s="1107"/>
      <c r="I20" s="1107"/>
      <c r="J20" s="1107"/>
      <c r="K20" s="1108"/>
      <c r="L20" s="1102"/>
      <c r="M20" s="1103"/>
      <c r="N20" s="1104"/>
      <c r="O20" s="959"/>
      <c r="P20" s="1015"/>
      <c r="Q20" s="1015"/>
      <c r="R20" s="1015"/>
      <c r="S20" s="1015"/>
      <c r="T20" s="1015"/>
      <c r="U20" s="1015"/>
      <c r="V20" s="1014"/>
      <c r="W20" s="1010"/>
      <c r="X20" s="1010"/>
      <c r="Y20" s="797"/>
      <c r="Z20" s="543"/>
      <c r="AA20" s="543"/>
      <c r="AB20" s="543"/>
      <c r="AC20" s="798"/>
      <c r="AD20" s="543">
        <f t="shared" si="0"/>
        <v>0</v>
      </c>
      <c r="AE20" s="543">
        <v>2</v>
      </c>
      <c r="AF20" s="543">
        <f t="shared" si="1"/>
        <v>0</v>
      </c>
      <c r="AG20" s="543">
        <f t="shared" si="6"/>
        <v>0</v>
      </c>
      <c r="AH20" s="533">
        <f t="shared" si="3"/>
        <v>0</v>
      </c>
      <c r="AI20" s="543"/>
      <c r="AJ20" s="543"/>
      <c r="AK20" s="543"/>
      <c r="AL20" s="945"/>
      <c r="AM20" s="945"/>
      <c r="AN20" s="945"/>
      <c r="AO20" s="945"/>
      <c r="AP20" s="945"/>
      <c r="AQ20" s="945"/>
      <c r="AR20" s="945"/>
      <c r="AS20" s="945"/>
      <c r="AT20" s="945"/>
      <c r="AU20" s="945"/>
      <c r="AV20" s="543"/>
      <c r="AW20" s="543"/>
      <c r="AX20" s="543"/>
      <c r="AY20" s="543"/>
    </row>
    <row r="21" spans="1:54" s="275" customFormat="1" ht="15" customHeight="1" x14ac:dyDescent="0.25">
      <c r="A21" s="1091"/>
      <c r="B21" s="1092" t="s">
        <v>12</v>
      </c>
      <c r="C21" s="1106" t="s">
        <v>1832</v>
      </c>
      <c r="D21" s="1107"/>
      <c r="E21" s="1107"/>
      <c r="F21" s="1107"/>
      <c r="G21" s="1107"/>
      <c r="H21" s="1107"/>
      <c r="I21" s="1107"/>
      <c r="J21" s="1107"/>
      <c r="K21" s="1108"/>
      <c r="L21" s="1099">
        <v>842</v>
      </c>
      <c r="M21" s="1100"/>
      <c r="N21" s="1101"/>
      <c r="O21" s="959"/>
      <c r="P21" s="1015" t="s">
        <v>916</v>
      </c>
      <c r="Q21" s="1015" t="str">
        <f>IF(S21=0,"",COUNTIF(Q$12:Q19,"&gt;0")+1)</f>
        <v/>
      </c>
      <c r="R21" s="1015"/>
      <c r="S21" s="1015">
        <f>A21</f>
        <v>0</v>
      </c>
      <c r="T21" s="1015">
        <v>30</v>
      </c>
      <c r="U21" s="1015">
        <v>6</v>
      </c>
      <c r="V21" s="1014"/>
      <c r="W21" s="1010"/>
      <c r="X21" s="1010"/>
      <c r="Y21" s="797"/>
      <c r="Z21" s="543"/>
      <c r="AA21" s="543"/>
      <c r="AB21" s="543"/>
      <c r="AC21" s="798"/>
      <c r="AD21" s="543">
        <f t="shared" si="0"/>
        <v>0</v>
      </c>
      <c r="AE21" s="543">
        <v>1</v>
      </c>
      <c r="AF21" s="543">
        <f t="shared" si="1"/>
        <v>0</v>
      </c>
      <c r="AG21" s="543">
        <f t="shared" si="6"/>
        <v>0</v>
      </c>
      <c r="AH21" s="533">
        <f t="shared" si="3"/>
        <v>0</v>
      </c>
      <c r="AI21" s="543"/>
      <c r="AJ21" s="543"/>
      <c r="AK21" s="543"/>
      <c r="AL21" s="945"/>
      <c r="AM21" s="945"/>
      <c r="AN21" s="945"/>
      <c r="AO21" s="945"/>
      <c r="AP21" s="945"/>
      <c r="AQ21" s="945"/>
      <c r="AR21" s="945"/>
      <c r="AS21" s="945"/>
      <c r="AT21" s="945"/>
      <c r="AU21" s="945"/>
      <c r="AV21" s="543"/>
      <c r="AW21" s="543"/>
      <c r="AX21" s="543"/>
      <c r="AY21" s="543"/>
    </row>
    <row r="22" spans="1:54" s="275" customFormat="1" ht="15" customHeight="1" x14ac:dyDescent="0.25">
      <c r="A22" s="1091"/>
      <c r="B22" s="1092"/>
      <c r="C22" s="1106"/>
      <c r="D22" s="1107"/>
      <c r="E22" s="1107"/>
      <c r="F22" s="1107"/>
      <c r="G22" s="1107"/>
      <c r="H22" s="1107"/>
      <c r="I22" s="1107"/>
      <c r="J22" s="1107"/>
      <c r="K22" s="1108"/>
      <c r="L22" s="1102"/>
      <c r="M22" s="1103"/>
      <c r="N22" s="1104"/>
      <c r="O22" s="959"/>
      <c r="P22" s="1015"/>
      <c r="Q22" s="1015"/>
      <c r="R22" s="1015"/>
      <c r="S22" s="1014"/>
      <c r="T22" s="1015"/>
      <c r="U22" s="1015"/>
      <c r="V22" s="1014"/>
      <c r="W22" s="1010"/>
      <c r="X22" s="1010"/>
      <c r="Y22" s="797"/>
      <c r="Z22" s="543"/>
      <c r="AA22" s="543"/>
      <c r="AB22" s="543"/>
      <c r="AC22" s="798"/>
      <c r="AD22" s="543">
        <f>_xlfn.XLOOKUP(AG22,AF$45:AF$52,AH$45:AH$52)</f>
        <v>0</v>
      </c>
      <c r="AE22" s="543"/>
      <c r="AF22" s="543"/>
      <c r="AG22" s="543">
        <v>0</v>
      </c>
      <c r="AH22" s="533">
        <f t="shared" si="3"/>
        <v>7</v>
      </c>
      <c r="AI22" s="543">
        <f>'New order'!AS1</f>
        <v>160</v>
      </c>
      <c r="AJ22" s="543" t="s">
        <v>1176</v>
      </c>
      <c r="AK22" s="543"/>
      <c r="AL22" s="945"/>
      <c r="AM22" s="945"/>
      <c r="AN22" s="945"/>
      <c r="AO22" s="945"/>
      <c r="AP22" s="945"/>
      <c r="AQ22" s="945"/>
      <c r="AR22" s="945"/>
      <c r="AS22" s="945"/>
      <c r="AT22" s="945"/>
      <c r="AU22" s="945"/>
      <c r="AV22" s="543"/>
      <c r="AW22" s="543"/>
      <c r="AX22" s="543"/>
      <c r="AY22" s="543"/>
    </row>
    <row r="23" spans="1:54" s="275" customFormat="1" ht="15" customHeight="1" x14ac:dyDescent="0.25">
      <c r="A23" s="1171"/>
      <c r="B23" s="1169" t="s">
        <v>12</v>
      </c>
      <c r="C23" s="1161" t="s">
        <v>1833</v>
      </c>
      <c r="D23" s="1161"/>
      <c r="E23" s="1161"/>
      <c r="F23" s="1161"/>
      <c r="G23" s="1161"/>
      <c r="H23" s="1161"/>
      <c r="I23" s="1161"/>
      <c r="J23" s="1161"/>
      <c r="K23" s="1161"/>
      <c r="L23" s="1163">
        <v>684</v>
      </c>
      <c r="M23" s="1164"/>
      <c r="N23" s="1165"/>
      <c r="O23" s="959"/>
      <c r="P23" s="1015" t="s">
        <v>916</v>
      </c>
      <c r="Q23" s="1015" t="str">
        <f>IF(S23=0,"",COUNTIF(Q$12:Q21,"&gt;0")+1)</f>
        <v/>
      </c>
      <c r="R23" s="1015"/>
      <c r="S23" s="1015">
        <f>A23</f>
        <v>0</v>
      </c>
      <c r="T23" s="1015">
        <v>30</v>
      </c>
      <c r="U23" s="1015">
        <v>6</v>
      </c>
      <c r="V23" s="1014"/>
      <c r="W23" s="1010"/>
      <c r="X23" s="1010"/>
      <c r="Y23" s="797"/>
      <c r="Z23" s="543"/>
      <c r="AA23" s="543"/>
      <c r="AB23" s="543"/>
      <c r="AC23" s="798"/>
      <c r="AD23" s="543">
        <f>_xlfn.XLOOKUP(AG23,AF$45:AF$52,AH$45:AH$52)</f>
        <v>0</v>
      </c>
      <c r="AE23" s="543"/>
      <c r="AF23" s="543"/>
      <c r="AG23" s="543">
        <v>0</v>
      </c>
      <c r="AH23" s="533"/>
      <c r="AI23" s="543"/>
      <c r="AJ23" s="543"/>
      <c r="AK23" s="543"/>
      <c r="AL23" s="543"/>
      <c r="AM23" s="543"/>
      <c r="AN23" s="543"/>
      <c r="AO23" s="543"/>
      <c r="AP23" s="543"/>
      <c r="AQ23" s="543"/>
      <c r="AR23" s="543"/>
      <c r="AS23" s="543"/>
      <c r="AT23" s="543"/>
      <c r="AU23" s="543"/>
      <c r="AV23" s="543"/>
      <c r="AW23" s="543"/>
      <c r="AX23" s="543"/>
      <c r="AY23" s="543"/>
    </row>
    <row r="24" spans="1:54" s="275" customFormat="1" ht="15" customHeight="1" thickBot="1" x14ac:dyDescent="0.3">
      <c r="A24" s="1172"/>
      <c r="B24" s="1170"/>
      <c r="C24" s="1162"/>
      <c r="D24" s="1162"/>
      <c r="E24" s="1162"/>
      <c r="F24" s="1162"/>
      <c r="G24" s="1162"/>
      <c r="H24" s="1162"/>
      <c r="I24" s="1162"/>
      <c r="J24" s="1162"/>
      <c r="K24" s="1162"/>
      <c r="L24" s="1166"/>
      <c r="M24" s="1167"/>
      <c r="N24" s="1168"/>
      <c r="O24" s="959"/>
      <c r="P24" s="1015"/>
      <c r="Q24" s="1015" t="str">
        <f>IF(S24=0,"",COUNTIF(Q$12:Q22,"&gt;0")+1)</f>
        <v/>
      </c>
      <c r="R24" s="1015"/>
      <c r="S24" s="1015"/>
      <c r="T24" s="1015"/>
      <c r="U24" s="1015"/>
      <c r="V24" s="1014"/>
      <c r="W24" s="1010"/>
      <c r="X24" s="1010"/>
      <c r="Y24" s="799"/>
      <c r="Z24" s="800"/>
      <c r="AA24" s="800"/>
      <c r="AB24" s="800"/>
      <c r="AC24" s="801"/>
      <c r="AD24" s="543">
        <f>_xlfn.XLOOKUP(AG24,AF$45:AF$52,AH$45:AH$52)</f>
        <v>0</v>
      </c>
      <c r="AE24" s="543"/>
      <c r="AF24" s="543"/>
      <c r="AG24" s="543">
        <v>0</v>
      </c>
      <c r="AH24" s="533">
        <f>COUNTIF(AL$46:AL$52,AE24)</f>
        <v>7</v>
      </c>
      <c r="AI24" s="543">
        <f>ROUNDDOWN(AI22/25,0)</f>
        <v>6</v>
      </c>
      <c r="AJ24" s="533" t="s">
        <v>1179</v>
      </c>
      <c r="AK24" s="543"/>
      <c r="AL24" s="543"/>
      <c r="AM24" s="543"/>
      <c r="AN24" s="543"/>
      <c r="AO24" s="543"/>
      <c r="AP24" s="543"/>
      <c r="AQ24" s="543"/>
      <c r="AR24" s="543"/>
      <c r="AS24" s="543"/>
      <c r="AT24" s="543"/>
      <c r="AU24" s="543"/>
      <c r="AV24" s="543"/>
      <c r="AW24" s="543"/>
      <c r="AX24" s="543"/>
      <c r="AY24" s="543"/>
    </row>
    <row r="25" spans="1:54" s="275" customFormat="1" ht="15" customHeight="1" x14ac:dyDescent="0.25">
      <c r="A25" s="1171"/>
      <c r="B25" s="1169" t="s">
        <v>12</v>
      </c>
      <c r="C25" s="1176" t="s">
        <v>1868</v>
      </c>
      <c r="D25" s="1161"/>
      <c r="E25" s="1161"/>
      <c r="F25" s="1161"/>
      <c r="G25" s="1161"/>
      <c r="H25" s="1161"/>
      <c r="I25" s="1161"/>
      <c r="J25" s="1161"/>
      <c r="K25" s="1177"/>
      <c r="L25" s="1163">
        <v>820</v>
      </c>
      <c r="M25" s="1164"/>
      <c r="N25" s="1165"/>
      <c r="O25" s="959"/>
      <c r="P25" s="1015" t="s">
        <v>916</v>
      </c>
      <c r="Q25" s="1015" t="str">
        <f>IF(S25=0,"",COUNTIF(Q$12:Q23,"&gt;0")+1)</f>
        <v/>
      </c>
      <c r="R25" s="1015"/>
      <c r="S25" s="1015">
        <f>A25</f>
        <v>0</v>
      </c>
      <c r="T25" s="1015">
        <v>30</v>
      </c>
      <c r="U25" s="1015">
        <v>6</v>
      </c>
      <c r="V25" s="1014"/>
      <c r="W25" s="1010"/>
      <c r="X25" s="1010"/>
      <c r="Y25" s="543"/>
      <c r="Z25" s="543"/>
      <c r="AA25" s="543"/>
      <c r="AB25" s="543"/>
      <c r="AC25" s="543"/>
      <c r="AD25" s="543"/>
      <c r="AE25" s="543"/>
      <c r="AF25" s="543"/>
      <c r="AG25" s="543"/>
      <c r="AH25" s="543"/>
      <c r="AI25" s="533">
        <f>'New order'!BN1</f>
        <v>1</v>
      </c>
      <c r="AJ25" s="533" t="s">
        <v>1180</v>
      </c>
      <c r="AK25" s="543"/>
      <c r="AL25" s="543"/>
      <c r="AM25" s="543"/>
      <c r="AN25" s="543"/>
      <c r="AO25" s="543"/>
      <c r="AP25" s="543"/>
      <c r="AQ25" s="543"/>
      <c r="AR25" s="543"/>
      <c r="AS25" s="543"/>
      <c r="AT25" s="543"/>
      <c r="AU25" s="543"/>
      <c r="AV25" s="543"/>
      <c r="AW25" s="543"/>
      <c r="AX25" s="543"/>
      <c r="AY25" s="543"/>
    </row>
    <row r="26" spans="1:54" s="275" customFormat="1" x14ac:dyDescent="0.25">
      <c r="A26" s="1172"/>
      <c r="B26" s="1170"/>
      <c r="C26" s="1178"/>
      <c r="D26" s="1162"/>
      <c r="E26" s="1162"/>
      <c r="F26" s="1162"/>
      <c r="G26" s="1162"/>
      <c r="H26" s="1162"/>
      <c r="I26" s="1162"/>
      <c r="J26" s="1162"/>
      <c r="K26" s="1179"/>
      <c r="L26" s="1166"/>
      <c r="M26" s="1167"/>
      <c r="N26" s="1168"/>
      <c r="O26" s="959"/>
      <c r="P26" s="543"/>
      <c r="Q26" s="533" t="str">
        <f>IF(S26=0,"",COUNTIF(Q$12:Q25,"&gt;0")+1)</f>
        <v/>
      </c>
      <c r="R26" s="533"/>
      <c r="S26" s="543"/>
      <c r="T26" s="543"/>
      <c r="U26" s="543"/>
      <c r="V26" s="543"/>
      <c r="W26" s="541"/>
      <c r="X26" s="541"/>
      <c r="Y26" s="960"/>
      <c r="Z26" s="960"/>
      <c r="AA26" s="960"/>
      <c r="AB26" s="960"/>
      <c r="AC26" s="960"/>
      <c r="AD26" s="960"/>
      <c r="AE26" s="960"/>
      <c r="AF26" s="960"/>
      <c r="AG26" s="960"/>
      <c r="AH26" s="960"/>
      <c r="AI26" s="946">
        <f>_xlfn.MINIFS(AO30:AW30,AO30:AW30,"&gt;0")</f>
        <v>0</v>
      </c>
      <c r="AJ26" s="533" t="s">
        <v>1181</v>
      </c>
      <c r="AK26" s="543"/>
      <c r="AL26" s="543"/>
      <c r="AM26" s="543"/>
      <c r="AN26" s="543"/>
      <c r="AO26" s="543"/>
      <c r="AP26" s="543"/>
      <c r="AQ26" s="543"/>
      <c r="AR26" s="543"/>
      <c r="AS26" s="543"/>
      <c r="AT26" s="543"/>
      <c r="AU26" s="543"/>
      <c r="AV26" s="543"/>
      <c r="AW26" s="543"/>
      <c r="AX26" s="543"/>
      <c r="AY26" s="543"/>
    </row>
    <row r="27" spans="1:54" s="275" customFormat="1" ht="15.75" customHeight="1" thickBot="1" x14ac:dyDescent="0.3">
      <c r="A27" s="965"/>
      <c r="B27" s="965"/>
      <c r="C27" s="966"/>
      <c r="D27" s="966"/>
      <c r="E27" s="966"/>
      <c r="F27" s="966"/>
      <c r="G27" s="966"/>
      <c r="H27" s="966"/>
      <c r="I27" s="966"/>
      <c r="J27" s="966"/>
      <c r="K27" s="966"/>
      <c r="L27" s="964"/>
      <c r="M27" s="964"/>
      <c r="N27" s="964"/>
      <c r="O27"/>
      <c r="P27" s="543"/>
      <c r="Q27" s="533"/>
      <c r="R27" s="533"/>
      <c r="S27" s="543"/>
      <c r="T27" s="543"/>
      <c r="U27" s="543"/>
      <c r="V27" s="543"/>
      <c r="W27" s="960"/>
      <c r="X27" s="960"/>
      <c r="Y27" s="962" t="str">
        <f>"Your Order is "&amp;AI25&amp;" Trolley"&amp;IF(AM44&gt;1,"s","")</f>
        <v>Your Order is 1 Trolley</v>
      </c>
      <c r="Z27" s="960"/>
      <c r="AA27" s="960"/>
      <c r="AB27" s="960"/>
      <c r="AC27" s="960"/>
      <c r="AD27" s="960"/>
      <c r="AE27" s="960"/>
      <c r="AF27" s="960"/>
      <c r="AG27" s="960"/>
      <c r="AH27" s="960"/>
      <c r="AI27" s="946"/>
      <c r="AJ27" s="533"/>
      <c r="AK27" s="543"/>
      <c r="AL27" s="543"/>
      <c r="AM27" s="543"/>
      <c r="AN27" s="543"/>
      <c r="AO27" s="543"/>
      <c r="AP27" s="543"/>
      <c r="AQ27" s="543"/>
      <c r="AR27" s="543"/>
      <c r="AS27" s="543"/>
      <c r="AT27" s="543"/>
      <c r="AU27" s="543"/>
      <c r="AV27" s="543"/>
      <c r="AW27" s="543"/>
      <c r="AX27" s="543"/>
      <c r="AY27" s="543"/>
    </row>
    <row r="28" spans="1:54" s="275" customFormat="1" ht="37.5" hidden="1" customHeight="1" x14ac:dyDescent="0.25">
      <c r="A28" s="573"/>
      <c r="B28" s="583" t="s">
        <v>12</v>
      </c>
      <c r="C28" s="1128" t="s">
        <v>1270</v>
      </c>
      <c r="D28" s="1129"/>
      <c r="E28" s="1129"/>
      <c r="F28" s="1129"/>
      <c r="G28" s="1129"/>
      <c r="H28" s="1129"/>
      <c r="I28" s="1129"/>
      <c r="J28" s="1129"/>
      <c r="K28" s="1129"/>
      <c r="L28" s="1129"/>
      <c r="M28" s="1129"/>
      <c r="N28" s="1130"/>
      <c r="O28" s="543"/>
      <c r="P28" s="960" t="s">
        <v>976</v>
      </c>
      <c r="Q28" s="961"/>
      <c r="R28" s="961"/>
      <c r="S28" s="961">
        <f t="shared" ref="S28:S41" si="7">A28</f>
        <v>0</v>
      </c>
      <c r="T28" s="960">
        <v>30</v>
      </c>
      <c r="U28" s="960">
        <v>1</v>
      </c>
      <c r="V28" s="960"/>
      <c r="W28" s="960"/>
      <c r="X28" s="960"/>
      <c r="Y28" s="960"/>
      <c r="Z28" s="960"/>
      <c r="AA28" s="960"/>
      <c r="AB28" s="960"/>
      <c r="AC28" s="960"/>
      <c r="AD28" s="960"/>
      <c r="AE28" s="960"/>
      <c r="AF28" s="960"/>
      <c r="AG28" s="960"/>
      <c r="AH28" s="960"/>
      <c r="AI28" s="543"/>
      <c r="AJ28" s="543"/>
      <c r="AK28" s="543"/>
      <c r="AL28" s="543"/>
      <c r="AM28" s="543"/>
      <c r="AN28" s="543"/>
      <c r="AO28" s="543"/>
      <c r="AP28" s="543"/>
      <c r="AQ28" s="543"/>
      <c r="AR28" s="543"/>
      <c r="AS28" s="543"/>
      <c r="AT28" s="543"/>
      <c r="AU28" s="543"/>
      <c r="AV28" s="543"/>
      <c r="AW28" s="543"/>
      <c r="AX28" s="543"/>
      <c r="AY28" s="543"/>
      <c r="AZ28" s="541"/>
      <c r="BA28" s="541"/>
      <c r="BB28" s="541"/>
    </row>
    <row r="29" spans="1:54" s="275" customFormat="1" ht="37.5" hidden="1" customHeight="1" x14ac:dyDescent="0.25">
      <c r="A29" s="574"/>
      <c r="B29" s="584" t="s">
        <v>12</v>
      </c>
      <c r="C29" s="1076" t="s">
        <v>1271</v>
      </c>
      <c r="D29" s="1077"/>
      <c r="E29" s="1077"/>
      <c r="F29" s="1077"/>
      <c r="G29" s="1077"/>
      <c r="H29" s="1077"/>
      <c r="I29" s="1077"/>
      <c r="J29" s="1077"/>
      <c r="K29" s="1077"/>
      <c r="L29" s="1077"/>
      <c r="M29" s="1077"/>
      <c r="N29" s="1078"/>
      <c r="O29" s="543"/>
      <c r="P29" s="960" t="s">
        <v>976</v>
      </c>
      <c r="Q29" s="961"/>
      <c r="R29" s="961"/>
      <c r="S29" s="961">
        <f t="shared" si="7"/>
        <v>0</v>
      </c>
      <c r="T29" s="960">
        <v>30</v>
      </c>
      <c r="U29" s="960">
        <v>1</v>
      </c>
      <c r="V29" s="960"/>
      <c r="W29" s="960"/>
      <c r="X29" s="960"/>
      <c r="Y29" s="960"/>
      <c r="Z29" s="960"/>
      <c r="AA29" s="960"/>
      <c r="AB29" s="960"/>
      <c r="AC29" s="960"/>
      <c r="AD29" s="960"/>
      <c r="AE29" s="960"/>
      <c r="AF29" s="960"/>
      <c r="AG29" s="960"/>
      <c r="AH29" s="960"/>
      <c r="AI29" s="543"/>
      <c r="AJ29" s="543"/>
      <c r="AK29" s="543"/>
      <c r="AL29" s="543"/>
      <c r="AM29" s="543"/>
      <c r="AN29" s="543"/>
      <c r="AO29" s="543"/>
      <c r="AP29" s="543"/>
      <c r="AQ29" s="543"/>
      <c r="AR29" s="543"/>
      <c r="AS29" s="543"/>
      <c r="AT29" s="543"/>
      <c r="AU29" s="543"/>
      <c r="AV29" s="543"/>
      <c r="AW29" s="543"/>
      <c r="AX29" s="543"/>
      <c r="AY29" s="543"/>
      <c r="AZ29" s="541"/>
      <c r="BA29" s="541"/>
      <c r="BB29" s="541"/>
    </row>
    <row r="30" spans="1:54" s="275" customFormat="1" ht="37.5" hidden="1" customHeight="1" x14ac:dyDescent="0.25">
      <c r="A30" s="574"/>
      <c r="B30" s="584" t="s">
        <v>12</v>
      </c>
      <c r="C30" s="1120" t="s">
        <v>1272</v>
      </c>
      <c r="D30" s="1121"/>
      <c r="E30" s="1121"/>
      <c r="F30" s="1121"/>
      <c r="G30" s="1121"/>
      <c r="H30" s="1121"/>
      <c r="I30" s="1121"/>
      <c r="J30" s="1121"/>
      <c r="K30" s="1121"/>
      <c r="L30" s="1121"/>
      <c r="M30" s="1121"/>
      <c r="N30" s="1122"/>
      <c r="O30" s="543" t="s">
        <v>1083</v>
      </c>
      <c r="P30" s="960" t="s">
        <v>976</v>
      </c>
      <c r="Q30" s="961"/>
      <c r="R30" s="961"/>
      <c r="S30" s="961">
        <f t="shared" si="7"/>
        <v>0</v>
      </c>
      <c r="T30" s="960">
        <v>30</v>
      </c>
      <c r="U30" s="960">
        <v>1</v>
      </c>
      <c r="V30" s="960"/>
      <c r="W30" s="960"/>
      <c r="X30" s="960"/>
      <c r="Z30" s="960"/>
      <c r="AA30" s="960"/>
      <c r="AB30" s="960"/>
      <c r="AC30" s="960"/>
      <c r="AD30" s="960"/>
      <c r="AE30" s="960"/>
      <c r="AF30" s="960"/>
      <c r="AG30" s="960"/>
      <c r="AH30" s="960"/>
      <c r="AI30" s="543"/>
      <c r="AJ30" s="543"/>
      <c r="AK30" s="543"/>
      <c r="AL30" s="543"/>
      <c r="AM30" s="543"/>
      <c r="AN30" s="543"/>
      <c r="AO30" s="543"/>
      <c r="AP30" s="543"/>
      <c r="AQ30" s="543"/>
      <c r="AR30" s="543"/>
      <c r="AS30" s="543"/>
      <c r="AT30" s="543"/>
      <c r="AU30" s="543"/>
      <c r="AV30" s="543"/>
      <c r="AW30" s="543">
        <f>_xlfn.MINIFS(AW32:AW39,AW32:AW39,"&gt;0")</f>
        <v>0</v>
      </c>
      <c r="AX30" s="543"/>
      <c r="AY30" s="543"/>
      <c r="AZ30" s="541"/>
      <c r="BA30" s="541"/>
      <c r="BB30" s="541"/>
    </row>
    <row r="31" spans="1:54" s="275" customFormat="1" ht="43.5" hidden="1" customHeight="1" x14ac:dyDescent="0.25">
      <c r="A31" s="574"/>
      <c r="B31" s="584" t="s">
        <v>12</v>
      </c>
      <c r="C31" s="1082" t="s">
        <v>1273</v>
      </c>
      <c r="D31" s="1083"/>
      <c r="E31" s="1083"/>
      <c r="F31" s="1083"/>
      <c r="G31" s="1083"/>
      <c r="H31" s="1083"/>
      <c r="I31" s="1083"/>
      <c r="J31" s="1083"/>
      <c r="K31" s="1083"/>
      <c r="L31" s="1083"/>
      <c r="M31" s="1083"/>
      <c r="N31" s="1084"/>
      <c r="O31" s="543"/>
      <c r="P31" s="960" t="s">
        <v>976</v>
      </c>
      <c r="Q31" s="961"/>
      <c r="R31" s="961"/>
      <c r="S31" s="961">
        <f t="shared" si="7"/>
        <v>0</v>
      </c>
      <c r="T31" s="960">
        <v>30</v>
      </c>
      <c r="U31" s="960">
        <v>1</v>
      </c>
      <c r="V31" s="960"/>
      <c r="W31" s="960"/>
      <c r="X31" s="960"/>
      <c r="Y31" s="960"/>
      <c r="Z31" s="960"/>
      <c r="AA31" s="960"/>
      <c r="AB31" s="960"/>
      <c r="AC31" s="960"/>
      <c r="AD31" s="960"/>
      <c r="AE31" s="960"/>
      <c r="AF31" s="960"/>
      <c r="AG31" s="960"/>
      <c r="AH31" s="960"/>
      <c r="AI31" s="543"/>
      <c r="AJ31" s="543"/>
      <c r="AK31" s="543"/>
      <c r="AL31" s="543"/>
      <c r="AM31" s="543"/>
      <c r="AN31" s="543"/>
      <c r="AO31" s="543"/>
      <c r="AP31" s="543"/>
      <c r="AQ31" s="543"/>
      <c r="AR31" s="543"/>
      <c r="AS31" s="543"/>
      <c r="AT31" s="543"/>
      <c r="AU31" s="543"/>
      <c r="AV31" s="1075" t="s">
        <v>1135</v>
      </c>
      <c r="AW31" s="1075"/>
      <c r="AX31" s="543"/>
      <c r="AY31" s="543"/>
      <c r="AZ31" s="541"/>
      <c r="BA31" s="541"/>
      <c r="BB31" s="541"/>
    </row>
    <row r="32" spans="1:54" s="275" customFormat="1" ht="30" hidden="1" customHeight="1" x14ac:dyDescent="0.25">
      <c r="A32" s="574"/>
      <c r="B32" s="584" t="s">
        <v>12</v>
      </c>
      <c r="C32" s="1079" t="s">
        <v>1274</v>
      </c>
      <c r="D32" s="1080"/>
      <c r="E32" s="1080"/>
      <c r="F32" s="1080"/>
      <c r="G32" s="1080"/>
      <c r="H32" s="1080"/>
      <c r="I32" s="1080"/>
      <c r="J32" s="1080"/>
      <c r="K32" s="1080"/>
      <c r="L32" s="1080"/>
      <c r="M32" s="1080"/>
      <c r="N32" s="1081"/>
      <c r="O32" s="543"/>
      <c r="P32" s="960" t="s">
        <v>976</v>
      </c>
      <c r="Q32" s="961"/>
      <c r="R32" s="961"/>
      <c r="S32" s="961">
        <f t="shared" si="7"/>
        <v>0</v>
      </c>
      <c r="T32" s="960">
        <v>30</v>
      </c>
      <c r="U32" s="960">
        <v>1</v>
      </c>
      <c r="V32" s="960"/>
      <c r="W32" s="960"/>
      <c r="X32" s="960"/>
      <c r="Y32" s="960"/>
      <c r="Z32" s="960"/>
      <c r="AA32" s="960"/>
      <c r="AB32" s="960"/>
      <c r="AC32" s="960"/>
      <c r="AD32" s="960"/>
      <c r="AE32" s="960"/>
      <c r="AF32" s="960"/>
      <c r="AG32" s="960"/>
      <c r="AH32" s="960"/>
      <c r="AI32" s="543"/>
      <c r="AJ32" s="543"/>
      <c r="AK32" s="543"/>
      <c r="AL32" s="543"/>
      <c r="AM32" s="543"/>
      <c r="AN32" s="543"/>
      <c r="AO32" s="543"/>
      <c r="AP32" s="543"/>
      <c r="AQ32" s="543"/>
      <c r="AR32" s="543"/>
      <c r="AS32" s="543"/>
      <c r="AT32" s="543"/>
      <c r="AU32" s="543"/>
      <c r="AV32" s="543">
        <f>'New order'!BL41</f>
        <v>0</v>
      </c>
      <c r="AW32" s="558">
        <f>'New order'!BN41</f>
        <v>0</v>
      </c>
      <c r="AX32" s="543"/>
      <c r="AY32" s="543"/>
      <c r="AZ32" s="541"/>
      <c r="BA32" s="541"/>
      <c r="BB32" s="541"/>
    </row>
    <row r="33" spans="1:54" s="275" customFormat="1" ht="42" hidden="1" customHeight="1" x14ac:dyDescent="0.25">
      <c r="A33" s="574"/>
      <c r="B33" s="585" t="s">
        <v>12</v>
      </c>
      <c r="C33" s="1076" t="s">
        <v>1263</v>
      </c>
      <c r="D33" s="1077"/>
      <c r="E33" s="1077"/>
      <c r="F33" s="1077"/>
      <c r="G33" s="1077"/>
      <c r="H33" s="1077"/>
      <c r="I33" s="1077"/>
      <c r="J33" s="1077"/>
      <c r="K33" s="1077"/>
      <c r="L33" s="1077"/>
      <c r="M33" s="1077"/>
      <c r="N33" s="1078"/>
      <c r="O33" s="543"/>
      <c r="P33" s="960" t="s">
        <v>976</v>
      </c>
      <c r="Q33" s="961"/>
      <c r="R33" s="961"/>
      <c r="S33" s="961">
        <f t="shared" si="7"/>
        <v>0</v>
      </c>
      <c r="T33" s="960">
        <v>30</v>
      </c>
      <c r="U33" s="960">
        <v>1</v>
      </c>
      <c r="V33" s="960"/>
      <c r="W33" s="960"/>
      <c r="X33" s="960"/>
      <c r="Y33" s="960"/>
      <c r="Z33" s="960"/>
      <c r="AA33" s="960"/>
      <c r="AB33" s="960"/>
      <c r="AC33" s="960"/>
      <c r="AD33" s="960"/>
      <c r="AE33" s="960"/>
      <c r="AF33" s="960"/>
      <c r="AG33" s="960"/>
      <c r="AH33" s="960"/>
      <c r="AI33" s="543"/>
      <c r="AJ33" s="543"/>
      <c r="AK33" s="543"/>
      <c r="AL33" s="543"/>
      <c r="AM33" s="543"/>
      <c r="AN33" s="543"/>
      <c r="AO33" s="543"/>
      <c r="AP33" s="543"/>
      <c r="AQ33" s="543"/>
      <c r="AR33" s="543"/>
      <c r="AS33" s="543"/>
      <c r="AT33" s="543"/>
      <c r="AU33" s="543"/>
      <c r="AV33" s="543">
        <f>'New order'!BL42</f>
        <v>0</v>
      </c>
      <c r="AW33" s="558">
        <f>'New order'!BN42</f>
        <v>0</v>
      </c>
      <c r="AX33" s="543"/>
      <c r="AY33" s="543"/>
      <c r="AZ33" s="541"/>
      <c r="BA33" s="541"/>
      <c r="BB33" s="541"/>
    </row>
    <row r="34" spans="1:54" s="275" customFormat="1" ht="30" hidden="1" customHeight="1" x14ac:dyDescent="0.25">
      <c r="A34" s="574"/>
      <c r="B34" s="585" t="s">
        <v>12</v>
      </c>
      <c r="C34" s="1076" t="s">
        <v>1267</v>
      </c>
      <c r="D34" s="1077"/>
      <c r="E34" s="1077"/>
      <c r="F34" s="1077"/>
      <c r="G34" s="1077"/>
      <c r="H34" s="1077"/>
      <c r="I34" s="1077"/>
      <c r="J34" s="1077"/>
      <c r="K34" s="1077"/>
      <c r="L34" s="1077"/>
      <c r="M34" s="1077"/>
      <c r="N34" s="1078"/>
      <c r="O34" s="543"/>
      <c r="P34" s="960" t="s">
        <v>976</v>
      </c>
      <c r="Q34" s="961"/>
      <c r="R34" s="961"/>
      <c r="S34" s="961">
        <f t="shared" si="7"/>
        <v>0</v>
      </c>
      <c r="T34" s="960">
        <v>30</v>
      </c>
      <c r="U34" s="960">
        <v>1</v>
      </c>
      <c r="V34" s="960"/>
      <c r="W34" s="960"/>
      <c r="X34" s="960"/>
      <c r="Y34" s="960"/>
      <c r="Z34" s="960"/>
      <c r="AA34" s="960"/>
      <c r="AB34" s="960"/>
      <c r="AC34" s="960"/>
      <c r="AD34" s="960"/>
      <c r="AE34" s="960"/>
      <c r="AF34" s="960"/>
      <c r="AG34" s="960"/>
      <c r="AH34" s="960"/>
      <c r="AI34" s="543"/>
      <c r="AJ34" s="543"/>
      <c r="AK34" s="543"/>
      <c r="AL34" s="543"/>
      <c r="AM34" s="543"/>
      <c r="AN34" s="543"/>
      <c r="AO34" s="543"/>
      <c r="AP34" s="543"/>
      <c r="AQ34" s="543"/>
      <c r="AR34" s="543"/>
      <c r="AS34" s="543"/>
      <c r="AT34" s="543"/>
      <c r="AU34" s="543"/>
      <c r="AV34" s="543">
        <f>'New order'!BL43</f>
        <v>0</v>
      </c>
      <c r="AW34" s="558">
        <f>'New order'!BN43</f>
        <v>0</v>
      </c>
      <c r="AX34" s="543"/>
      <c r="AY34" s="543"/>
      <c r="AZ34" s="541"/>
      <c r="BA34" s="541"/>
      <c r="BB34" s="541"/>
    </row>
    <row r="35" spans="1:54" s="275" customFormat="1" ht="30" hidden="1" customHeight="1" x14ac:dyDescent="0.25">
      <c r="A35" s="574"/>
      <c r="B35" s="585" t="s">
        <v>12</v>
      </c>
      <c r="C35" s="1076" t="s">
        <v>1264</v>
      </c>
      <c r="D35" s="1077"/>
      <c r="E35" s="1077"/>
      <c r="F35" s="1077"/>
      <c r="G35" s="1077"/>
      <c r="H35" s="1077"/>
      <c r="I35" s="1077"/>
      <c r="J35" s="1077"/>
      <c r="K35" s="1077"/>
      <c r="L35" s="1077"/>
      <c r="M35" s="1077"/>
      <c r="N35" s="1078"/>
      <c r="O35" s="543"/>
      <c r="P35" s="960" t="s">
        <v>976</v>
      </c>
      <c r="Q35" s="961"/>
      <c r="R35" s="961"/>
      <c r="S35" s="961">
        <f t="shared" si="7"/>
        <v>0</v>
      </c>
      <c r="T35" s="960">
        <v>30</v>
      </c>
      <c r="U35" s="960">
        <v>1</v>
      </c>
      <c r="V35" s="960"/>
      <c r="W35" s="960"/>
      <c r="X35" s="960"/>
      <c r="Y35" s="960"/>
      <c r="Z35" s="960"/>
      <c r="AA35" s="960"/>
      <c r="AB35" s="960"/>
      <c r="AC35" s="960"/>
      <c r="AD35" s="960"/>
      <c r="AE35" s="960"/>
      <c r="AF35" s="960"/>
      <c r="AG35" s="960"/>
      <c r="AH35" s="960"/>
      <c r="AI35" s="543"/>
      <c r="AJ35" s="543"/>
      <c r="AK35" s="543"/>
      <c r="AL35" s="543"/>
      <c r="AM35" s="543"/>
      <c r="AN35" s="543"/>
      <c r="AO35" s="543"/>
      <c r="AP35" s="543"/>
      <c r="AQ35" s="543"/>
      <c r="AR35" s="543"/>
      <c r="AS35" s="543"/>
      <c r="AT35" s="543"/>
      <c r="AU35" s="543"/>
      <c r="AV35" s="543">
        <f>'New order'!BL44</f>
        <v>0</v>
      </c>
      <c r="AW35" s="558">
        <f>'New order'!BN44</f>
        <v>0</v>
      </c>
      <c r="AX35" s="543"/>
      <c r="AY35" s="543"/>
      <c r="AZ35" s="541"/>
      <c r="BA35" s="541"/>
      <c r="BB35" s="541"/>
    </row>
    <row r="36" spans="1:54" s="275" customFormat="1" ht="22.5" hidden="1" customHeight="1" x14ac:dyDescent="0.25">
      <c r="A36" s="574"/>
      <c r="B36" s="585" t="s">
        <v>12</v>
      </c>
      <c r="C36" s="1076" t="s">
        <v>1234</v>
      </c>
      <c r="D36" s="1077"/>
      <c r="E36" s="1077"/>
      <c r="F36" s="1077"/>
      <c r="G36" s="1077"/>
      <c r="H36" s="1077"/>
      <c r="I36" s="1077"/>
      <c r="J36" s="1077"/>
      <c r="K36" s="1077"/>
      <c r="L36" s="1077"/>
      <c r="M36" s="1077"/>
      <c r="N36" s="1078"/>
      <c r="O36" s="543"/>
      <c r="P36" s="960" t="s">
        <v>976</v>
      </c>
      <c r="Q36" s="961"/>
      <c r="R36" s="961"/>
      <c r="S36" s="961">
        <f>A36</f>
        <v>0</v>
      </c>
      <c r="T36" s="960">
        <v>30</v>
      </c>
      <c r="U36" s="960">
        <v>1</v>
      </c>
      <c r="V36" s="960"/>
      <c r="W36" s="960"/>
      <c r="X36" s="960"/>
      <c r="Y36" s="960"/>
      <c r="Z36" s="960"/>
      <c r="AA36" s="960"/>
      <c r="AB36" s="960"/>
      <c r="AC36" s="960"/>
      <c r="AD36" s="960"/>
      <c r="AE36" s="960"/>
      <c r="AF36" s="960"/>
      <c r="AG36" s="960"/>
      <c r="AH36" s="960"/>
      <c r="AI36" s="543"/>
      <c r="AJ36" s="543"/>
      <c r="AK36" s="543"/>
      <c r="AL36" s="543"/>
      <c r="AM36" s="543"/>
      <c r="AN36" s="543"/>
      <c r="AO36" s="543"/>
      <c r="AP36" s="543"/>
      <c r="AQ36" s="543"/>
      <c r="AR36" s="543"/>
      <c r="AS36" s="543"/>
      <c r="AT36" s="543"/>
      <c r="AU36" s="543"/>
      <c r="AV36" s="543">
        <f>'New order'!BL45</f>
        <v>0</v>
      </c>
      <c r="AW36" s="558">
        <f>'New order'!BN45</f>
        <v>0</v>
      </c>
      <c r="AX36" s="543"/>
      <c r="AY36" s="543"/>
      <c r="AZ36" s="541"/>
      <c r="BA36" s="541"/>
      <c r="BB36" s="541"/>
    </row>
    <row r="37" spans="1:54" s="275" customFormat="1" ht="22.5" hidden="1" customHeight="1" x14ac:dyDescent="0.25">
      <c r="A37" s="574"/>
      <c r="B37" s="585" t="s">
        <v>12</v>
      </c>
      <c r="C37" s="1076" t="s">
        <v>1021</v>
      </c>
      <c r="D37" s="1077"/>
      <c r="E37" s="1077"/>
      <c r="F37" s="1077"/>
      <c r="G37" s="1077"/>
      <c r="H37" s="1077"/>
      <c r="I37" s="1077"/>
      <c r="J37" s="1077"/>
      <c r="K37" s="1077"/>
      <c r="L37" s="1077"/>
      <c r="M37" s="1077"/>
      <c r="N37" s="1078"/>
      <c r="O37" s="543"/>
      <c r="P37" s="960" t="s">
        <v>976</v>
      </c>
      <c r="Q37" s="961"/>
      <c r="R37" s="961"/>
      <c r="S37" s="961">
        <f>A37</f>
        <v>0</v>
      </c>
      <c r="T37" s="960">
        <v>30</v>
      </c>
      <c r="U37" s="960">
        <v>1</v>
      </c>
      <c r="V37" s="960"/>
      <c r="W37" s="960"/>
      <c r="X37" s="960"/>
      <c r="Y37" s="960"/>
      <c r="Z37" s="960"/>
      <c r="AA37" s="960"/>
      <c r="AB37" s="960"/>
      <c r="AC37" s="960"/>
      <c r="AD37" s="960"/>
      <c r="AE37" s="960"/>
      <c r="AF37" s="960"/>
      <c r="AG37" s="960"/>
      <c r="AH37" s="960"/>
      <c r="AI37" s="543"/>
      <c r="AJ37" s="543"/>
      <c r="AK37" s="543"/>
      <c r="AL37" s="543"/>
      <c r="AM37" s="543"/>
      <c r="AN37" s="543"/>
      <c r="AO37" s="543"/>
      <c r="AP37" s="543"/>
      <c r="AQ37" s="543"/>
      <c r="AR37" s="543"/>
      <c r="AS37" s="543"/>
      <c r="AT37" s="543"/>
      <c r="AU37" s="543"/>
      <c r="AV37" s="543">
        <f>'New order'!BL46</f>
        <v>0</v>
      </c>
      <c r="AW37" s="558">
        <f>'New order'!BN46</f>
        <v>0</v>
      </c>
      <c r="AX37" s="543"/>
      <c r="AY37" s="543"/>
      <c r="AZ37" s="541"/>
      <c r="BA37" s="541"/>
      <c r="BB37" s="541"/>
    </row>
    <row r="38" spans="1:54" s="275" customFormat="1" ht="24" hidden="1" customHeight="1" x14ac:dyDescent="0.25">
      <c r="A38" s="574"/>
      <c r="B38" s="585" t="s">
        <v>12</v>
      </c>
      <c r="C38" s="1180" t="s">
        <v>1262</v>
      </c>
      <c r="D38" s="1181"/>
      <c r="E38" s="1181"/>
      <c r="F38" s="1181"/>
      <c r="G38" s="1181"/>
      <c r="H38" s="1181"/>
      <c r="I38" s="1181"/>
      <c r="J38" s="1181"/>
      <c r="K38" s="1181"/>
      <c r="L38" s="1181"/>
      <c r="M38" s="1181"/>
      <c r="N38" s="1182"/>
      <c r="O38" s="543"/>
      <c r="P38" s="960" t="s">
        <v>976</v>
      </c>
      <c r="Q38" s="961"/>
      <c r="R38" s="961"/>
      <c r="S38" s="961">
        <v>0</v>
      </c>
      <c r="T38" s="960">
        <v>30</v>
      </c>
      <c r="U38" s="960">
        <v>1</v>
      </c>
      <c r="V38" s="960"/>
      <c r="W38" s="960"/>
      <c r="X38" s="960"/>
      <c r="Y38" s="960"/>
      <c r="Z38" s="960"/>
      <c r="AA38" s="960"/>
      <c r="AB38" s="960"/>
      <c r="AC38" s="960"/>
      <c r="AD38" s="960"/>
      <c r="AE38" s="960"/>
      <c r="AF38" s="960"/>
      <c r="AG38" s="960"/>
      <c r="AH38" s="960"/>
      <c r="AI38" s="543"/>
      <c r="AJ38" s="543"/>
      <c r="AK38" s="543"/>
      <c r="AL38" s="543"/>
      <c r="AM38" s="543"/>
      <c r="AN38" s="543"/>
      <c r="AO38" s="543"/>
      <c r="AP38" s="543"/>
      <c r="AQ38" s="543"/>
      <c r="AR38" s="543"/>
      <c r="AS38" s="543"/>
      <c r="AT38" s="543"/>
      <c r="AU38" s="543"/>
      <c r="AV38" s="543">
        <f>'New order'!BL47</f>
        <v>0</v>
      </c>
      <c r="AW38" s="558">
        <f>'New order'!BN47</f>
        <v>0</v>
      </c>
      <c r="AX38" s="543"/>
      <c r="AY38" s="543"/>
      <c r="AZ38" s="541"/>
      <c r="BA38" s="541"/>
      <c r="BB38" s="541"/>
    </row>
    <row r="39" spans="1:54" s="310" customFormat="1" ht="22.5" hidden="1" customHeight="1" x14ac:dyDescent="0.25">
      <c r="A39" s="574"/>
      <c r="B39" s="585" t="s">
        <v>12</v>
      </c>
      <c r="C39" s="956" t="s">
        <v>1258</v>
      </c>
      <c r="D39" s="957"/>
      <c r="E39" s="957"/>
      <c r="F39" s="957"/>
      <c r="G39" s="957"/>
      <c r="H39" s="957"/>
      <c r="I39" s="957"/>
      <c r="J39" s="957"/>
      <c r="K39" s="957"/>
      <c r="L39" s="957"/>
      <c r="M39" s="957"/>
      <c r="N39" s="958"/>
      <c r="O39" s="543"/>
      <c r="P39" s="960" t="s">
        <v>976</v>
      </c>
      <c r="Q39" s="961"/>
      <c r="R39" s="961"/>
      <c r="S39" s="961">
        <v>0</v>
      </c>
      <c r="T39" s="960">
        <v>30</v>
      </c>
      <c r="U39" s="960">
        <v>1</v>
      </c>
      <c r="V39" s="960"/>
      <c r="W39" s="960"/>
      <c r="X39" s="960"/>
      <c r="Y39" s="960"/>
      <c r="Z39" s="960"/>
      <c r="AA39" s="960"/>
      <c r="AB39" s="960"/>
      <c r="AC39" s="960"/>
      <c r="AD39" s="960"/>
      <c r="AE39" s="960"/>
      <c r="AF39" s="960"/>
      <c r="AG39" s="960"/>
      <c r="AH39" s="960"/>
      <c r="AI39" s="543"/>
      <c r="AJ39" s="543"/>
      <c r="AK39" s="543"/>
      <c r="AL39" s="543"/>
      <c r="AM39" s="543"/>
      <c r="AN39" s="543"/>
      <c r="AO39" s="543"/>
      <c r="AP39" s="543"/>
      <c r="AQ39" s="543"/>
      <c r="AR39" s="543"/>
      <c r="AS39" s="543"/>
      <c r="AT39" s="543"/>
      <c r="AU39" s="543"/>
      <c r="AV39" s="543">
        <f>'New order'!BL48</f>
        <v>0</v>
      </c>
      <c r="AW39" s="558">
        <f>'New order'!BN48</f>
        <v>0</v>
      </c>
      <c r="AX39" s="543"/>
      <c r="AY39" s="543"/>
      <c r="AZ39" s="541"/>
      <c r="BA39" s="541"/>
      <c r="BB39" s="541"/>
    </row>
    <row r="40" spans="1:54" s="310" customFormat="1" ht="22.5" hidden="1" customHeight="1" x14ac:dyDescent="0.25">
      <c r="A40" s="574"/>
      <c r="B40" s="584" t="s">
        <v>12</v>
      </c>
      <c r="C40" s="1183" t="s">
        <v>1218</v>
      </c>
      <c r="D40" s="1184"/>
      <c r="E40" s="1184"/>
      <c r="F40" s="1184"/>
      <c r="G40" s="1184"/>
      <c r="H40" s="1184"/>
      <c r="I40" s="1184"/>
      <c r="J40" s="1184"/>
      <c r="K40" s="1184"/>
      <c r="L40" s="1184"/>
      <c r="M40" s="1184"/>
      <c r="N40" s="1185"/>
      <c r="O40" s="543"/>
      <c r="P40" s="960" t="s">
        <v>976</v>
      </c>
      <c r="Q40" s="961"/>
      <c r="R40" s="961"/>
      <c r="S40" s="961">
        <v>0</v>
      </c>
      <c r="T40" s="960"/>
      <c r="U40" s="960"/>
      <c r="V40" s="960"/>
      <c r="W40" s="960"/>
      <c r="X40" s="960"/>
      <c r="Y40" s="960"/>
      <c r="Z40" s="960"/>
      <c r="AA40" s="960"/>
      <c r="AB40" s="960"/>
      <c r="AC40" s="960"/>
      <c r="AD40" s="960"/>
      <c r="AE40" s="960"/>
      <c r="AF40" s="960"/>
      <c r="AG40" s="960"/>
      <c r="AH40" s="960"/>
      <c r="AI40" s="543"/>
      <c r="AJ40" s="543"/>
      <c r="AK40" s="543"/>
      <c r="AL40" s="543"/>
      <c r="AM40" s="543"/>
      <c r="AN40" s="543"/>
      <c r="AO40" s="543"/>
      <c r="AP40" s="543"/>
      <c r="AQ40" s="543"/>
      <c r="AR40" s="543"/>
      <c r="AS40" s="543"/>
      <c r="AT40" s="543"/>
      <c r="AU40" s="543"/>
      <c r="AV40" s="543"/>
      <c r="AW40" s="543"/>
      <c r="AX40" s="543"/>
      <c r="AY40" s="543"/>
      <c r="AZ40" s="541"/>
      <c r="BA40" s="541"/>
      <c r="BB40" s="541"/>
    </row>
    <row r="41" spans="1:54" s="275" customFormat="1" ht="16.5" hidden="1" customHeight="1" x14ac:dyDescent="0.25">
      <c r="A41" s="534">
        <f>SUM(A28:A40)</f>
        <v>0</v>
      </c>
      <c r="B41" s="584" t="s">
        <v>12</v>
      </c>
      <c r="C41" s="575" t="s">
        <v>978</v>
      </c>
      <c r="D41" s="726"/>
      <c r="E41" s="858"/>
      <c r="F41" s="568"/>
      <c r="G41" s="569"/>
      <c r="H41" s="570"/>
      <c r="I41" s="571"/>
      <c r="J41" s="571"/>
      <c r="K41" s="571"/>
      <c r="L41" s="571"/>
      <c r="M41" s="572"/>
      <c r="N41" s="571"/>
      <c r="O41" s="543"/>
      <c r="P41" s="960" t="s">
        <v>976</v>
      </c>
      <c r="Q41" s="961" t="str">
        <f>IF(S41=0,"",COUNTIF(Q$12:Q40,"&gt;0")+1)</f>
        <v/>
      </c>
      <c r="R41" s="961"/>
      <c r="S41" s="961">
        <f t="shared" si="7"/>
        <v>0</v>
      </c>
      <c r="T41" s="960"/>
      <c r="U41" s="960"/>
      <c r="V41" s="960"/>
      <c r="W41" s="960"/>
      <c r="X41" s="960"/>
      <c r="Y41" s="960"/>
      <c r="Z41" s="960"/>
      <c r="AA41" s="960"/>
      <c r="AB41" s="960"/>
      <c r="AC41" s="960"/>
      <c r="AD41" s="960"/>
      <c r="AE41" s="960"/>
      <c r="AF41" s="960"/>
      <c r="AG41" s="960"/>
      <c r="AH41" s="963"/>
      <c r="AI41" s="533"/>
      <c r="AJ41" s="543"/>
      <c r="AK41" s="543"/>
      <c r="AL41" s="543"/>
      <c r="AM41" s="543"/>
      <c r="AN41" s="543"/>
      <c r="AO41" s="558"/>
      <c r="AP41" s="543"/>
      <c r="AQ41" s="558"/>
      <c r="AR41" s="543"/>
      <c r="AS41" s="558"/>
      <c r="AT41" s="543"/>
      <c r="AU41" s="558"/>
      <c r="AV41" s="541"/>
      <c r="AW41" s="577"/>
      <c r="AX41" s="541"/>
      <c r="AY41" s="541"/>
      <c r="AZ41" s="541"/>
      <c r="BA41" s="541"/>
      <c r="BB41" s="541"/>
    </row>
    <row r="42" spans="1:54" s="275" customFormat="1" ht="16.5" hidden="1" customHeight="1" x14ac:dyDescent="0.25">
      <c r="A42" s="295"/>
      <c r="B42" s="582"/>
      <c r="C42" s="725"/>
      <c r="D42" s="640"/>
      <c r="E42" s="859"/>
      <c r="F42" s="296"/>
      <c r="G42" s="297"/>
      <c r="H42" s="298"/>
      <c r="I42" s="295"/>
      <c r="J42" s="295"/>
      <c r="K42" s="295"/>
      <c r="L42" s="295"/>
      <c r="M42" s="299"/>
      <c r="N42" s="295"/>
      <c r="O42" s="543"/>
      <c r="P42" s="960"/>
      <c r="Q42" s="961"/>
      <c r="R42" s="961"/>
      <c r="S42" s="961"/>
      <c r="T42" s="960"/>
      <c r="U42" s="960"/>
      <c r="V42" s="960"/>
      <c r="W42" s="960"/>
      <c r="X42" s="960"/>
      <c r="Y42" s="962" t="str">
        <f>"You can fit up to "&amp;AI24&amp;" more shelves of plants on this trolley"</f>
        <v>You can fit up to 6 more shelves of plants on this trolley</v>
      </c>
      <c r="Z42" s="960"/>
      <c r="AA42" s="960"/>
      <c r="AB42" s="960"/>
      <c r="AC42" s="960"/>
      <c r="AD42" s="960"/>
      <c r="AE42" s="960"/>
      <c r="AF42" s="960"/>
      <c r="AG42" s="960"/>
      <c r="AH42" s="963"/>
      <c r="AI42" s="533"/>
      <c r="AJ42" s="543"/>
      <c r="AK42" s="543"/>
      <c r="AL42" s="543"/>
      <c r="AM42" s="543"/>
      <c r="AN42" s="543"/>
      <c r="AO42" s="558"/>
      <c r="AP42" s="543"/>
      <c r="AQ42" s="558"/>
      <c r="AR42" s="543"/>
      <c r="AS42" s="558"/>
      <c r="AT42" s="543"/>
      <c r="AU42" s="558"/>
      <c r="AV42" s="541"/>
      <c r="AW42" s="577"/>
      <c r="AX42" s="541"/>
      <c r="AY42" s="541"/>
      <c r="AZ42" s="541"/>
      <c r="BA42" s="541"/>
      <c r="BB42" s="541"/>
    </row>
    <row r="43" spans="1:54" s="275" customFormat="1" ht="10.5" hidden="1" customHeight="1" thickBot="1" x14ac:dyDescent="0.3">
      <c r="A43" s="295"/>
      <c r="B43" s="582"/>
      <c r="C43" s="297"/>
      <c r="D43" s="640"/>
      <c r="E43" s="859"/>
      <c r="F43" s="296"/>
      <c r="G43" s="297"/>
      <c r="H43" s="298"/>
      <c r="I43" s="295"/>
      <c r="J43" s="295"/>
      <c r="K43" s="295"/>
      <c r="L43" s="295"/>
      <c r="M43" s="299"/>
      <c r="N43" s="295"/>
      <c r="O43" s="543"/>
      <c r="P43" s="960"/>
      <c r="Q43" s="961" t="str">
        <f>IF(S43=0,"",COUNTIF(Q$12:Q41,"&gt;0")+1)</f>
        <v/>
      </c>
      <c r="R43" s="961"/>
      <c r="S43" s="961"/>
      <c r="T43" s="960"/>
      <c r="U43" s="960"/>
      <c r="V43" s="960"/>
      <c r="W43" s="960"/>
      <c r="X43" s="960"/>
      <c r="Y43" s="962" t="str">
        <f>"Your last shelf is "&amp;AI26*100&amp;"% Full"</f>
        <v>Your last shelf is 0% Full</v>
      </c>
      <c r="Z43" s="960"/>
      <c r="AA43" s="960"/>
      <c r="AB43" s="960"/>
      <c r="AC43" s="960"/>
      <c r="AD43" s="960"/>
      <c r="AE43" s="960"/>
      <c r="AF43" s="960"/>
      <c r="AG43" s="960"/>
      <c r="AH43" s="960"/>
      <c r="AI43" s="543"/>
      <c r="AJ43" s="543"/>
      <c r="AK43" s="543"/>
      <c r="AL43" s="543"/>
      <c r="AM43" s="543"/>
      <c r="AN43" s="543"/>
      <c r="AO43" s="543">
        <f>_xlfn.MINIFS(AO45:AO52,AO45:AO52,"&gt;0")</f>
        <v>0</v>
      </c>
      <c r="AP43" s="543"/>
      <c r="AQ43" s="543">
        <f>_xlfn.MINIFS(AQ45:AQ52,AQ45:AQ52,"&gt;0")</f>
        <v>0</v>
      </c>
      <c r="AR43" s="543"/>
      <c r="AS43" s="543">
        <f>_xlfn.MINIFS(AS45:AS52,AS45:AS52,"&gt;0")</f>
        <v>0</v>
      </c>
      <c r="AT43" s="543"/>
      <c r="AU43" s="543">
        <f>_xlfn.MINIFS(AU45:AU52,AU45:AU52,"&gt;0")</f>
        <v>0</v>
      </c>
      <c r="AX43" s="541"/>
      <c r="AY43" s="541"/>
      <c r="AZ43" s="541"/>
      <c r="BA43" s="541"/>
      <c r="BB43" s="541"/>
    </row>
    <row r="44" spans="1:54" ht="12" customHeight="1" x14ac:dyDescent="0.25">
      <c r="A44" s="1118" t="s">
        <v>11</v>
      </c>
      <c r="B44" s="1173"/>
      <c r="C44" s="1188" t="s">
        <v>1277</v>
      </c>
      <c r="D44" s="1189"/>
      <c r="E44" s="1189"/>
      <c r="F44" s="1189"/>
      <c r="G44" s="1123" t="s">
        <v>1301</v>
      </c>
      <c r="H44" s="29" t="s">
        <v>13</v>
      </c>
      <c r="I44" s="29"/>
      <c r="J44" s="29"/>
      <c r="K44" s="29"/>
      <c r="L44" s="29"/>
      <c r="M44" s="29"/>
      <c r="N44" s="30"/>
      <c r="P44" s="533"/>
      <c r="Q44" s="533" t="str">
        <f>IF(S44=0,"",COUNTIF(Q$12:Q43,"&gt;0")+1)</f>
        <v/>
      </c>
      <c r="R44" s="533"/>
      <c r="S44" s="533"/>
      <c r="T44" s="533"/>
      <c r="U44" s="533"/>
      <c r="V44" s="533"/>
      <c r="W44" s="533"/>
      <c r="X44" s="533"/>
      <c r="Y44" s="533"/>
      <c r="Z44" s="533"/>
      <c r="AA44" s="533"/>
      <c r="AB44" s="533"/>
      <c r="AC44" s="533"/>
      <c r="AD44" s="533"/>
      <c r="AE44" s="533"/>
      <c r="AF44" s="543"/>
      <c r="AG44" s="543"/>
      <c r="AH44" s="543"/>
      <c r="AI44" s="543">
        <f>IF(AG45&gt;0,AG45,IF(AG46&gt;0,AG46,IF(AG47&gt;0,AG47,IF(AG48&gt;0,AG48,IF(AG49&gt;0,AG49,IF(AG50&gt;0,AG50,IF(AG51&gt;0,AG51,AG52)))))))</f>
        <v>0</v>
      </c>
      <c r="AJ44" s="1061">
        <f>IF(AI44&gt;0.88,1,AI44)</f>
        <v>0</v>
      </c>
      <c r="AK44" s="543"/>
      <c r="AL44" s="543"/>
      <c r="AM44" s="543">
        <f>IF(SUM(AV32:AV38)&gt;0,5,IF(SUM(AT45:AT51)&gt;0,4,IF(SUM(AR45:AR51)&gt;0,3,IF(SUM(AP45:AP51)&gt;0,2,1))))</f>
        <v>1</v>
      </c>
      <c r="AN44" s="1075" t="s">
        <v>1117</v>
      </c>
      <c r="AO44" s="1075"/>
      <c r="AP44" s="1075" t="s">
        <v>1118</v>
      </c>
      <c r="AQ44" s="1075"/>
      <c r="AR44" s="1075" t="s">
        <v>1133</v>
      </c>
      <c r="AS44" s="1075"/>
      <c r="AT44" s="1075" t="s">
        <v>1134</v>
      </c>
      <c r="AU44" s="1075"/>
      <c r="AX44" s="1"/>
      <c r="AY44" s="1"/>
      <c r="AZ44" s="1"/>
      <c r="BA44" s="1"/>
      <c r="BB44" s="1"/>
    </row>
    <row r="45" spans="1:54" ht="12" customHeight="1" thickBot="1" x14ac:dyDescent="0.3">
      <c r="A45" s="1148" t="s">
        <v>14</v>
      </c>
      <c r="B45" s="1149"/>
      <c r="C45" s="1190"/>
      <c r="D45" s="1191"/>
      <c r="E45" s="1191"/>
      <c r="F45" s="1191"/>
      <c r="G45" s="1124"/>
      <c r="H45" s="31" t="s">
        <v>15</v>
      </c>
      <c r="I45" s="32"/>
      <c r="J45" s="32"/>
      <c r="K45" s="32"/>
      <c r="L45" s="545" t="s">
        <v>1</v>
      </c>
      <c r="M45" s="32"/>
      <c r="N45" s="34" t="s">
        <v>16</v>
      </c>
      <c r="O45" s="1068" t="s">
        <v>17</v>
      </c>
      <c r="P45" s="533"/>
      <c r="Q45" s="533" t="s">
        <v>11</v>
      </c>
      <c r="R45" s="533" t="s">
        <v>1106</v>
      </c>
      <c r="S45" s="533" t="s">
        <v>1090</v>
      </c>
      <c r="T45" s="533" t="s">
        <v>1</v>
      </c>
      <c r="U45" s="533" t="s">
        <v>3</v>
      </c>
      <c r="V45" s="533" t="s">
        <v>1091</v>
      </c>
      <c r="W45" s="533"/>
      <c r="X45" s="533">
        <f>SUM(X47:X496)</f>
        <v>0</v>
      </c>
      <c r="Y45" s="533" t="s">
        <v>1131</v>
      </c>
      <c r="Z45" s="533" t="s">
        <v>1132</v>
      </c>
      <c r="AA45" s="533"/>
      <c r="AB45" s="533"/>
      <c r="AC45" s="533"/>
      <c r="AD45" s="533"/>
      <c r="AE45" s="533"/>
      <c r="AF45" s="543">
        <v>7</v>
      </c>
      <c r="AG45" s="543">
        <f>IF(AM$44=1,AO52,IF(AM$44=2,AQ52,IF(AM$44=3,AS52,IF(AM$44=4,AU52,AW39))))</f>
        <v>0</v>
      </c>
      <c r="AH45" s="1061"/>
      <c r="AI45" s="533"/>
      <c r="AJ45" s="543"/>
      <c r="AK45" s="543"/>
      <c r="AL45" s="543"/>
      <c r="AM45" s="543">
        <v>0</v>
      </c>
      <c r="AN45" s="543">
        <f>'New order'!BL4</f>
        <v>0</v>
      </c>
      <c r="AO45" s="558">
        <f>'New order'!BN4</f>
        <v>0</v>
      </c>
      <c r="AP45" s="543">
        <f>'New order'!BL14</f>
        <v>0</v>
      </c>
      <c r="AQ45" s="558">
        <f>'New order'!BN14</f>
        <v>0</v>
      </c>
      <c r="AR45" s="543">
        <f>'New order'!BL23</f>
        <v>0</v>
      </c>
      <c r="AS45" s="558">
        <f>'New order'!BN23</f>
        <v>0</v>
      </c>
      <c r="AT45" s="543">
        <f>'New order'!BL32</f>
        <v>0</v>
      </c>
      <c r="AU45" s="558">
        <f>'New order'!BN32</f>
        <v>0</v>
      </c>
      <c r="AX45" s="1"/>
      <c r="AY45" s="1"/>
      <c r="AZ45" s="1"/>
      <c r="BA45" s="1"/>
      <c r="BB45" s="1"/>
    </row>
    <row r="46" spans="1:54" ht="13.5" customHeight="1" x14ac:dyDescent="0.25">
      <c r="A46" s="35"/>
      <c r="B46" s="586" t="s">
        <v>18</v>
      </c>
      <c r="C46" s="843" t="s">
        <v>19</v>
      </c>
      <c r="D46" s="707"/>
      <c r="E46" s="860"/>
      <c r="F46" s="685" t="s">
        <v>20</v>
      </c>
      <c r="G46" s="36" t="s">
        <v>21</v>
      </c>
      <c r="H46" s="420"/>
      <c r="I46" s="37"/>
      <c r="J46" s="38">
        <f>IF(VLOOKUP(C46,A!A$1:H$669,4,FALSE)="y",1,0)</f>
        <v>1</v>
      </c>
      <c r="K46" s="38">
        <f>IF(VLOOKUP(C46,A!A$1:H$669,5,FALSE)="y",1,0)</f>
        <v>1</v>
      </c>
      <c r="L46" s="336" t="str">
        <f>IF(VLOOKUP(C46,A!A$1:H$669,3,FALSE)="y","NEW","")</f>
        <v/>
      </c>
      <c r="M46" s="37">
        <f>VLOOKUP(C46,A!A$1:H$669,6,FALSE)</f>
        <v>0</v>
      </c>
      <c r="N46" s="40" t="s">
        <v>22</v>
      </c>
      <c r="O46" s="533" t="str">
        <f>VLOOKUP(C46,A!A$1:G$669,2,FALSE)</f>
        <v>Y</v>
      </c>
      <c r="P46" s="533" t="s">
        <v>24</v>
      </c>
      <c r="Q46" s="533"/>
      <c r="R46" s="533"/>
      <c r="S46" s="533">
        <f>A46+Y46</f>
        <v>0</v>
      </c>
      <c r="T46" s="533">
        <f>VLOOKUP(C46,A!A$1:AH$669,31,FALSE)</f>
        <v>35</v>
      </c>
      <c r="U46" s="533">
        <v>0.16500000000000001</v>
      </c>
      <c r="V46" s="533"/>
      <c r="W46" s="533"/>
      <c r="X46" s="533"/>
      <c r="Y46" s="533">
        <f>A15*24+A17*18+A19*18+A21*18+A25*19</f>
        <v>0</v>
      </c>
      <c r="Z46" s="533"/>
      <c r="AA46" s="533"/>
      <c r="AB46" s="533">
        <f>S46</f>
        <v>0</v>
      </c>
      <c r="AC46" s="533">
        <f>AB46-SUM(AB47:AB227)</f>
        <v>0</v>
      </c>
      <c r="AD46" s="533"/>
      <c r="AE46" s="533"/>
      <c r="AF46" s="543">
        <v>6</v>
      </c>
      <c r="AG46" s="543">
        <f>IF(AM$44=1,AO51,IF(AM$44=2,AQ51,IF(AM$44=3,AS51,IF(AM$44=4,AU51,AW38))))</f>
        <v>0</v>
      </c>
      <c r="AH46" s="1061">
        <f t="shared" ref="AH46:AH52" si="8">IF(AG45&gt;0,IF(AG46&gt;0.88,1,AG46),0)</f>
        <v>0</v>
      </c>
      <c r="AI46" s="533">
        <f>IF(AM$44=1,AN51,IF(AM$44=2,AP51,IF(AM$44=3,AR51,IF(AM$44=4,AT51,AV38))))</f>
        <v>0</v>
      </c>
      <c r="AJ46" s="543">
        <f t="shared" ref="AJ46:AJ51" si="9">IF(AI46=0,0,AI46+AJ47)</f>
        <v>0</v>
      </c>
      <c r="AK46" s="543">
        <f t="shared" ref="AK46:AK52" si="10">IF(AJ45&gt;0,ROUND((AJ46-20)/10,0),0)</f>
        <v>0</v>
      </c>
      <c r="AL46" s="543">
        <f>IF(AK44&gt;0,ROUND((AJ46-20)/10,0),0)</f>
        <v>0</v>
      </c>
      <c r="AM46" s="543">
        <v>1</v>
      </c>
      <c r="AN46" s="543">
        <f>'New order'!BL5</f>
        <v>0</v>
      </c>
      <c r="AO46" s="558">
        <f>'New order'!BN5</f>
        <v>0</v>
      </c>
      <c r="AP46" s="543">
        <f>'New order'!BL15</f>
        <v>0</v>
      </c>
      <c r="AQ46" s="558">
        <f>'New order'!BN15</f>
        <v>0</v>
      </c>
      <c r="AR46" s="543">
        <f>'New order'!BL24</f>
        <v>0</v>
      </c>
      <c r="AS46" s="558">
        <f>'New order'!BN24</f>
        <v>0</v>
      </c>
      <c r="AT46" s="543">
        <f>'New order'!BL33</f>
        <v>0</v>
      </c>
      <c r="AU46" s="558">
        <f>'New order'!BN33</f>
        <v>0</v>
      </c>
      <c r="AX46" s="1"/>
      <c r="AY46" s="1"/>
      <c r="AZ46" s="1"/>
      <c r="BA46" s="1"/>
      <c r="BB46" s="1"/>
    </row>
    <row r="47" spans="1:54" ht="13.5" hidden="1" customHeight="1" x14ac:dyDescent="0.25">
      <c r="A47" s="41"/>
      <c r="B47" s="104" t="s">
        <v>18</v>
      </c>
      <c r="C47" s="837" t="s">
        <v>27</v>
      </c>
      <c r="D47" s="728"/>
      <c r="E47" s="711"/>
      <c r="F47" s="686" t="s">
        <v>28</v>
      </c>
      <c r="G47" s="42" t="s">
        <v>29</v>
      </c>
      <c r="H47" s="27">
        <f>VLOOKUP(C47,A!A$1:H$669,8,FALSE)</f>
        <v>2</v>
      </c>
      <c r="I47" s="27"/>
      <c r="J47" s="28">
        <f>IF(VLOOKUP(C47,A!A$1:H$669,4,FALSE)="y",1,0)</f>
        <v>1</v>
      </c>
      <c r="K47" s="28">
        <f>IF(VLOOKUP(C47,A!A$1:H$669,5,FALSE)="y",1,0)</f>
        <v>0</v>
      </c>
      <c r="L47" s="544" t="str">
        <f>IF(T47&lt;35,"Low",IF(T47&gt;40,"High","Med"))</f>
        <v>Low</v>
      </c>
      <c r="M47" s="27">
        <f>VLOOKUP(C47,A!A$1:H$669,6,FALSE)</f>
        <v>0</v>
      </c>
      <c r="N47" s="44" t="s">
        <v>31</v>
      </c>
      <c r="O47" s="533">
        <f>VLOOKUP(C47,A!A$1:G$669,2,FALSE)</f>
        <v>0</v>
      </c>
      <c r="P47" s="533" t="s">
        <v>24</v>
      </c>
      <c r="Q47" s="533" t="str">
        <f>IF(S47=0,"",COUNTIF(Q$12:Q46,"&gt;0")+1)</f>
        <v/>
      </c>
      <c r="R47" s="533" t="str">
        <f>IF(S47=0,"",COUNTIF(R$12:R46,"&gt;0")+1)</f>
        <v/>
      </c>
      <c r="S47" s="533">
        <f t="shared" ref="S47:S112" si="11">A47+Y47+AB47+AC47</f>
        <v>0</v>
      </c>
      <c r="T47" s="533">
        <f>VLOOKUP(C47,A!A$1:AH$669,31,FALSE)</f>
        <v>30</v>
      </c>
      <c r="U47" s="533">
        <v>0.16500000000000001</v>
      </c>
      <c r="V47" s="533"/>
      <c r="W47" s="533" t="str">
        <f t="shared" ref="W47:W112" si="12">IF(AND(V47&lt;&gt;"",O47=0),"Check",IF(AND(V47=0,O47="Y"),"Check",""))</f>
        <v/>
      </c>
      <c r="X47" s="533">
        <f>IF(V47&lt;&gt;"",COUNTIF(V$46:V47,V47)-1,0)</f>
        <v>0</v>
      </c>
      <c r="Y47" s="533"/>
      <c r="Z47" s="533" t="str">
        <f t="shared" ref="Z47:Z80" si="13">IFERROR(IF(AND(O47="y",IF(AND(A47&lt;&gt;"",A47=0),0,1)),H47*-100-A47*1000-T47,""),"")</f>
        <v/>
      </c>
      <c r="AA47" s="533" t="str">
        <f>IFERROR(RANK(Z47,Z$47:Z$226,0)+COUNTIF(Z$47:Z47,Z47)-1,"")</f>
        <v/>
      </c>
      <c r="AB47" s="533">
        <f t="shared" ref="AB47:AB52" si="14">IF(AA47&lt;=AB$46,1,0)</f>
        <v>0</v>
      </c>
      <c r="AC47" s="533">
        <f>IF(AA47&lt;=AC$46,1,0)</f>
        <v>0</v>
      </c>
      <c r="AD47" s="533"/>
      <c r="AE47" s="533"/>
      <c r="AF47" s="543">
        <v>5</v>
      </c>
      <c r="AG47" s="543">
        <f>IF(AM$44=1,AO50,IF(AM$44=2,AQ50,IF(AM$44=3,AS50,IF(AM$44=4,AU50,AW37))))</f>
        <v>0</v>
      </c>
      <c r="AH47" s="1061">
        <f t="shared" si="8"/>
        <v>0</v>
      </c>
      <c r="AI47" s="533">
        <f>IF(AM$44=1,AN50,IF(AM$44=2,AP50,IF(AM$44=3,AR50,IF(AM$44=4,AT50,AV37))))</f>
        <v>0</v>
      </c>
      <c r="AJ47" s="543">
        <f t="shared" si="9"/>
        <v>0</v>
      </c>
      <c r="AK47" s="543">
        <f t="shared" si="10"/>
        <v>0</v>
      </c>
      <c r="AL47" s="543">
        <f t="shared" ref="AL47:AL52" si="15">IF(AJ45&gt;0,ROUND((AJ47-20)/10,0),0)</f>
        <v>0</v>
      </c>
      <c r="AM47" s="543">
        <v>2</v>
      </c>
      <c r="AN47" s="543">
        <f>'New order'!BL6</f>
        <v>0</v>
      </c>
      <c r="AO47" s="558">
        <f>'New order'!BN6</f>
        <v>0</v>
      </c>
      <c r="AP47" s="543">
        <f>'New order'!BL16</f>
        <v>0</v>
      </c>
      <c r="AQ47" s="558">
        <f>'New order'!BN16</f>
        <v>0</v>
      </c>
      <c r="AR47" s="543">
        <f>'New order'!BL25</f>
        <v>0</v>
      </c>
      <c r="AS47" s="558">
        <f>'New order'!BN25</f>
        <v>0</v>
      </c>
      <c r="AT47" s="543">
        <f>'New order'!BL34</f>
        <v>0</v>
      </c>
      <c r="AU47" s="558">
        <f>'New order'!BN34</f>
        <v>0</v>
      </c>
      <c r="AV47" s="1"/>
      <c r="AW47" s="1"/>
      <c r="AX47" s="1"/>
      <c r="AY47" s="1"/>
      <c r="AZ47" s="1"/>
      <c r="BA47" s="1"/>
      <c r="BB47" s="1"/>
    </row>
    <row r="48" spans="1:54" ht="13.5" hidden="1" customHeight="1" x14ac:dyDescent="0.25">
      <c r="A48" s="41"/>
      <c r="B48" s="104" t="s">
        <v>18</v>
      </c>
      <c r="C48" s="837" t="s">
        <v>33</v>
      </c>
      <c r="D48" s="727"/>
      <c r="E48" s="828"/>
      <c r="F48" s="686" t="s">
        <v>34</v>
      </c>
      <c r="G48" s="45" t="s">
        <v>35</v>
      </c>
      <c r="H48" s="27">
        <f>VLOOKUP(C48,A!A$1:H$669,8,FALSE)</f>
        <v>3</v>
      </c>
      <c r="I48" s="27"/>
      <c r="J48" s="28">
        <f>IF(VLOOKUP(C48,A!A$1:H$669,4,FALSE)="y",1,0)</f>
        <v>0</v>
      </c>
      <c r="K48" s="28">
        <f>IF(VLOOKUP(C48,A!A$1:H$669,5,FALSE)="y",1,0)</f>
        <v>0</v>
      </c>
      <c r="L48" s="544" t="str">
        <f t="shared" ref="L48:L113" si="16">IF(T48&lt;35,"Low",IF(T48&gt;40,"High","Med"))</f>
        <v>Low</v>
      </c>
      <c r="M48" s="27">
        <f>VLOOKUP(C48,A!A$1:H$669,6,FALSE)</f>
        <v>0</v>
      </c>
      <c r="N48" s="44" t="s">
        <v>31</v>
      </c>
      <c r="O48" s="533">
        <f>VLOOKUP(C48,A!A$1:G$669,2,FALSE)</f>
        <v>0</v>
      </c>
      <c r="P48" s="533" t="s">
        <v>24</v>
      </c>
      <c r="Q48" s="533" t="str">
        <f>IF(S48=0,"",COUNTIF(Q$12:Q47,"&gt;0")+1)</f>
        <v/>
      </c>
      <c r="R48" s="533" t="str">
        <f>IF(S48=0,"",COUNTIF(R$12:R47,"&gt;0")+1)</f>
        <v/>
      </c>
      <c r="S48" s="533">
        <f t="shared" si="11"/>
        <v>0</v>
      </c>
      <c r="T48" s="533">
        <f>VLOOKUP(C48,A!A$1:AH$669,31,FALSE)</f>
        <v>30</v>
      </c>
      <c r="U48" s="533">
        <v>0.17499999999999999</v>
      </c>
      <c r="V48" s="533"/>
      <c r="W48" s="533" t="str">
        <f t="shared" si="12"/>
        <v/>
      </c>
      <c r="X48" s="533">
        <f>IF(V48&lt;&gt;"",COUNTIF(V$46:V48,V48)-1,0)</f>
        <v>0</v>
      </c>
      <c r="Y48" s="533"/>
      <c r="Z48" s="533" t="str">
        <f t="shared" si="13"/>
        <v/>
      </c>
      <c r="AA48" s="533" t="str">
        <f>IFERROR(RANK(Z48,Z$47:Z$226,0)+COUNTIF(Z$47:Z48,Z48)-1,"")</f>
        <v/>
      </c>
      <c r="AB48" s="533">
        <f t="shared" si="14"/>
        <v>0</v>
      </c>
      <c r="AC48" s="533">
        <f t="shared" ref="AC48:AC113" si="17">IF(AA48&lt;=AC$46,1,0)</f>
        <v>0</v>
      </c>
      <c r="AD48" s="533"/>
      <c r="AE48" s="533"/>
      <c r="AF48" s="543">
        <v>4</v>
      </c>
      <c r="AG48" s="543">
        <f>IF(AM$44=1,AO49,IF(AM$44=2,AQ49,IF(AM$44=3,AS49,IF(AM$44=4,AU49,AW36))))</f>
        <v>0</v>
      </c>
      <c r="AH48" s="1061">
        <f t="shared" si="8"/>
        <v>0</v>
      </c>
      <c r="AI48" s="533">
        <f>IF(AM$44=1,AN49,IF(AM$44=2,AP49,IF(AM$44=3,AR49,IF(AM$44=4,AT49,AV36))))</f>
        <v>0</v>
      </c>
      <c r="AJ48" s="543">
        <f t="shared" si="9"/>
        <v>0</v>
      </c>
      <c r="AK48" s="543">
        <f t="shared" si="10"/>
        <v>0</v>
      </c>
      <c r="AL48" s="543">
        <f t="shared" si="15"/>
        <v>0</v>
      </c>
      <c r="AM48" s="543">
        <v>3</v>
      </c>
      <c r="AN48" s="543">
        <f>'New order'!BL7</f>
        <v>0</v>
      </c>
      <c r="AO48" s="558">
        <f>'New order'!BN7</f>
        <v>0</v>
      </c>
      <c r="AP48" s="543">
        <f>'New order'!BL17</f>
        <v>0</v>
      </c>
      <c r="AQ48" s="558">
        <f>'New order'!BN17</f>
        <v>0</v>
      </c>
      <c r="AR48" s="543">
        <f>'New order'!BL26</f>
        <v>0</v>
      </c>
      <c r="AS48" s="558">
        <f>'New order'!BN26</f>
        <v>0</v>
      </c>
      <c r="AT48" s="543">
        <f>'New order'!BL35</f>
        <v>0</v>
      </c>
      <c r="AU48" s="558">
        <f>'New order'!BN35</f>
        <v>0</v>
      </c>
      <c r="AV48" s="1"/>
      <c r="AW48" s="1"/>
      <c r="AX48" s="1"/>
      <c r="AY48" s="1"/>
      <c r="AZ48" s="1"/>
      <c r="BA48" s="1"/>
      <c r="BB48" s="1"/>
    </row>
    <row r="49" spans="1:54" ht="11.25" hidden="1" customHeight="1" x14ac:dyDescent="0.25">
      <c r="A49" s="41"/>
      <c r="B49" s="104" t="s">
        <v>18</v>
      </c>
      <c r="C49" s="837" t="s">
        <v>36</v>
      </c>
      <c r="D49" s="727"/>
      <c r="E49" s="828"/>
      <c r="F49" s="686" t="s">
        <v>37</v>
      </c>
      <c r="G49" s="45" t="s">
        <v>38</v>
      </c>
      <c r="H49" s="102">
        <f>VLOOKUP(C49,A!A$1:H$669,8,FALSE)</f>
        <v>1</v>
      </c>
      <c r="I49" s="27"/>
      <c r="J49" s="28">
        <f>IF(VLOOKUP(C49,A!A$1:H$669,4,FALSE)="y",1,0)</f>
        <v>0</v>
      </c>
      <c r="K49" s="28">
        <f>IF(VLOOKUP(C49,A!A$1:H$669,5,FALSE)="y",1,0)</f>
        <v>0</v>
      </c>
      <c r="L49" s="544" t="str">
        <f t="shared" si="16"/>
        <v>Low</v>
      </c>
      <c r="M49" s="27">
        <f>VLOOKUP(C49,A!A$1:H$669,6,FALSE)</f>
        <v>0</v>
      </c>
      <c r="N49" s="44" t="s">
        <v>39</v>
      </c>
      <c r="O49" s="533">
        <f>VLOOKUP(C49,A!A$1:G$669,2,FALSE)</f>
        <v>0</v>
      </c>
      <c r="P49" s="533" t="s">
        <v>24</v>
      </c>
      <c r="Q49" s="533" t="str">
        <f>IF(S49=0,"",COUNTIF(Q$12:Q48,"&gt;0")+1)</f>
        <v/>
      </c>
      <c r="R49" s="533" t="str">
        <f>IF(S49=0,"",COUNTIF(R$12:R48,"&gt;0")+1)</f>
        <v/>
      </c>
      <c r="S49" s="533">
        <f t="shared" si="11"/>
        <v>0</v>
      </c>
      <c r="T49" s="533">
        <f>VLOOKUP(C49,A!A$1:AH$669,31,FALSE)</f>
        <v>0</v>
      </c>
      <c r="U49" s="533">
        <v>0.17499999999999999</v>
      </c>
      <c r="V49" s="533"/>
      <c r="W49" s="533" t="str">
        <f t="shared" si="12"/>
        <v/>
      </c>
      <c r="X49" s="533">
        <f>IF(V49&lt;&gt;"",COUNTIF(V$46:V49,V49)-1,0)</f>
        <v>0</v>
      </c>
      <c r="Y49" s="533"/>
      <c r="Z49" s="533" t="str">
        <f t="shared" si="13"/>
        <v/>
      </c>
      <c r="AA49" s="533" t="str">
        <f>IFERROR(RANK(Z49,Z$47:Z$226,0)+COUNTIF(Z$47:Z49,Z49)-1,"")</f>
        <v/>
      </c>
      <c r="AB49" s="533">
        <f t="shared" si="14"/>
        <v>0</v>
      </c>
      <c r="AC49" s="533">
        <f t="shared" si="17"/>
        <v>0</v>
      </c>
      <c r="AD49" s="533"/>
      <c r="AE49" s="533"/>
      <c r="AF49" s="543">
        <v>3</v>
      </c>
      <c r="AG49" s="543">
        <f>IF(AM$44=1,AO48,IF(AM$44=2,AQ48,IF(AM$44=3,AS48,IF(AM$44=4,AU48,AW35))))</f>
        <v>0</v>
      </c>
      <c r="AH49" s="1061">
        <f t="shared" si="8"/>
        <v>0</v>
      </c>
      <c r="AI49" s="533">
        <f>IF(AM$44=1,AN48,IF(AM$44=2,AP48,IF(AM$44=3,AR48,IF(AM$44=4,AT48,AV35))))</f>
        <v>0</v>
      </c>
      <c r="AJ49" s="543">
        <f t="shared" si="9"/>
        <v>0</v>
      </c>
      <c r="AK49" s="543">
        <f t="shared" si="10"/>
        <v>0</v>
      </c>
      <c r="AL49" s="543">
        <f t="shared" si="15"/>
        <v>0</v>
      </c>
      <c r="AM49" s="543">
        <v>4</v>
      </c>
      <c r="AN49" s="543">
        <f>'New order'!BL8</f>
        <v>0</v>
      </c>
      <c r="AO49" s="558">
        <f>'New order'!BN8</f>
        <v>0</v>
      </c>
      <c r="AP49" s="543">
        <f>'New order'!BL18</f>
        <v>0</v>
      </c>
      <c r="AQ49" s="558">
        <f>'New order'!BN18</f>
        <v>0</v>
      </c>
      <c r="AR49" s="543">
        <f>'New order'!BL27</f>
        <v>0</v>
      </c>
      <c r="AS49" s="558">
        <f>'New order'!BN27</f>
        <v>0</v>
      </c>
      <c r="AT49" s="543">
        <f>'New order'!BL36</f>
        <v>0</v>
      </c>
      <c r="AU49" s="558">
        <f>'New order'!BN36</f>
        <v>0</v>
      </c>
      <c r="AV49" s="533"/>
      <c r="AW49" s="533"/>
      <c r="AX49" s="1"/>
      <c r="AY49" s="1"/>
      <c r="AZ49" s="1"/>
      <c r="BA49" s="1"/>
      <c r="BB49" s="1"/>
    </row>
    <row r="50" spans="1:54" ht="13.5" customHeight="1" x14ac:dyDescent="0.25">
      <c r="A50" s="41"/>
      <c r="B50" s="104" t="s">
        <v>18</v>
      </c>
      <c r="C50" s="837" t="s">
        <v>40</v>
      </c>
      <c r="D50" s="727"/>
      <c r="E50" s="711"/>
      <c r="F50" s="686" t="s">
        <v>41</v>
      </c>
      <c r="G50" s="42" t="s">
        <v>42</v>
      </c>
      <c r="H50" s="27">
        <f>VLOOKUP(C50,A!A$1:H$669,8,FALSE)</f>
        <v>1</v>
      </c>
      <c r="I50" s="27"/>
      <c r="J50" s="28">
        <f>IF(VLOOKUP(C50,A!A$1:H$669,4,FALSE)="y",1,0)</f>
        <v>1</v>
      </c>
      <c r="K50" s="28">
        <f>IF(VLOOKUP(C50,A!A$1:H$669,5,FALSE)="y",1,0)</f>
        <v>1</v>
      </c>
      <c r="L50" s="544" t="str">
        <f t="shared" si="16"/>
        <v>Med</v>
      </c>
      <c r="M50" s="27">
        <f>VLOOKUP(C50,A!A$1:H$669,6,FALSE)</f>
        <v>0</v>
      </c>
      <c r="N50" s="44" t="s">
        <v>39</v>
      </c>
      <c r="O50" s="533" t="str">
        <f>VLOOKUP(C50,A!A$1:G$669,2,FALSE)</f>
        <v>y</v>
      </c>
      <c r="P50" s="533" t="s">
        <v>24</v>
      </c>
      <c r="Q50" s="533" t="str">
        <f>IF(S50=0,"",COUNTIF(Q$12:Q49,"&gt;0")+1)</f>
        <v/>
      </c>
      <c r="R50" s="533" t="str">
        <f>IF(S50=0,"",COUNTIF(R$12:R49,"&gt;0")+1)</f>
        <v/>
      </c>
      <c r="S50" s="533">
        <f t="shared" si="11"/>
        <v>0</v>
      </c>
      <c r="T50" s="533">
        <f>VLOOKUP(C50,A!A$1:AH$669,31,FALSE)</f>
        <v>35</v>
      </c>
      <c r="U50" s="533">
        <v>0.16500000000000001</v>
      </c>
      <c r="V50" s="533">
        <v>39</v>
      </c>
      <c r="W50" s="533" t="str">
        <f t="shared" si="12"/>
        <v/>
      </c>
      <c r="X50" s="533">
        <f>IF(V50&lt;&gt;"",COUNTIF(V$46:V50,V50)-1,0)</f>
        <v>0</v>
      </c>
      <c r="Y50" s="533">
        <f>A23</f>
        <v>0</v>
      </c>
      <c r="Z50" s="533">
        <f t="shared" si="13"/>
        <v>-135</v>
      </c>
      <c r="AA50" s="533">
        <f>IFERROR(RANK(Z50,Z$47:Z$226,0)+COUNTIF(Z$47:Z50,Z50)-1,"")</f>
        <v>13</v>
      </c>
      <c r="AB50" s="533">
        <f t="shared" si="14"/>
        <v>0</v>
      </c>
      <c r="AC50" s="533">
        <f t="shared" si="17"/>
        <v>0</v>
      </c>
      <c r="AD50" s="533"/>
      <c r="AE50" s="533"/>
      <c r="AF50" s="543">
        <v>2</v>
      </c>
      <c r="AG50" s="543">
        <f>IF(AM$44=1,AO47,IF(AM$44=2,AQ47,IF(AM$44=3,AS47,IF(AM$44=4,AU47,AW34))))</f>
        <v>0</v>
      </c>
      <c r="AH50" s="1061">
        <f t="shared" si="8"/>
        <v>0</v>
      </c>
      <c r="AI50" s="533">
        <f>IF(AM$44=1,AN47,IF(AM$44=2,AP47,IF(AM$44=3,AR47,IF(AM$44=4,AT47,AV34))))</f>
        <v>0</v>
      </c>
      <c r="AJ50" s="543">
        <f t="shared" si="9"/>
        <v>0</v>
      </c>
      <c r="AK50" s="543">
        <f t="shared" si="10"/>
        <v>0</v>
      </c>
      <c r="AL50" s="543">
        <f t="shared" si="15"/>
        <v>0</v>
      </c>
      <c r="AM50" s="543">
        <v>5</v>
      </c>
      <c r="AN50" s="543">
        <f>'New order'!BL9</f>
        <v>0</v>
      </c>
      <c r="AO50" s="558">
        <f>'New order'!BN9</f>
        <v>0</v>
      </c>
      <c r="AP50" s="543">
        <f>'New order'!BL19</f>
        <v>0</v>
      </c>
      <c r="AQ50" s="558">
        <f>'New order'!BN19</f>
        <v>0</v>
      </c>
      <c r="AR50" s="543">
        <f>'New order'!BL28</f>
        <v>0</v>
      </c>
      <c r="AS50" s="558">
        <f>'New order'!BN28</f>
        <v>0</v>
      </c>
      <c r="AT50" s="543">
        <f>'New order'!BL37</f>
        <v>0</v>
      </c>
      <c r="AU50" s="558">
        <f>'New order'!BN37</f>
        <v>0</v>
      </c>
      <c r="AV50" s="533"/>
      <c r="AW50" s="533"/>
      <c r="AX50" s="1"/>
      <c r="AY50" s="1"/>
      <c r="AZ50" s="1"/>
      <c r="BA50" s="1"/>
      <c r="BB50" s="1"/>
    </row>
    <row r="51" spans="1:54" ht="13.5" customHeight="1" x14ac:dyDescent="0.25">
      <c r="A51" s="41"/>
      <c r="B51" s="104" t="s">
        <v>18</v>
      </c>
      <c r="C51" s="844" t="s">
        <v>43</v>
      </c>
      <c r="D51" s="727"/>
      <c r="E51" s="828"/>
      <c r="F51" s="686" t="s">
        <v>44</v>
      </c>
      <c r="G51" s="42" t="s">
        <v>45</v>
      </c>
      <c r="H51" s="27">
        <f>VLOOKUP(C51,A!A$1:H$669,8,FALSE)</f>
        <v>2</v>
      </c>
      <c r="I51" s="27"/>
      <c r="J51" s="28">
        <f>IF(VLOOKUP(C51,A!A$1:H$669,4,FALSE)="y",1,0)</f>
        <v>1</v>
      </c>
      <c r="K51" s="28">
        <f>IF(VLOOKUP(C51,A!A$1:H$669,5,FALSE)="y",1,0)</f>
        <v>1</v>
      </c>
      <c r="L51" s="544" t="str">
        <f t="shared" si="16"/>
        <v>Med</v>
      </c>
      <c r="M51" s="27">
        <f>VLOOKUP(C51,A!A$1:H$669,6,FALSE)</f>
        <v>0</v>
      </c>
      <c r="N51" s="44" t="s">
        <v>39</v>
      </c>
      <c r="O51" s="533" t="str">
        <f>VLOOKUP(C51,A!A$1:G$669,2,FALSE)</f>
        <v>y</v>
      </c>
      <c r="P51" s="533" t="s">
        <v>24</v>
      </c>
      <c r="Q51" s="533" t="str">
        <f>IF(S51=0,"",COUNTIF(Q$12:Q50,"&gt;0")+1)</f>
        <v/>
      </c>
      <c r="R51" s="533" t="str">
        <f>IF(S51=0,"",COUNTIF(R$12:R50,"&gt;0")+1)</f>
        <v/>
      </c>
      <c r="S51" s="533">
        <f t="shared" si="11"/>
        <v>0</v>
      </c>
      <c r="T51" s="533">
        <f>VLOOKUP(C51,A!A$1:AH$669,31,FALSE)</f>
        <v>35</v>
      </c>
      <c r="U51" s="533">
        <v>0.16500000000000001</v>
      </c>
      <c r="V51" s="533">
        <v>72</v>
      </c>
      <c r="W51" s="533" t="str">
        <f t="shared" si="12"/>
        <v/>
      </c>
      <c r="X51" s="533">
        <f>IF(V51&lt;&gt;"",COUNTIF(V$46:V51,V51)-1,0)</f>
        <v>0</v>
      </c>
      <c r="Y51" s="533">
        <f>A23</f>
        <v>0</v>
      </c>
      <c r="Z51" s="533">
        <f t="shared" si="13"/>
        <v>-235</v>
      </c>
      <c r="AA51" s="533">
        <f>IFERROR(RANK(Z51,Z$47:Z$226,0)+COUNTIF(Z$47:Z51,Z51)-1,"")</f>
        <v>29</v>
      </c>
      <c r="AB51" s="533">
        <f t="shared" si="14"/>
        <v>0</v>
      </c>
      <c r="AC51" s="533">
        <f t="shared" si="17"/>
        <v>0</v>
      </c>
      <c r="AD51" s="533"/>
      <c r="AE51" s="533"/>
      <c r="AF51" s="543">
        <v>1</v>
      </c>
      <c r="AG51" s="1061">
        <f>IF(AM$44=1,AO46,IF(AM$44=2,AQ46,IF(AM$44=3,AS46,IF(AM$44=4,AU46,AW33))))</f>
        <v>0</v>
      </c>
      <c r="AH51" s="1061">
        <f t="shared" si="8"/>
        <v>0</v>
      </c>
      <c r="AI51" s="533">
        <f>IF(AM$44=1,AN46,IF(AM$44=2,AP46,IF(AM$44=3,AR46,IF(AM$44=4,AT46,AV33))))</f>
        <v>0</v>
      </c>
      <c r="AJ51" s="543">
        <f t="shared" si="9"/>
        <v>0</v>
      </c>
      <c r="AK51" s="543">
        <f t="shared" si="10"/>
        <v>0</v>
      </c>
      <c r="AL51" s="543">
        <f t="shared" si="15"/>
        <v>0</v>
      </c>
      <c r="AM51" s="533">
        <v>6</v>
      </c>
      <c r="AN51" s="543">
        <f>'New order'!BL10</f>
        <v>0</v>
      </c>
      <c r="AO51" s="558">
        <f>'New order'!BN10</f>
        <v>0</v>
      </c>
      <c r="AP51" s="543">
        <f>'New order'!BL20</f>
        <v>0</v>
      </c>
      <c r="AQ51" s="558">
        <f>'New order'!BN20</f>
        <v>0</v>
      </c>
      <c r="AR51" s="543">
        <f>'New order'!BL29</f>
        <v>0</v>
      </c>
      <c r="AS51" s="558">
        <f>'New order'!BN29</f>
        <v>0</v>
      </c>
      <c r="AT51" s="543">
        <f>'New order'!BL38</f>
        <v>0</v>
      </c>
      <c r="AU51" s="558">
        <f>'New order'!BN38</f>
        <v>0</v>
      </c>
      <c r="AV51" s="533"/>
      <c r="AW51" s="533"/>
    </row>
    <row r="52" spans="1:54" ht="11.25" hidden="1" customHeight="1" x14ac:dyDescent="0.25">
      <c r="A52" s="41"/>
      <c r="B52" s="104" t="s">
        <v>18</v>
      </c>
      <c r="C52" s="837" t="s">
        <v>46</v>
      </c>
      <c r="D52" s="727"/>
      <c r="E52" s="828"/>
      <c r="F52" s="686" t="s">
        <v>47</v>
      </c>
      <c r="G52" s="42" t="s">
        <v>48</v>
      </c>
      <c r="H52" s="27">
        <f>VLOOKUP(C52,A!A$1:H$669,8,FALSE)</f>
        <v>2</v>
      </c>
      <c r="I52" s="27"/>
      <c r="J52" s="28">
        <f>IF(VLOOKUP(C52,A!A$1:H$669,4,FALSE)="y",1,0)</f>
        <v>0</v>
      </c>
      <c r="K52" s="28">
        <f>IF(VLOOKUP(C52,A!A$1:H$669,5,FALSE)="y",1,0)</f>
        <v>0</v>
      </c>
      <c r="L52" s="544" t="str">
        <f t="shared" si="16"/>
        <v>Low</v>
      </c>
      <c r="M52" s="27">
        <f>VLOOKUP(C52,A!A$1:H$669,6,FALSE)</f>
        <v>0</v>
      </c>
      <c r="N52" s="44">
        <v>2</v>
      </c>
      <c r="O52" s="533">
        <f>VLOOKUP(C52,A!A$1:G$669,2,FALSE)</f>
        <v>0</v>
      </c>
      <c r="P52" s="533" t="s">
        <v>24</v>
      </c>
      <c r="Q52" s="533" t="str">
        <f>IF(S52=0,"",COUNTIF(Q$12:Q51,"&gt;0")+1)</f>
        <v/>
      </c>
      <c r="R52" s="533" t="str">
        <f>IF(S52=0,"",COUNTIF(R$12:R51,"&gt;0")+1)</f>
        <v/>
      </c>
      <c r="S52" s="533">
        <f t="shared" si="11"/>
        <v>0</v>
      </c>
      <c r="T52" s="533">
        <f>VLOOKUP(C52,A!A$1:AH$669,31,FALSE)</f>
        <v>0</v>
      </c>
      <c r="U52" s="533">
        <v>0.16500000000000001</v>
      </c>
      <c r="V52" s="533"/>
      <c r="W52" s="533" t="str">
        <f t="shared" si="12"/>
        <v/>
      </c>
      <c r="X52" s="533">
        <f>IF(V52&lt;&gt;"",COUNTIF(V$46:V52,V52)-1,0)</f>
        <v>0</v>
      </c>
      <c r="Y52" s="533"/>
      <c r="Z52" s="533" t="str">
        <f t="shared" si="13"/>
        <v/>
      </c>
      <c r="AA52" s="533" t="str">
        <f>IFERROR(RANK(Z52,Z$47:Z$226,0)+COUNTIF(Z$47:Z52,Z52)-1,"")</f>
        <v/>
      </c>
      <c r="AB52" s="533">
        <f t="shared" si="14"/>
        <v>0</v>
      </c>
      <c r="AC52" s="533">
        <f t="shared" si="17"/>
        <v>0</v>
      </c>
      <c r="AD52" s="533"/>
      <c r="AE52" s="533"/>
      <c r="AF52" s="533">
        <v>0</v>
      </c>
      <c r="AG52" s="1061">
        <f>IF(AM$44=1,AO45,IF(AM$44=2,AQ45,IF(AM$44=3,AS45,IF(AM$44=4,AU45,AW32))))</f>
        <v>0</v>
      </c>
      <c r="AH52" s="1061">
        <f t="shared" si="8"/>
        <v>0</v>
      </c>
      <c r="AI52" s="533">
        <f>IF(AM$44=1,AN45,IF(AM$44=2,AP45,IF(AM$44=3,AR45,IF(AM$44=4,AT45,AV32))))</f>
        <v>0</v>
      </c>
      <c r="AJ52" s="543">
        <f>AI52</f>
        <v>0</v>
      </c>
      <c r="AK52" s="543">
        <f t="shared" si="10"/>
        <v>0</v>
      </c>
      <c r="AL52" s="543">
        <f t="shared" si="15"/>
        <v>0</v>
      </c>
      <c r="AM52" s="533">
        <v>7</v>
      </c>
      <c r="AN52" s="543">
        <f>'New order'!BL11</f>
        <v>0</v>
      </c>
      <c r="AO52" s="558">
        <f>'New order'!BN11</f>
        <v>0</v>
      </c>
      <c r="AP52" s="543">
        <f>'New order'!BL21</f>
        <v>0</v>
      </c>
      <c r="AQ52" s="558">
        <f>'New order'!BN21</f>
        <v>0</v>
      </c>
      <c r="AR52" s="543">
        <f>'New order'!BL30</f>
        <v>0</v>
      </c>
      <c r="AS52" s="558">
        <f>'New order'!BN30</f>
        <v>0</v>
      </c>
      <c r="AT52" s="543">
        <f>'New order'!BL39</f>
        <v>0</v>
      </c>
      <c r="AU52" s="558">
        <f>'New order'!BN39</f>
        <v>0</v>
      </c>
      <c r="AV52" s="533"/>
      <c r="AW52" s="533"/>
    </row>
    <row r="53" spans="1:54" ht="11.25" hidden="1" customHeight="1" x14ac:dyDescent="0.25">
      <c r="A53" s="41"/>
      <c r="B53" s="104" t="s">
        <v>18</v>
      </c>
      <c r="C53" s="694" t="s">
        <v>1026</v>
      </c>
      <c r="D53" s="727"/>
      <c r="E53" s="828"/>
      <c r="F53" s="686" t="s">
        <v>1027</v>
      </c>
      <c r="G53" s="42" t="s">
        <v>1031</v>
      </c>
      <c r="H53" s="27">
        <v>1</v>
      </c>
      <c r="I53" s="27"/>
      <c r="J53" s="28"/>
      <c r="K53" s="28"/>
      <c r="L53" s="544" t="str">
        <f t="shared" si="16"/>
        <v>Low</v>
      </c>
      <c r="M53" s="27"/>
      <c r="N53" s="44" t="s">
        <v>39</v>
      </c>
      <c r="O53" s="533">
        <f>VLOOKUP(C53,A!A$1:G$669,2,FALSE)</f>
        <v>0</v>
      </c>
      <c r="P53" s="533" t="s">
        <v>24</v>
      </c>
      <c r="Q53" s="533" t="str">
        <f>IF(S53=0,"",COUNTIF(Q$12:Q52,"&gt;0")+1)</f>
        <v/>
      </c>
      <c r="R53" s="533" t="str">
        <f>IF(S53=0,"",COUNTIF(R$12:R52,"&gt;0")+1)</f>
        <v/>
      </c>
      <c r="S53" s="533">
        <f t="shared" si="11"/>
        <v>0</v>
      </c>
      <c r="T53" s="533">
        <f>VLOOKUP(C53,A!A$1:AH$669,31,FALSE)</f>
        <v>0</v>
      </c>
      <c r="U53" s="533">
        <v>0.16500000000000001</v>
      </c>
      <c r="V53" s="533"/>
      <c r="W53" s="533" t="str">
        <f t="shared" si="12"/>
        <v/>
      </c>
      <c r="X53" s="533">
        <f>IF(V53&lt;&gt;"",COUNTIF(V$46:V53,V53)-1,0)</f>
        <v>0</v>
      </c>
      <c r="Y53" s="533"/>
      <c r="Z53" s="533" t="str">
        <f t="shared" si="13"/>
        <v/>
      </c>
      <c r="AA53" s="533" t="str">
        <f>IFERROR(RANK(Z53,Z$47:Z$226,0)+COUNTIF(Z$47:Z53,Z53)-1,"")</f>
        <v/>
      </c>
      <c r="AB53" s="533">
        <f t="shared" ref="AB53:AB118" si="18">IF(AA53&lt;=AB$46,1,0)</f>
        <v>0</v>
      </c>
      <c r="AC53" s="533">
        <f t="shared" si="17"/>
        <v>0</v>
      </c>
      <c r="AD53" s="533"/>
      <c r="AE53" s="533"/>
      <c r="AF53" s="533"/>
      <c r="AG53" s="533"/>
      <c r="AH53" s="533"/>
      <c r="AI53" s="533"/>
      <c r="AJ53" s="533"/>
      <c r="AK53" s="533"/>
      <c r="AL53" s="533"/>
      <c r="AM53" s="533"/>
      <c r="AN53" s="533"/>
      <c r="AO53" s="533"/>
      <c r="AP53" s="533"/>
      <c r="AQ53" s="533"/>
      <c r="AR53" s="533"/>
      <c r="AS53" s="533"/>
      <c r="AT53" s="533"/>
      <c r="AU53" s="533"/>
      <c r="AV53" s="533"/>
      <c r="AW53" s="533"/>
    </row>
    <row r="54" spans="1:54" ht="13.5" hidden="1" customHeight="1" x14ac:dyDescent="0.25">
      <c r="A54" s="41"/>
      <c r="B54" s="104" t="s">
        <v>18</v>
      </c>
      <c r="C54" s="837" t="s">
        <v>49</v>
      </c>
      <c r="D54" s="728"/>
      <c r="E54" s="711"/>
      <c r="F54" s="686" t="s">
        <v>50</v>
      </c>
      <c r="G54" s="42" t="s">
        <v>51</v>
      </c>
      <c r="H54" s="27">
        <f>VLOOKUP(C54,A!A$1:H$669,8,FALSE)</f>
        <v>1</v>
      </c>
      <c r="I54" s="27"/>
      <c r="J54" s="28">
        <f>IF(VLOOKUP(C54,A!A$1:H$669,4,FALSE)="y",1,0)</f>
        <v>0</v>
      </c>
      <c r="K54" s="28">
        <f>IF(VLOOKUP(C54,A!A$1:H$669,5,FALSE)="y",1,0)</f>
        <v>0</v>
      </c>
      <c r="L54" s="544" t="str">
        <f t="shared" si="16"/>
        <v>Low</v>
      </c>
      <c r="M54" s="27">
        <f>VLOOKUP(C54,A!A$1:H$669,6,FALSE)</f>
        <v>0</v>
      </c>
      <c r="N54" s="44" t="s">
        <v>39</v>
      </c>
      <c r="O54" s="533">
        <f>VLOOKUP(C54,A!A$1:G$669,2,FALSE)</f>
        <v>0</v>
      </c>
      <c r="P54" s="533" t="s">
        <v>24</v>
      </c>
      <c r="Q54" s="533" t="str">
        <f>IF(S54=0,"",COUNTIF(Q$12:Q53,"&gt;0")+1)</f>
        <v/>
      </c>
      <c r="R54" s="533" t="str">
        <f>IF(S54=0,"",COUNTIF(R$12:R53,"&gt;0")+1)</f>
        <v/>
      </c>
      <c r="S54" s="533">
        <f t="shared" si="11"/>
        <v>0</v>
      </c>
      <c r="T54" s="533">
        <f>VLOOKUP(C54,A!A$1:AH$669,31,FALSE)</f>
        <v>0</v>
      </c>
      <c r="U54" s="533">
        <v>0.16500000000000001</v>
      </c>
      <c r="V54" s="533"/>
      <c r="W54" s="533" t="str">
        <f t="shared" si="12"/>
        <v/>
      </c>
      <c r="X54" s="533">
        <f>IF(V54&lt;&gt;"",COUNTIF(V$46:V54,V54)-1,0)</f>
        <v>0</v>
      </c>
      <c r="Y54" s="533">
        <f>A23</f>
        <v>0</v>
      </c>
      <c r="Z54" s="533" t="str">
        <f t="shared" si="13"/>
        <v/>
      </c>
      <c r="AA54" s="533" t="str">
        <f>IFERROR(RANK(Z54,Z$47:Z$226,0)+COUNTIF(Z$47:Z54,Z54)-1,"")</f>
        <v/>
      </c>
      <c r="AB54" s="533">
        <f t="shared" si="18"/>
        <v>0</v>
      </c>
      <c r="AC54" s="533">
        <f t="shared" si="17"/>
        <v>0</v>
      </c>
      <c r="AD54" s="533"/>
      <c r="AE54" s="533"/>
      <c r="AF54" s="533"/>
      <c r="AG54" s="533"/>
      <c r="AH54" s="533"/>
      <c r="AI54" s="533"/>
      <c r="AJ54" s="533"/>
      <c r="AK54" s="533"/>
      <c r="AL54" s="533"/>
      <c r="AM54" s="533"/>
      <c r="AN54" s="533"/>
      <c r="AO54" s="533"/>
      <c r="AP54" s="533"/>
      <c r="AQ54" s="533"/>
      <c r="AR54" s="533"/>
      <c r="AS54" s="533"/>
      <c r="AT54" s="533"/>
      <c r="AU54" s="533"/>
      <c r="AV54" s="533"/>
      <c r="AW54" s="533"/>
    </row>
    <row r="55" spans="1:54" ht="13.5" customHeight="1" x14ac:dyDescent="0.25">
      <c r="A55" s="41"/>
      <c r="B55" s="104" t="s">
        <v>18</v>
      </c>
      <c r="C55" s="837" t="s">
        <v>52</v>
      </c>
      <c r="D55" s="727"/>
      <c r="E55" s="711"/>
      <c r="F55" s="686" t="s">
        <v>53</v>
      </c>
      <c r="G55" s="42" t="s">
        <v>54</v>
      </c>
      <c r="H55" s="27">
        <f>VLOOKUP(C55,A!A$1:H$669,8,FALSE)</f>
        <v>2</v>
      </c>
      <c r="I55" s="27" t="s">
        <v>30</v>
      </c>
      <c r="J55" s="28">
        <f>IF(VLOOKUP(C55,A!A$1:H$669,4,FALSE)="y",1,0)</f>
        <v>1</v>
      </c>
      <c r="K55" s="28">
        <f>IF(VLOOKUP(C55,A!A$1:H$669,5,FALSE)="y",1,0)</f>
        <v>0</v>
      </c>
      <c r="L55" s="544" t="str">
        <f t="shared" si="16"/>
        <v>Med</v>
      </c>
      <c r="M55" s="27">
        <f>VLOOKUP(C55,A!A$1:H$669,6,FALSE)</f>
        <v>0</v>
      </c>
      <c r="N55" s="44" t="s">
        <v>39</v>
      </c>
      <c r="O55" s="533" t="str">
        <f>VLOOKUP(C55,A!A$1:G$669,2,FALSE)</f>
        <v>y</v>
      </c>
      <c r="P55" s="533" t="s">
        <v>24</v>
      </c>
      <c r="Q55" s="533" t="str">
        <f>IF(S55=0,"",COUNTIF(Q$12:Q54,"&gt;0")+1)</f>
        <v/>
      </c>
      <c r="R55" s="533" t="str">
        <f>IF(S55=0,"",COUNTIF(R$12:R54,"&gt;0")+1)</f>
        <v/>
      </c>
      <c r="S55" s="533">
        <f t="shared" si="11"/>
        <v>0</v>
      </c>
      <c r="T55" s="533">
        <f>VLOOKUP(C55,A!A$1:AH$669,31,FALSE)</f>
        <v>35</v>
      </c>
      <c r="U55" s="533">
        <v>0.16500000000000001</v>
      </c>
      <c r="V55" s="533">
        <v>40</v>
      </c>
      <c r="W55" s="533" t="str">
        <f t="shared" si="12"/>
        <v/>
      </c>
      <c r="X55" s="533">
        <f>IF(V55&lt;&gt;"",COUNTIF(V$46:V55,V55)-1,0)</f>
        <v>0</v>
      </c>
      <c r="Y55" s="533"/>
      <c r="Z55" s="533">
        <f t="shared" si="13"/>
        <v>-235</v>
      </c>
      <c r="AA55" s="533">
        <f>IFERROR(RANK(Z55,Z$47:Z$226,0)+COUNTIF(Z$47:Z55,Z55)-1,"")</f>
        <v>30</v>
      </c>
      <c r="AB55" s="533">
        <f t="shared" si="18"/>
        <v>0</v>
      </c>
      <c r="AC55" s="533">
        <f t="shared" si="17"/>
        <v>0</v>
      </c>
      <c r="AD55" s="533"/>
      <c r="AE55" s="533"/>
      <c r="AF55" s="533"/>
      <c r="AG55" s="533"/>
      <c r="AH55" s="533"/>
      <c r="AI55" s="533"/>
      <c r="AJ55" s="533"/>
      <c r="AK55" s="543"/>
      <c r="AL55" s="533"/>
      <c r="AM55" s="533"/>
      <c r="AN55" s="533"/>
      <c r="AO55" s="533"/>
      <c r="AP55" s="533"/>
      <c r="AQ55" s="533"/>
      <c r="AR55" s="533"/>
      <c r="AS55" s="533"/>
      <c r="AT55" s="533"/>
      <c r="AU55" s="533"/>
      <c r="AV55" s="533"/>
      <c r="AW55" s="533"/>
    </row>
    <row r="56" spans="1:54" ht="11.25" hidden="1" customHeight="1" x14ac:dyDescent="0.25">
      <c r="A56" s="41"/>
      <c r="B56" s="104" t="s">
        <v>18</v>
      </c>
      <c r="C56" s="837" t="s">
        <v>55</v>
      </c>
      <c r="D56" s="727"/>
      <c r="E56" s="828"/>
      <c r="F56" s="686" t="s">
        <v>56</v>
      </c>
      <c r="G56" s="42" t="s">
        <v>57</v>
      </c>
      <c r="H56" s="27">
        <f>VLOOKUP(C56,A!A$1:H$669,8,FALSE)</f>
        <v>2</v>
      </c>
      <c r="I56" s="27"/>
      <c r="J56" s="28">
        <f>IF(VLOOKUP(C56,A!A$1:H$669,4,FALSE)="y",1,0)</f>
        <v>0</v>
      </c>
      <c r="K56" s="28">
        <f>IF(VLOOKUP(C56,A!A$1:H$669,5,FALSE)="y",1,0)</f>
        <v>0</v>
      </c>
      <c r="L56" s="544" t="str">
        <f t="shared" si="16"/>
        <v>Low</v>
      </c>
      <c r="M56" s="27">
        <f>VLOOKUP(C56,A!A$1:H$669,6,FALSE)</f>
        <v>0</v>
      </c>
      <c r="N56" s="44" t="s">
        <v>39</v>
      </c>
      <c r="O56" s="533">
        <f>VLOOKUP(C56,A!A$1:G$669,2,FALSE)</f>
        <v>0</v>
      </c>
      <c r="P56" s="533" t="s">
        <v>24</v>
      </c>
      <c r="Q56" s="533" t="str">
        <f>IF(S56=0,"",COUNTIF(Q$12:Q55,"&gt;0")+1)</f>
        <v/>
      </c>
      <c r="R56" s="533" t="str">
        <f>IF(S56=0,"",COUNTIF(R$12:R55,"&gt;0")+1)</f>
        <v/>
      </c>
      <c r="S56" s="533">
        <f t="shared" si="11"/>
        <v>0</v>
      </c>
      <c r="T56" s="533">
        <f>VLOOKUP(C56,A!A$1:AH$669,31,FALSE)</f>
        <v>0</v>
      </c>
      <c r="U56" s="533">
        <v>0.16500000000000001</v>
      </c>
      <c r="V56" s="533"/>
      <c r="W56" s="533" t="str">
        <f t="shared" si="12"/>
        <v/>
      </c>
      <c r="X56" s="533">
        <f>IF(V56&lt;&gt;"",COUNTIF(V$46:V56,V56)-1,0)</f>
        <v>0</v>
      </c>
      <c r="Y56" s="533"/>
      <c r="Z56" s="533" t="str">
        <f t="shared" si="13"/>
        <v/>
      </c>
      <c r="AA56" s="533" t="str">
        <f>IFERROR(RANK(Z56,Z$47:Z$226,0)+COUNTIF(Z$47:Z56,Z56)-1,"")</f>
        <v/>
      </c>
      <c r="AB56" s="533">
        <f t="shared" si="18"/>
        <v>0</v>
      </c>
      <c r="AC56" s="533">
        <f t="shared" si="17"/>
        <v>0</v>
      </c>
      <c r="AD56" s="533"/>
      <c r="AE56" s="533"/>
      <c r="AF56" s="533"/>
      <c r="AG56" s="533"/>
      <c r="AH56" s="533"/>
      <c r="AI56" s="533"/>
      <c r="AJ56" s="533"/>
      <c r="AK56" s="533"/>
      <c r="AL56" s="533"/>
      <c r="AM56" s="533"/>
      <c r="AN56" s="533"/>
      <c r="AO56" s="533"/>
      <c r="AP56" s="533"/>
      <c r="AQ56" s="533"/>
      <c r="AR56" s="533"/>
      <c r="AS56" s="533"/>
      <c r="AT56" s="533"/>
      <c r="AU56" s="533"/>
      <c r="AV56" s="533"/>
      <c r="AW56" s="533"/>
    </row>
    <row r="57" spans="1:54" ht="11.25" hidden="1" customHeight="1" x14ac:dyDescent="0.25">
      <c r="A57" s="41"/>
      <c r="B57" s="104" t="s">
        <v>18</v>
      </c>
      <c r="C57" s="837" t="s">
        <v>58</v>
      </c>
      <c r="D57" s="727"/>
      <c r="E57" s="828"/>
      <c r="F57" s="686" t="s">
        <v>59</v>
      </c>
      <c r="G57" s="42" t="s">
        <v>60</v>
      </c>
      <c r="H57" s="27">
        <f>VLOOKUP(C57,A!A$1:H$669,8,FALSE)</f>
        <v>3</v>
      </c>
      <c r="I57" s="27" t="s">
        <v>30</v>
      </c>
      <c r="J57" s="28">
        <f>IF(VLOOKUP(C57,A!A$1:H$669,4,FALSE)="y",1,0)</f>
        <v>0</v>
      </c>
      <c r="K57" s="28">
        <f>IF(VLOOKUP(C57,A!A$1:H$669,5,FALSE)="y",1,0)</f>
        <v>0</v>
      </c>
      <c r="L57" s="544" t="str">
        <f t="shared" si="16"/>
        <v>Low</v>
      </c>
      <c r="M57" s="27">
        <f>VLOOKUP(C57,A!A$1:H$669,6,FALSE)</f>
        <v>0</v>
      </c>
      <c r="N57" s="44" t="s">
        <v>39</v>
      </c>
      <c r="O57" s="533">
        <f>VLOOKUP(C57,A!A$1:G$669,2,FALSE)</f>
        <v>0</v>
      </c>
      <c r="P57" s="533" t="s">
        <v>24</v>
      </c>
      <c r="Q57" s="533" t="str">
        <f>IF(S57=0,"",COUNTIF(Q$12:Q56,"&gt;0")+1)</f>
        <v/>
      </c>
      <c r="R57" s="533" t="str">
        <f>IF(S57=0,"",COUNTIF(R$12:R56,"&gt;0")+1)</f>
        <v/>
      </c>
      <c r="S57" s="533">
        <f t="shared" si="11"/>
        <v>0</v>
      </c>
      <c r="T57" s="533">
        <f>VLOOKUP(C57,A!A$1:AH$669,31,FALSE)</f>
        <v>0</v>
      </c>
      <c r="U57" s="533">
        <v>0.16500000000000001</v>
      </c>
      <c r="V57" s="533"/>
      <c r="W57" s="533" t="str">
        <f t="shared" si="12"/>
        <v/>
      </c>
      <c r="X57" s="533">
        <f>IF(V57&lt;&gt;"",COUNTIF(V$46:V57,V57)-1,0)</f>
        <v>0</v>
      </c>
      <c r="Y57" s="533"/>
      <c r="Z57" s="533" t="str">
        <f t="shared" si="13"/>
        <v/>
      </c>
      <c r="AA57" s="533" t="str">
        <f>IFERROR(RANK(Z57,Z$47:Z$226,0)+COUNTIF(Z$47:Z57,Z57)-1,"")</f>
        <v/>
      </c>
      <c r="AB57" s="533">
        <f t="shared" si="18"/>
        <v>0</v>
      </c>
      <c r="AC57" s="533">
        <f t="shared" si="17"/>
        <v>0</v>
      </c>
      <c r="AD57" s="533"/>
      <c r="AE57" s="533"/>
      <c r="AF57" s="533"/>
      <c r="AG57" s="533"/>
      <c r="AH57" s="533"/>
      <c r="AI57" s="533"/>
      <c r="AJ57" s="533"/>
      <c r="AK57" s="533"/>
      <c r="AL57" s="533"/>
      <c r="AM57" s="533"/>
      <c r="AN57" s="533"/>
      <c r="AO57" s="533"/>
      <c r="AP57" s="533"/>
      <c r="AQ57" s="533"/>
      <c r="AR57" s="533"/>
      <c r="AS57" s="533"/>
      <c r="AT57" s="533"/>
      <c r="AU57" s="533"/>
      <c r="AV57" s="533"/>
      <c r="AW57" s="533"/>
    </row>
    <row r="58" spans="1:54" ht="11.25" hidden="1" customHeight="1" x14ac:dyDescent="0.25">
      <c r="A58" s="41"/>
      <c r="B58" s="104" t="s">
        <v>18</v>
      </c>
      <c r="C58" s="837" t="s">
        <v>61</v>
      </c>
      <c r="D58" s="727"/>
      <c r="E58" s="828"/>
      <c r="F58" s="686" t="s">
        <v>62</v>
      </c>
      <c r="G58" s="42" t="s">
        <v>63</v>
      </c>
      <c r="H58" s="27">
        <f>VLOOKUP(C58,A!A$1:H$669,8,FALSE)</f>
        <v>1</v>
      </c>
      <c r="I58" s="27"/>
      <c r="J58" s="28">
        <f>IF(VLOOKUP(C58,A!A$1:H$669,4,FALSE)="y",1,0)</f>
        <v>0</v>
      </c>
      <c r="K58" s="28">
        <f>IF(VLOOKUP(C58,A!A$1:H$669,5,FALSE)="y",1,0)</f>
        <v>0</v>
      </c>
      <c r="L58" s="544" t="str">
        <f t="shared" si="16"/>
        <v>Low</v>
      </c>
      <c r="M58" s="27">
        <f>VLOOKUP(C58,A!A$1:H$669,6,FALSE)</f>
        <v>0</v>
      </c>
      <c r="N58" s="44" t="s">
        <v>22</v>
      </c>
      <c r="O58" s="533">
        <f>VLOOKUP(C58,A!A$1:G$669,2,FALSE)</f>
        <v>0</v>
      </c>
      <c r="P58" s="533" t="s">
        <v>24</v>
      </c>
      <c r="Q58" s="533" t="str">
        <f>IF(S58=0,"",COUNTIF(Q$12:Q57,"&gt;0")+1)</f>
        <v/>
      </c>
      <c r="R58" s="533" t="str">
        <f>IF(S58=0,"",COUNTIF(R$12:R57,"&gt;0")+1)</f>
        <v/>
      </c>
      <c r="S58" s="533">
        <f t="shared" si="11"/>
        <v>0</v>
      </c>
      <c r="T58" s="533">
        <f>VLOOKUP(C58,A!A$1:AH$669,31,FALSE)</f>
        <v>0</v>
      </c>
      <c r="U58" s="533">
        <v>0.16500000000000001</v>
      </c>
      <c r="V58" s="533"/>
      <c r="W58" s="533" t="str">
        <f t="shared" si="12"/>
        <v/>
      </c>
      <c r="X58" s="533">
        <f>IF(V58&lt;&gt;"",COUNTIF(V$46:V58,V58)-1,0)</f>
        <v>0</v>
      </c>
      <c r="Y58" s="533"/>
      <c r="Z58" s="533" t="str">
        <f t="shared" si="13"/>
        <v/>
      </c>
      <c r="AA58" s="533" t="str">
        <f>IFERROR(RANK(Z58,Z$47:Z$226,0)+COUNTIF(Z$47:Z58,Z58)-1,"")</f>
        <v/>
      </c>
      <c r="AB58" s="533">
        <f t="shared" si="18"/>
        <v>0</v>
      </c>
      <c r="AC58" s="533">
        <f t="shared" si="17"/>
        <v>0</v>
      </c>
      <c r="AD58" s="533"/>
      <c r="AE58" s="533"/>
      <c r="AF58" s="533"/>
      <c r="AG58" s="533"/>
      <c r="AH58" s="533"/>
      <c r="AI58" s="533"/>
      <c r="AJ58" s="533"/>
      <c r="AK58" s="533"/>
      <c r="AL58" s="533"/>
      <c r="AM58" s="533"/>
      <c r="AN58" s="533"/>
      <c r="AO58" s="533"/>
      <c r="AP58" s="533"/>
      <c r="AQ58" s="533"/>
      <c r="AR58" s="533"/>
      <c r="AS58" s="533"/>
      <c r="AT58" s="533"/>
      <c r="AU58" s="533"/>
      <c r="AV58" s="533"/>
      <c r="AW58" s="533"/>
    </row>
    <row r="59" spans="1:54" ht="11.25" hidden="1" customHeight="1" x14ac:dyDescent="0.25">
      <c r="A59" s="41"/>
      <c r="B59" s="104" t="s">
        <v>18</v>
      </c>
      <c r="C59" s="837" t="s">
        <v>64</v>
      </c>
      <c r="D59" s="727"/>
      <c r="E59" s="828"/>
      <c r="F59" s="686" t="s">
        <v>65</v>
      </c>
      <c r="G59" s="42" t="s">
        <v>66</v>
      </c>
      <c r="H59" s="27">
        <f>VLOOKUP(C59,A!A$1:H$669,8,FALSE)</f>
        <v>2</v>
      </c>
      <c r="I59" s="27"/>
      <c r="J59" s="28">
        <f>IF(VLOOKUP(C59,A!A$1:H$669,4,FALSE)="y",1,0)</f>
        <v>0</v>
      </c>
      <c r="K59" s="28">
        <f>IF(VLOOKUP(C59,A!A$1:H$669,5,FALSE)="y",1,0)</f>
        <v>0</v>
      </c>
      <c r="L59" s="544" t="str">
        <f t="shared" si="16"/>
        <v>Low</v>
      </c>
      <c r="M59" s="27">
        <f>VLOOKUP(C59,A!A$1:H$669,6,FALSE)</f>
        <v>0</v>
      </c>
      <c r="N59" s="44">
        <v>1</v>
      </c>
      <c r="O59" s="533">
        <f>VLOOKUP(C59,A!A$1:G$669,2,FALSE)</f>
        <v>0</v>
      </c>
      <c r="P59" s="533" t="s">
        <v>24</v>
      </c>
      <c r="Q59" s="533" t="str">
        <f>IF(S59=0,"",COUNTIF(Q$12:Q58,"&gt;0")+1)</f>
        <v/>
      </c>
      <c r="R59" s="533" t="str">
        <f>IF(S59=0,"",COUNTIF(R$12:R58,"&gt;0")+1)</f>
        <v/>
      </c>
      <c r="S59" s="533">
        <f t="shared" si="11"/>
        <v>0</v>
      </c>
      <c r="T59" s="533">
        <f>VLOOKUP(C59,A!A$1:AH$669,31,FALSE)</f>
        <v>0</v>
      </c>
      <c r="U59" s="533">
        <v>0.16500000000000001</v>
      </c>
      <c r="V59" s="533"/>
      <c r="W59" s="533" t="str">
        <f t="shared" si="12"/>
        <v/>
      </c>
      <c r="X59" s="533">
        <f>IF(V59&lt;&gt;"",COUNTIF(V$46:V59,V59)-1,0)</f>
        <v>0</v>
      </c>
      <c r="Y59" s="533"/>
      <c r="Z59" s="533" t="str">
        <f t="shared" si="13"/>
        <v/>
      </c>
      <c r="AA59" s="533" t="str">
        <f>IFERROR(RANK(Z59,Z$47:Z$226,0)+COUNTIF(Z$47:Z59,Z59)-1,"")</f>
        <v/>
      </c>
      <c r="AB59" s="533">
        <f t="shared" si="18"/>
        <v>0</v>
      </c>
      <c r="AC59" s="533">
        <f t="shared" si="17"/>
        <v>0</v>
      </c>
      <c r="AD59" s="533"/>
      <c r="AE59" s="533"/>
      <c r="AF59" s="533"/>
      <c r="AG59" s="533"/>
      <c r="AH59" s="533"/>
      <c r="AI59" s="533"/>
      <c r="AJ59" s="533"/>
      <c r="AK59" s="533"/>
      <c r="AL59" s="533"/>
      <c r="AM59" s="533"/>
      <c r="AN59" s="533"/>
      <c r="AO59" s="533"/>
      <c r="AP59" s="533"/>
      <c r="AQ59" s="533"/>
      <c r="AR59" s="533"/>
      <c r="AS59" s="533"/>
      <c r="AT59" s="533"/>
      <c r="AU59" s="533"/>
      <c r="AV59" s="533"/>
      <c r="AW59" s="533"/>
    </row>
    <row r="60" spans="1:54" ht="13.5" hidden="1" customHeight="1" x14ac:dyDescent="0.25">
      <c r="A60" s="41"/>
      <c r="B60" s="104" t="s">
        <v>18</v>
      </c>
      <c r="C60" s="837" t="s">
        <v>69</v>
      </c>
      <c r="D60" s="728"/>
      <c r="E60" s="711" t="s">
        <v>1867</v>
      </c>
      <c r="F60" s="686" t="s">
        <v>70</v>
      </c>
      <c r="G60" s="42" t="s">
        <v>71</v>
      </c>
      <c r="H60" s="27">
        <f>VLOOKUP(C60,A!A$1:H$669,8,FALSE)</f>
        <v>2</v>
      </c>
      <c r="I60" s="27" t="s">
        <v>30</v>
      </c>
      <c r="J60" s="28">
        <f>IF(VLOOKUP(C60,A!A$1:H$669,4,FALSE)="y",1,0)</f>
        <v>0</v>
      </c>
      <c r="K60" s="28">
        <f>IF(VLOOKUP(C60,A!A$1:H$669,5,FALSE)="y",1,0)</f>
        <v>0</v>
      </c>
      <c r="L60" s="544" t="str">
        <f t="shared" si="16"/>
        <v>Med</v>
      </c>
      <c r="M60" s="27">
        <f>VLOOKUP(C60,A!A$1:H$669,6,FALSE)</f>
        <v>0</v>
      </c>
      <c r="N60" s="44" t="s">
        <v>31</v>
      </c>
      <c r="O60" s="533">
        <f>VLOOKUP(C60,A!A$1:G$669,2,FALSE)</f>
        <v>0</v>
      </c>
      <c r="P60" s="533" t="s">
        <v>24</v>
      </c>
      <c r="Q60" s="533" t="str">
        <f>IF(S60=0,"",COUNTIF(Q$12:Q59,"&gt;0")+1)</f>
        <v/>
      </c>
      <c r="R60" s="533" t="str">
        <f>IF(S60=0,"",COUNTIF(R$12:R59,"&gt;0")+1)</f>
        <v/>
      </c>
      <c r="S60" s="533">
        <f t="shared" si="11"/>
        <v>0</v>
      </c>
      <c r="T60" s="533">
        <f>VLOOKUP(C60,A!A$1:AH$669,31,FALSE)</f>
        <v>35</v>
      </c>
      <c r="U60" s="533">
        <v>0.16500000000000001</v>
      </c>
      <c r="V60" s="533"/>
      <c r="W60" s="533" t="str">
        <f t="shared" si="12"/>
        <v/>
      </c>
      <c r="X60" s="533">
        <f>IF(V60&lt;&gt;"",COUNTIF(V$46:V60,V60)-1,0)</f>
        <v>0</v>
      </c>
      <c r="Y60" s="533"/>
      <c r="Z60" s="533" t="str">
        <f t="shared" si="13"/>
        <v/>
      </c>
      <c r="AA60" s="533" t="str">
        <f>IFERROR(RANK(Z60,Z$47:Z$226,0)+COUNTIF(Z$47:Z60,Z60)-1,"")</f>
        <v/>
      </c>
      <c r="AB60" s="533">
        <f t="shared" si="18"/>
        <v>0</v>
      </c>
      <c r="AC60" s="533">
        <f t="shared" si="17"/>
        <v>0</v>
      </c>
      <c r="AD60" s="533"/>
      <c r="AE60" s="533"/>
      <c r="AF60" s="533"/>
      <c r="AG60" s="533"/>
      <c r="AH60" s="533"/>
      <c r="AI60" s="533"/>
      <c r="AJ60" s="533"/>
      <c r="AK60" s="533"/>
      <c r="AL60" s="533"/>
      <c r="AM60" s="533"/>
      <c r="AN60" s="533"/>
      <c r="AO60" s="533"/>
      <c r="AP60" s="533"/>
      <c r="AQ60" s="533"/>
      <c r="AR60" s="533"/>
      <c r="AS60" s="533"/>
      <c r="AT60" s="533"/>
      <c r="AU60" s="533"/>
      <c r="AV60" s="533"/>
      <c r="AW60" s="533"/>
    </row>
    <row r="61" spans="1:54" ht="11.25" hidden="1" customHeight="1" x14ac:dyDescent="0.25">
      <c r="A61" s="41"/>
      <c r="B61" s="104" t="s">
        <v>18</v>
      </c>
      <c r="C61" s="837" t="s">
        <v>72</v>
      </c>
      <c r="D61" s="727"/>
      <c r="E61" s="828"/>
      <c r="F61" s="686" t="s">
        <v>73</v>
      </c>
      <c r="G61" s="42" t="s">
        <v>74</v>
      </c>
      <c r="H61" s="27">
        <f>VLOOKUP(C61,A!A$1:H$669,8,FALSE)</f>
        <v>1</v>
      </c>
      <c r="I61" s="27"/>
      <c r="J61" s="28">
        <f>IF(VLOOKUP(C61,A!A$1:H$669,4,FALSE)="y",1,0)</f>
        <v>0</v>
      </c>
      <c r="K61" s="28">
        <f>IF(VLOOKUP(C61,A!A$1:H$669,5,FALSE)="y",1,0)</f>
        <v>0</v>
      </c>
      <c r="L61" s="544" t="str">
        <f t="shared" si="16"/>
        <v>Low</v>
      </c>
      <c r="M61" s="27">
        <f>VLOOKUP(C61,A!A$1:H$669,6,FALSE)</f>
        <v>0</v>
      </c>
      <c r="N61" s="44" t="s">
        <v>39</v>
      </c>
      <c r="O61" s="533">
        <f>VLOOKUP(C61,A!A$1:G$669,2,FALSE)</f>
        <v>0</v>
      </c>
      <c r="P61" s="533" t="s">
        <v>24</v>
      </c>
      <c r="Q61" s="533" t="str">
        <f>IF(S61=0,"",COUNTIF(Q$12:Q60,"&gt;0")+1)</f>
        <v/>
      </c>
      <c r="R61" s="533" t="str">
        <f>IF(S61=0,"",COUNTIF(R$12:R60,"&gt;0")+1)</f>
        <v/>
      </c>
      <c r="S61" s="533">
        <f t="shared" si="11"/>
        <v>0</v>
      </c>
      <c r="T61" s="533">
        <f>VLOOKUP(C61,A!A$1:AH$669,31,FALSE)</f>
        <v>0</v>
      </c>
      <c r="U61" s="533">
        <v>0.16500000000000001</v>
      </c>
      <c r="V61" s="533"/>
      <c r="W61" s="533" t="str">
        <f t="shared" si="12"/>
        <v/>
      </c>
      <c r="X61" s="533">
        <f>IF(V61&lt;&gt;"",COUNTIF(V$46:V61,V61)-1,0)</f>
        <v>0</v>
      </c>
      <c r="Y61" s="533"/>
      <c r="Z61" s="533" t="str">
        <f t="shared" si="13"/>
        <v/>
      </c>
      <c r="AA61" s="533" t="str">
        <f>IFERROR(RANK(Z61,Z$47:Z$226,0)+COUNTIF(Z$47:Z61,Z61)-1,"")</f>
        <v/>
      </c>
      <c r="AB61" s="533">
        <f t="shared" si="18"/>
        <v>0</v>
      </c>
      <c r="AC61" s="533">
        <f t="shared" si="17"/>
        <v>0</v>
      </c>
      <c r="AD61" s="533"/>
      <c r="AE61" s="533"/>
      <c r="AF61" s="533"/>
      <c r="AG61" s="533"/>
      <c r="AH61" s="533"/>
      <c r="AI61" s="533"/>
      <c r="AJ61" s="533"/>
      <c r="AK61" s="533"/>
      <c r="AL61" s="533"/>
      <c r="AM61" s="533"/>
      <c r="AN61" s="533"/>
      <c r="AO61" s="533"/>
      <c r="AP61" s="533"/>
      <c r="AQ61" s="533"/>
      <c r="AR61" s="533"/>
      <c r="AS61" s="533"/>
      <c r="AT61" s="533"/>
      <c r="AU61" s="533"/>
      <c r="AV61" s="533"/>
      <c r="AW61" s="533"/>
    </row>
    <row r="62" spans="1:54" ht="13.5" customHeight="1" x14ac:dyDescent="0.25">
      <c r="A62" s="41"/>
      <c r="B62" s="104" t="s">
        <v>18</v>
      </c>
      <c r="C62" s="837" t="s">
        <v>75</v>
      </c>
      <c r="D62" s="727"/>
      <c r="E62" s="828"/>
      <c r="F62" s="686" t="s">
        <v>76</v>
      </c>
      <c r="G62" s="42" t="s">
        <v>77</v>
      </c>
      <c r="H62" s="27">
        <f>VLOOKUP(C62,A!A$1:H$669,8,FALSE)</f>
        <v>1</v>
      </c>
      <c r="I62" s="27" t="s">
        <v>30</v>
      </c>
      <c r="J62" s="28">
        <f>IF(VLOOKUP(C62,A!A$1:H$669,4,FALSE)="y",1,0)</f>
        <v>1</v>
      </c>
      <c r="K62" s="28">
        <f>IF(VLOOKUP(C62,A!A$1:H$669,5,FALSE)="y",1,0)</f>
        <v>0</v>
      </c>
      <c r="L62" s="544" t="str">
        <f t="shared" si="16"/>
        <v>Low</v>
      </c>
      <c r="M62" s="27" t="str">
        <f>VLOOKUP(C62,A!A$1:H$669,6,FALSE)</f>
        <v>y</v>
      </c>
      <c r="N62" s="44" t="s">
        <v>39</v>
      </c>
      <c r="O62" s="533" t="str">
        <f>VLOOKUP(C62,A!A$1:G$669,2,FALSE)</f>
        <v>y</v>
      </c>
      <c r="P62" s="533" t="s">
        <v>24</v>
      </c>
      <c r="Q62" s="533" t="str">
        <f>IF(S62=0,"",COUNTIF(Q$12:Q61,"&gt;0")+1)</f>
        <v/>
      </c>
      <c r="R62" s="533" t="str">
        <f>IF(S62=0,"",COUNTIF(R$12:R61,"&gt;0")+1)</f>
        <v/>
      </c>
      <c r="S62" s="533">
        <f>A62+Y62+AB62+AC62</f>
        <v>0</v>
      </c>
      <c r="T62" s="533">
        <f>VLOOKUP(C62,A!A$1:AH$669,31,FALSE)</f>
        <v>30</v>
      </c>
      <c r="U62" s="533">
        <v>0.16500000000000001</v>
      </c>
      <c r="V62" s="533">
        <v>71</v>
      </c>
      <c r="W62" s="533" t="str">
        <f t="shared" si="12"/>
        <v/>
      </c>
      <c r="X62" s="533">
        <f>IF(V62&lt;&gt;"",COUNTIF(V$46:V62,V62)-1,0)</f>
        <v>0</v>
      </c>
      <c r="Y62" s="533">
        <f>A23</f>
        <v>0</v>
      </c>
      <c r="Z62" s="533">
        <f t="shared" si="13"/>
        <v>-130</v>
      </c>
      <c r="AA62" s="533">
        <f>IFERROR(RANK(Z62,Z$47:Z$226,0)+COUNTIF(Z$47:Z62,Z62)-1,"")</f>
        <v>2</v>
      </c>
      <c r="AB62" s="533">
        <f t="shared" si="18"/>
        <v>0</v>
      </c>
      <c r="AC62" s="533">
        <f t="shared" si="17"/>
        <v>0</v>
      </c>
      <c r="AD62" s="533"/>
      <c r="AE62" s="533"/>
      <c r="AF62" s="533"/>
      <c r="AG62" s="533"/>
      <c r="AH62" s="533"/>
      <c r="AI62" s="533"/>
      <c r="AJ62" s="533"/>
      <c r="AK62" s="533"/>
      <c r="AL62" s="533"/>
      <c r="AM62" s="533"/>
      <c r="AN62" s="533"/>
      <c r="AO62" s="533"/>
      <c r="AP62" s="533"/>
      <c r="AQ62" s="533"/>
      <c r="AR62" s="533"/>
      <c r="AS62" s="533"/>
      <c r="AT62" s="533"/>
      <c r="AU62" s="533"/>
      <c r="AV62" s="533"/>
      <c r="AW62" s="533"/>
    </row>
    <row r="63" spans="1:54" ht="13.5" hidden="1" customHeight="1" x14ac:dyDescent="0.25">
      <c r="A63" s="41"/>
      <c r="B63" s="104" t="s">
        <v>18</v>
      </c>
      <c r="C63" s="837" t="s">
        <v>78</v>
      </c>
      <c r="D63" s="728"/>
      <c r="E63" s="711"/>
      <c r="F63" s="686" t="s">
        <v>79</v>
      </c>
      <c r="G63" s="42" t="s">
        <v>80</v>
      </c>
      <c r="H63" s="27">
        <v>1</v>
      </c>
      <c r="I63" s="27"/>
      <c r="J63" s="28">
        <f>IF(VLOOKUP(C63,A!A$1:H$669,4,FALSE)="y",1,0)</f>
        <v>0</v>
      </c>
      <c r="K63" s="28">
        <f>IF(VLOOKUP(C63,A!A$1:H$669,5,FALSE)="y",1,0)</f>
        <v>0</v>
      </c>
      <c r="L63" s="544" t="str">
        <f t="shared" ref="L63:L79" si="19">IF(T63&lt;35,"Low",IF(T63&gt;40,"High","Med"))</f>
        <v>Low</v>
      </c>
      <c r="M63" s="27">
        <f>VLOOKUP(C63,A!A$1:H$669,6,FALSE)</f>
        <v>0</v>
      </c>
      <c r="N63" s="44" t="s">
        <v>39</v>
      </c>
      <c r="O63" s="533">
        <f>VLOOKUP(C63,A!A$1:G$669,2,FALSE)</f>
        <v>0</v>
      </c>
      <c r="P63" s="533" t="s">
        <v>24</v>
      </c>
      <c r="Q63" s="533" t="str">
        <f>IF(S63=0,"",COUNTIF(Q$12:Q62,"&gt;0")+1)</f>
        <v/>
      </c>
      <c r="R63" s="533" t="str">
        <f>IF(S63=0,"",COUNTIF(R$12:R62,"&gt;0")+1)</f>
        <v/>
      </c>
      <c r="S63" s="533">
        <f t="shared" ref="S63:S78" si="20">A63+Y63+AB63+AC63</f>
        <v>0</v>
      </c>
      <c r="T63" s="533">
        <f>VLOOKUP(C63,A!A$1:AH$669,31,FALSE)</f>
        <v>0</v>
      </c>
      <c r="U63" s="533">
        <v>0.16500000000000001</v>
      </c>
      <c r="V63" s="533"/>
      <c r="W63" s="533" t="str">
        <f t="shared" si="12"/>
        <v/>
      </c>
      <c r="X63" s="533">
        <f>IF(V63&lt;&gt;"",COUNTIF(V$46:V63,V63)-1,0)</f>
        <v>0</v>
      </c>
      <c r="Y63" s="533"/>
      <c r="Z63" s="533" t="str">
        <f t="shared" si="13"/>
        <v/>
      </c>
      <c r="AA63" s="533" t="str">
        <f>IFERROR(RANK(Z63,Z$47:Z$226,0)+COUNTIF(Z$47:Z63,Z63)-1,"")</f>
        <v/>
      </c>
      <c r="AB63" s="533">
        <f t="shared" si="18"/>
        <v>0</v>
      </c>
      <c r="AC63" s="533">
        <f t="shared" si="17"/>
        <v>0</v>
      </c>
      <c r="AD63" s="533"/>
      <c r="AE63" s="533"/>
      <c r="AF63" s="533"/>
      <c r="AG63" s="533"/>
      <c r="AH63" s="533"/>
      <c r="AI63" s="533"/>
      <c r="AJ63" s="533"/>
      <c r="AK63" s="533"/>
      <c r="AL63" s="533"/>
      <c r="AM63" s="533"/>
      <c r="AN63" s="1"/>
      <c r="AO63" s="1"/>
      <c r="AP63" s="1"/>
      <c r="AQ63" s="1"/>
      <c r="AR63" s="1"/>
      <c r="AS63" s="1"/>
      <c r="AT63" s="1"/>
      <c r="AU63" s="1"/>
      <c r="AV63" s="533"/>
      <c r="AW63" s="533"/>
    </row>
    <row r="64" spans="1:54" ht="11.25" hidden="1" customHeight="1" x14ac:dyDescent="0.25">
      <c r="A64" s="41"/>
      <c r="B64" s="104" t="s">
        <v>18</v>
      </c>
      <c r="C64" s="837" t="s">
        <v>81</v>
      </c>
      <c r="D64" s="727"/>
      <c r="E64" s="828"/>
      <c r="F64" s="686" t="s">
        <v>82</v>
      </c>
      <c r="G64" s="42" t="s">
        <v>83</v>
      </c>
      <c r="H64" s="27">
        <f>VLOOKUP(C64,A!A$1:H$669,8,FALSE)</f>
        <v>1</v>
      </c>
      <c r="I64" s="27"/>
      <c r="J64" s="28">
        <f>IF(VLOOKUP(C64,A!A$1:H$669,4,FALSE)="y",1,0)</f>
        <v>0</v>
      </c>
      <c r="K64" s="28">
        <f>IF(VLOOKUP(C64,A!A$1:H$669,5,FALSE)="y",1,0)</f>
        <v>0</v>
      </c>
      <c r="L64" s="544" t="str">
        <f t="shared" si="19"/>
        <v>Low</v>
      </c>
      <c r="M64" s="27">
        <f>VLOOKUP(C64,A!A$1:H$669,6,FALSE)</f>
        <v>0</v>
      </c>
      <c r="N64" s="44" t="s">
        <v>39</v>
      </c>
      <c r="O64" s="533">
        <f>VLOOKUP(C64,A!A$1:G$669,2,FALSE)</f>
        <v>0</v>
      </c>
      <c r="P64" s="533" t="s">
        <v>24</v>
      </c>
      <c r="Q64" s="533" t="str">
        <f>IF(S64=0,"",COUNTIF(Q$12:Q63,"&gt;0")+1)</f>
        <v/>
      </c>
      <c r="R64" s="533" t="str">
        <f>IF(S64=0,"",COUNTIF(R$12:R63,"&gt;0")+1)</f>
        <v/>
      </c>
      <c r="S64" s="533">
        <f t="shared" si="20"/>
        <v>0</v>
      </c>
      <c r="T64" s="533">
        <f>VLOOKUP(C64,A!A$1:AH$669,31,FALSE)</f>
        <v>0</v>
      </c>
      <c r="U64" s="533">
        <v>0.16500000000000001</v>
      </c>
      <c r="V64" s="533"/>
      <c r="W64" s="533" t="str">
        <f t="shared" si="12"/>
        <v/>
      </c>
      <c r="X64" s="533">
        <f>IF(V64&lt;&gt;"",COUNTIF(V$46:V64,V64)-1,0)</f>
        <v>0</v>
      </c>
      <c r="Y64" s="533"/>
      <c r="Z64" s="533" t="str">
        <f t="shared" si="13"/>
        <v/>
      </c>
      <c r="AA64" s="533" t="str">
        <f>IFERROR(RANK(Z64,Z$47:Z$226,0)+COUNTIF(Z$47:Z64,Z64)-1,"")</f>
        <v/>
      </c>
      <c r="AB64" s="533">
        <f t="shared" si="18"/>
        <v>0</v>
      </c>
      <c r="AC64" s="533">
        <f t="shared" si="17"/>
        <v>0</v>
      </c>
      <c r="AD64" s="533"/>
      <c r="AE64" s="533"/>
      <c r="AF64" s="533"/>
      <c r="AG64" s="533"/>
      <c r="AH64" s="533"/>
      <c r="AI64" s="533"/>
      <c r="AJ64" s="533"/>
      <c r="AK64" s="533"/>
      <c r="AL64" s="533"/>
      <c r="AM64" s="533"/>
      <c r="AN64" s="1"/>
      <c r="AO64" s="1"/>
      <c r="AP64" s="1"/>
      <c r="AQ64" s="1"/>
      <c r="AR64" s="1"/>
      <c r="AS64" s="1"/>
      <c r="AT64" s="1"/>
      <c r="AU64" s="1"/>
      <c r="AV64" s="533"/>
      <c r="AW64" s="533"/>
    </row>
    <row r="65" spans="1:49" ht="11.25" hidden="1" customHeight="1" x14ac:dyDescent="0.25">
      <c r="A65" s="41"/>
      <c r="B65" s="104" t="s">
        <v>18</v>
      </c>
      <c r="C65" s="837" t="s">
        <v>84</v>
      </c>
      <c r="D65" s="727"/>
      <c r="E65" s="828"/>
      <c r="F65" s="686" t="s">
        <v>85</v>
      </c>
      <c r="G65" s="42" t="s">
        <v>86</v>
      </c>
      <c r="H65" s="27">
        <f>VLOOKUP(C65,A!A$1:H$669,8,FALSE)</f>
        <v>2</v>
      </c>
      <c r="I65" s="27"/>
      <c r="J65" s="28">
        <f>IF(VLOOKUP(C65,A!A$1:H$669,4,FALSE)="y",1,0)</f>
        <v>0</v>
      </c>
      <c r="K65" s="28">
        <f>IF(VLOOKUP(C65,A!A$1:H$669,5,FALSE)="y",1,0)</f>
        <v>0</v>
      </c>
      <c r="L65" s="544" t="str">
        <f t="shared" si="19"/>
        <v>Low</v>
      </c>
      <c r="M65" s="27">
        <f>VLOOKUP(C65,A!A$1:H$669,6,FALSE)</f>
        <v>0</v>
      </c>
      <c r="N65" s="44" t="s">
        <v>39</v>
      </c>
      <c r="O65" s="533">
        <f>VLOOKUP(C65,A!A$1:G$669,2,FALSE)</f>
        <v>0</v>
      </c>
      <c r="P65" s="533" t="s">
        <v>24</v>
      </c>
      <c r="Q65" s="533" t="str">
        <f>IF(S65=0,"",COUNTIF(Q$12:Q64,"&gt;0")+1)</f>
        <v/>
      </c>
      <c r="R65" s="533" t="str">
        <f>IF(S65=0,"",COUNTIF(R$12:R64,"&gt;0")+1)</f>
        <v/>
      </c>
      <c r="S65" s="533">
        <f t="shared" si="20"/>
        <v>0</v>
      </c>
      <c r="T65" s="533">
        <f>VLOOKUP(C65,A!A$1:AH$669,31,FALSE)</f>
        <v>0</v>
      </c>
      <c r="U65" s="533">
        <v>0.16500000000000001</v>
      </c>
      <c r="V65" s="533"/>
      <c r="W65" s="533" t="str">
        <f t="shared" si="12"/>
        <v/>
      </c>
      <c r="X65" s="533">
        <f>IF(V65&lt;&gt;"",COUNTIF(V$46:V65,V65)-1,0)</f>
        <v>0</v>
      </c>
      <c r="Y65" s="704"/>
      <c r="Z65" s="533" t="str">
        <f t="shared" si="13"/>
        <v/>
      </c>
      <c r="AA65" s="533" t="str">
        <f>IFERROR(RANK(Z65,Z$47:Z$226,0)+COUNTIF(Z$47:Z65,Z65)-1,"")</f>
        <v/>
      </c>
      <c r="AB65" s="533">
        <f t="shared" si="18"/>
        <v>0</v>
      </c>
      <c r="AC65" s="533">
        <f t="shared" si="17"/>
        <v>0</v>
      </c>
      <c r="AD65" s="533"/>
      <c r="AE65" s="533"/>
      <c r="AF65" s="533"/>
      <c r="AG65" s="533"/>
      <c r="AH65" s="533"/>
      <c r="AI65" s="533"/>
      <c r="AJ65" s="533"/>
      <c r="AK65" s="533"/>
      <c r="AL65" s="533"/>
      <c r="AM65" s="533"/>
      <c r="AN65" s="1"/>
      <c r="AO65" s="1"/>
      <c r="AP65" s="1"/>
      <c r="AQ65" s="1"/>
      <c r="AR65" s="1"/>
      <c r="AS65" s="1"/>
      <c r="AT65" s="1"/>
      <c r="AU65" s="1"/>
      <c r="AV65" s="533"/>
      <c r="AW65" s="533"/>
    </row>
    <row r="66" spans="1:49" ht="13.5" hidden="1" customHeight="1" x14ac:dyDescent="0.25">
      <c r="A66" s="41"/>
      <c r="B66" s="104" t="s">
        <v>18</v>
      </c>
      <c r="C66" s="837" t="s">
        <v>1050</v>
      </c>
      <c r="D66" s="728"/>
      <c r="E66" s="711"/>
      <c r="F66" s="686" t="s">
        <v>87</v>
      </c>
      <c r="G66" s="42" t="s">
        <v>88</v>
      </c>
      <c r="H66" s="27">
        <f>VLOOKUP(C66,A!A$1:H$669,8,FALSE)</f>
        <v>1</v>
      </c>
      <c r="I66" s="27"/>
      <c r="J66" s="28">
        <f>IF(VLOOKUP(C66,A!A$1:H$669,4,FALSE)="y",1,0)</f>
        <v>0</v>
      </c>
      <c r="K66" s="28">
        <f>IF(VLOOKUP(C66,A!A$1:H$669,5,FALSE)="y",1,0)</f>
        <v>0</v>
      </c>
      <c r="L66" s="544" t="str">
        <f t="shared" si="19"/>
        <v>Low</v>
      </c>
      <c r="M66" s="27"/>
      <c r="N66" s="44">
        <v>1</v>
      </c>
      <c r="O66" s="533">
        <f>VLOOKUP(C66,A!A$1:G$669,2,FALSE)</f>
        <v>0</v>
      </c>
      <c r="P66" s="533" t="s">
        <v>24</v>
      </c>
      <c r="Q66" s="533" t="str">
        <f>IF(S66=0,"",COUNTIF(Q$12:Q65,"&gt;0")+1)</f>
        <v/>
      </c>
      <c r="R66" s="533" t="str">
        <f>IF(S66=0,"",COUNTIF(R$12:R65,"&gt;0")+1)</f>
        <v/>
      </c>
      <c r="S66" s="533">
        <f t="shared" si="20"/>
        <v>0</v>
      </c>
      <c r="T66" s="533">
        <f>VLOOKUP(C66,A!A$1:AH$669,31,FALSE)</f>
        <v>0</v>
      </c>
      <c r="U66" s="533">
        <v>0.16500000000000001</v>
      </c>
      <c r="V66" s="533"/>
      <c r="W66" s="533" t="str">
        <f t="shared" si="12"/>
        <v/>
      </c>
      <c r="X66" s="533">
        <f>IF(V66&lt;&gt;"",COUNTIF(V$46:V66,V66)-1,0)</f>
        <v>0</v>
      </c>
      <c r="Y66" s="533"/>
      <c r="Z66" s="533" t="str">
        <f t="shared" si="13"/>
        <v/>
      </c>
      <c r="AA66" s="533" t="str">
        <f>IFERROR(RANK(Z66,Z$47:Z$226,0)+COUNTIF(Z$47:Z66,Z66)-1,"")</f>
        <v/>
      </c>
      <c r="AB66" s="533">
        <f t="shared" si="18"/>
        <v>0</v>
      </c>
      <c r="AC66" s="533">
        <f t="shared" si="17"/>
        <v>0</v>
      </c>
      <c r="AD66" s="533"/>
      <c r="AE66" s="533"/>
      <c r="AF66" s="533"/>
      <c r="AG66" s="533"/>
      <c r="AH66" s="533"/>
      <c r="AI66" s="533"/>
      <c r="AJ66" s="533"/>
      <c r="AK66" s="533"/>
      <c r="AL66" s="533"/>
      <c r="AM66" s="533"/>
      <c r="AN66" s="1"/>
      <c r="AO66" s="1"/>
      <c r="AP66" s="1"/>
      <c r="AQ66" s="1"/>
      <c r="AR66" s="1"/>
      <c r="AS66" s="1"/>
      <c r="AT66" s="1"/>
      <c r="AU66" s="1"/>
    </row>
    <row r="67" spans="1:49" ht="13.5" hidden="1" customHeight="1" x14ac:dyDescent="0.25">
      <c r="A67" s="41"/>
      <c r="B67" s="104" t="s">
        <v>18</v>
      </c>
      <c r="C67" s="695" t="s">
        <v>1033</v>
      </c>
      <c r="D67" s="728"/>
      <c r="E67" s="711"/>
      <c r="F67" s="686" t="s">
        <v>87</v>
      </c>
      <c r="G67" s="42" t="s">
        <v>1042</v>
      </c>
      <c r="H67" s="27">
        <v>1</v>
      </c>
      <c r="I67" s="27"/>
      <c r="J67" s="28">
        <f>IF(VLOOKUP(C67,A!A$1:H$669,4,FALSE)="y",1,0)</f>
        <v>0</v>
      </c>
      <c r="K67" s="28">
        <f>IF(VLOOKUP(C67,A!A$1:H$669,5,FALSE)="y",1,0)</f>
        <v>0</v>
      </c>
      <c r="L67" s="544" t="str">
        <f t="shared" si="19"/>
        <v>High</v>
      </c>
      <c r="M67" s="27"/>
      <c r="N67" s="44">
        <v>1</v>
      </c>
      <c r="O67" s="533">
        <f>VLOOKUP(C67,A!A$1:G$669,2,FALSE)</f>
        <v>0</v>
      </c>
      <c r="P67" s="533" t="s">
        <v>24</v>
      </c>
      <c r="Q67" s="533" t="str">
        <f>IF(S67=0,"",COUNTIF(Q$12:Q66,"&gt;0")+1)</f>
        <v/>
      </c>
      <c r="R67" s="533" t="str">
        <f>IF(S67=0,"",COUNTIF(R$12:R66,"&gt;0")+1)</f>
        <v/>
      </c>
      <c r="S67" s="533">
        <f t="shared" si="20"/>
        <v>0</v>
      </c>
      <c r="T67" s="533">
        <v>55</v>
      </c>
      <c r="U67" s="533">
        <v>0.16500000000000001</v>
      </c>
      <c r="V67" s="533"/>
      <c r="W67" s="533" t="str">
        <f t="shared" si="12"/>
        <v/>
      </c>
      <c r="X67" s="533">
        <f>IF(V67&lt;&gt;"",COUNTIF(V$46:V67,V67)-1,0)</f>
        <v>0</v>
      </c>
      <c r="Y67" s="533"/>
      <c r="Z67" s="533" t="str">
        <f t="shared" si="13"/>
        <v/>
      </c>
      <c r="AA67" s="533" t="str">
        <f>IFERROR(RANK(Z67,Z$47:Z$226,0)+COUNTIF(Z$47:Z67,Z67)-1,"")</f>
        <v/>
      </c>
      <c r="AB67" s="533">
        <f t="shared" si="18"/>
        <v>0</v>
      </c>
      <c r="AC67" s="533">
        <f t="shared" si="17"/>
        <v>0</v>
      </c>
      <c r="AD67" s="533"/>
      <c r="AE67" s="533"/>
      <c r="AF67" s="533"/>
      <c r="AG67" s="533"/>
      <c r="AH67" s="533"/>
      <c r="AI67" s="533"/>
      <c r="AJ67" s="533"/>
      <c r="AK67" s="533"/>
      <c r="AL67" s="533"/>
      <c r="AM67" s="533"/>
      <c r="AN67" s="1"/>
      <c r="AO67" s="1"/>
      <c r="AP67" s="1"/>
      <c r="AQ67" s="1"/>
      <c r="AR67" s="1"/>
      <c r="AS67" s="1"/>
      <c r="AT67" s="1"/>
      <c r="AU67" s="1"/>
    </row>
    <row r="68" spans="1:49" ht="13.5" hidden="1" customHeight="1" x14ac:dyDescent="0.25">
      <c r="A68" s="41"/>
      <c r="B68" s="104" t="s">
        <v>18</v>
      </c>
      <c r="C68" s="695" t="s">
        <v>1034</v>
      </c>
      <c r="D68" s="728"/>
      <c r="E68" s="711"/>
      <c r="F68" s="686" t="s">
        <v>87</v>
      </c>
      <c r="G68" s="42" t="s">
        <v>1044</v>
      </c>
      <c r="H68" s="27">
        <v>1</v>
      </c>
      <c r="I68" s="27"/>
      <c r="J68" s="28">
        <f>IF(VLOOKUP(C68,A!A$1:H$669,4,FALSE)="y",1,0)</f>
        <v>0</v>
      </c>
      <c r="K68" s="28">
        <f>IF(VLOOKUP(C68,A!A$1:H$669,5,FALSE)="y",1,0)</f>
        <v>0</v>
      </c>
      <c r="L68" s="544" t="str">
        <f t="shared" si="19"/>
        <v>High</v>
      </c>
      <c r="M68" s="27"/>
      <c r="N68" s="44">
        <v>1</v>
      </c>
      <c r="O68" s="533">
        <f>VLOOKUP(C68,A!A$1:G$669,2,FALSE)</f>
        <v>0</v>
      </c>
      <c r="P68" s="533" t="s">
        <v>24</v>
      </c>
      <c r="Q68" s="533" t="str">
        <f>IF(S68=0,"",COUNTIF(Q$12:Q67,"&gt;0")+1)</f>
        <v/>
      </c>
      <c r="R68" s="533" t="str">
        <f>IF(S68=0,"",COUNTIF(R$12:R67,"&gt;0")+1)</f>
        <v/>
      </c>
      <c r="S68" s="533">
        <f t="shared" si="20"/>
        <v>0</v>
      </c>
      <c r="T68" s="533">
        <v>55</v>
      </c>
      <c r="U68" s="533">
        <v>0.16500000000000001</v>
      </c>
      <c r="V68" s="533"/>
      <c r="W68" s="533" t="str">
        <f t="shared" si="12"/>
        <v/>
      </c>
      <c r="X68" s="533">
        <f>IF(V68&lt;&gt;"",COUNTIF(V$46:V68,V68)-1,0)</f>
        <v>0</v>
      </c>
      <c r="Y68" s="533"/>
      <c r="Z68" s="533" t="str">
        <f t="shared" si="13"/>
        <v/>
      </c>
      <c r="AA68" s="533" t="str">
        <f>IFERROR(RANK(Z68,Z$47:Z$226,0)+COUNTIF(Z$47:Z68,Z68)-1,"")</f>
        <v/>
      </c>
      <c r="AB68" s="533">
        <f t="shared" si="18"/>
        <v>0</v>
      </c>
      <c r="AC68" s="533">
        <f t="shared" si="17"/>
        <v>0</v>
      </c>
      <c r="AD68" s="533"/>
      <c r="AE68" s="533"/>
      <c r="AF68" s="533"/>
      <c r="AG68" s="533"/>
      <c r="AH68" s="533"/>
      <c r="AI68" s="533"/>
      <c r="AJ68" s="533"/>
      <c r="AK68" s="533"/>
      <c r="AL68" s="533"/>
      <c r="AM68" s="533"/>
      <c r="AN68" s="1"/>
      <c r="AO68" s="1"/>
      <c r="AP68" s="1"/>
      <c r="AQ68" s="1"/>
      <c r="AR68" s="1"/>
      <c r="AS68" s="1"/>
      <c r="AT68" s="1"/>
      <c r="AU68" s="1"/>
    </row>
    <row r="69" spans="1:49" ht="11.25" hidden="1" customHeight="1" x14ac:dyDescent="0.25">
      <c r="A69" s="41"/>
      <c r="B69" s="104" t="s">
        <v>18</v>
      </c>
      <c r="C69" s="695" t="s">
        <v>1035</v>
      </c>
      <c r="D69" s="728"/>
      <c r="E69" s="711"/>
      <c r="F69" s="686" t="s">
        <v>87</v>
      </c>
      <c r="G69" s="355" t="s">
        <v>1043</v>
      </c>
      <c r="H69" s="27">
        <v>1</v>
      </c>
      <c r="I69" s="27"/>
      <c r="J69" s="28">
        <f>IF(VLOOKUP(C69,A!A$1:H$669,4,FALSE)="y",1,0)</f>
        <v>0</v>
      </c>
      <c r="K69" s="28">
        <f>IF(VLOOKUP(C69,A!A$1:H$669,5,FALSE)="y",1,0)</f>
        <v>0</v>
      </c>
      <c r="L69" s="544" t="str">
        <f t="shared" si="19"/>
        <v>High</v>
      </c>
      <c r="M69" s="27"/>
      <c r="N69" s="44">
        <v>1</v>
      </c>
      <c r="O69" s="533">
        <f>VLOOKUP(C69,A!A$1:G$669,2,FALSE)</f>
        <v>0</v>
      </c>
      <c r="P69" s="533" t="s">
        <v>24</v>
      </c>
      <c r="Q69" s="533" t="str">
        <f>IF(S69=0,"",COUNTIF(Q$12:Q68,"&gt;0")+1)</f>
        <v/>
      </c>
      <c r="R69" s="533" t="str">
        <f>IF(S69=0,"",COUNTIF(R$12:R68,"&gt;0")+1)</f>
        <v/>
      </c>
      <c r="S69" s="533">
        <f t="shared" si="20"/>
        <v>0</v>
      </c>
      <c r="T69" s="533">
        <v>55</v>
      </c>
      <c r="U69" s="533">
        <v>0.16500000000000001</v>
      </c>
      <c r="V69" s="533"/>
      <c r="W69" s="533" t="str">
        <f t="shared" si="12"/>
        <v/>
      </c>
      <c r="X69" s="533">
        <f>IF(V69&lt;&gt;"",COUNTIF(V$46:V69,V69)-1,0)</f>
        <v>0</v>
      </c>
      <c r="Y69" s="533"/>
      <c r="Z69" s="533" t="str">
        <f t="shared" si="13"/>
        <v/>
      </c>
      <c r="AA69" s="533" t="str">
        <f>IFERROR(RANK(Z69,Z$47:Z$226,0)+COUNTIF(Z$47:Z69,Z69)-1,"")</f>
        <v/>
      </c>
      <c r="AB69" s="533">
        <f t="shared" si="18"/>
        <v>0</v>
      </c>
      <c r="AC69" s="533">
        <f t="shared" si="17"/>
        <v>0</v>
      </c>
      <c r="AD69" s="533"/>
      <c r="AE69" s="533"/>
      <c r="AF69" s="533"/>
      <c r="AG69" s="533"/>
      <c r="AH69" s="533"/>
      <c r="AI69" s="533"/>
      <c r="AJ69" s="533"/>
      <c r="AK69" s="533"/>
      <c r="AL69" s="533"/>
      <c r="AM69" s="533"/>
      <c r="AN69" s="1"/>
      <c r="AO69" s="1"/>
      <c r="AP69" s="1"/>
      <c r="AQ69" s="1"/>
      <c r="AR69" s="1"/>
      <c r="AS69" s="1"/>
      <c r="AT69" s="1"/>
      <c r="AU69" s="1"/>
    </row>
    <row r="70" spans="1:49" ht="11.25" hidden="1" customHeight="1" x14ac:dyDescent="0.25">
      <c r="A70" s="41"/>
      <c r="B70" s="104" t="s">
        <v>18</v>
      </c>
      <c r="C70" s="695" t="s">
        <v>1253</v>
      </c>
      <c r="D70" s="728"/>
      <c r="E70" s="711"/>
      <c r="F70" s="686" t="s">
        <v>87</v>
      </c>
      <c r="G70" s="355" t="s">
        <v>1066</v>
      </c>
      <c r="H70" s="27">
        <v>1</v>
      </c>
      <c r="I70" s="27"/>
      <c r="J70" s="28">
        <f>IF(VLOOKUP(C70,A!A$1:H$669,4,FALSE)="y",1,0)</f>
        <v>0</v>
      </c>
      <c r="K70" s="28">
        <f>IF(VLOOKUP(C70,A!A$1:H$669,5,FALSE)="y",1,0)</f>
        <v>0</v>
      </c>
      <c r="L70" s="544" t="str">
        <f t="shared" si="19"/>
        <v>High</v>
      </c>
      <c r="M70" s="27"/>
      <c r="N70" s="44">
        <v>1</v>
      </c>
      <c r="O70" s="533">
        <f>VLOOKUP(C70,A!A$1:G$669,2,FALSE)</f>
        <v>0</v>
      </c>
      <c r="P70" s="533" t="s">
        <v>24</v>
      </c>
      <c r="Q70" s="533" t="str">
        <f>IF(S70=0,"",COUNTIF(Q$12:Q69,"&gt;0")+1)</f>
        <v/>
      </c>
      <c r="R70" s="533" t="str">
        <f>IF(S70=0,"",COUNTIF(R$12:R69,"&gt;0")+1)</f>
        <v/>
      </c>
      <c r="S70" s="533">
        <f t="shared" si="20"/>
        <v>0</v>
      </c>
      <c r="T70" s="533">
        <v>55</v>
      </c>
      <c r="U70" s="533">
        <v>0.16500000000000001</v>
      </c>
      <c r="V70" s="533"/>
      <c r="W70" s="533" t="str">
        <f t="shared" si="12"/>
        <v/>
      </c>
      <c r="X70" s="533">
        <f>IF(V70&lt;&gt;"",COUNTIF(V$46:V70,V70)-1,0)</f>
        <v>0</v>
      </c>
      <c r="Y70" s="533"/>
      <c r="Z70" s="533" t="str">
        <f>IFERROR(IF(AND(O70="y",IF(AND(A70&lt;&gt;"",A70=0),0,1)),H70*-100-A70*1000-T70,""),"")</f>
        <v/>
      </c>
      <c r="AA70" s="533" t="str">
        <f>IFERROR(RANK(Z70,Z$47:Z$226,0)+COUNTIF(Z$47:Z70,Z70)-1,"")</f>
        <v/>
      </c>
      <c r="AB70" s="533">
        <f>IF(AA70&lt;=AB$46,1,0)</f>
        <v>0</v>
      </c>
      <c r="AC70" s="533">
        <f>IF(AA70&lt;=AC$46,1,0)</f>
        <v>0</v>
      </c>
      <c r="AD70" s="533"/>
      <c r="AE70" s="533"/>
      <c r="AF70" s="533"/>
      <c r="AG70" s="533"/>
      <c r="AH70" s="533"/>
      <c r="AI70" s="533"/>
      <c r="AJ70" s="533"/>
      <c r="AK70" s="533"/>
      <c r="AL70" s="533"/>
      <c r="AM70" s="533"/>
      <c r="AN70" s="1"/>
      <c r="AO70" s="1"/>
      <c r="AP70" s="1"/>
      <c r="AQ70" s="1"/>
      <c r="AR70" s="1"/>
      <c r="AS70" s="1"/>
      <c r="AT70" s="1"/>
      <c r="AU70" s="1"/>
    </row>
    <row r="71" spans="1:49" ht="13.5" hidden="1" customHeight="1" x14ac:dyDescent="0.25">
      <c r="A71" s="41"/>
      <c r="B71" s="104" t="s">
        <v>18</v>
      </c>
      <c r="C71" s="695" t="s">
        <v>1064</v>
      </c>
      <c r="D71" s="728"/>
      <c r="E71" s="711"/>
      <c r="F71" s="686" t="s">
        <v>87</v>
      </c>
      <c r="G71" s="352" t="s">
        <v>1068</v>
      </c>
      <c r="H71" s="27">
        <v>1</v>
      </c>
      <c r="I71" s="27"/>
      <c r="J71" s="28">
        <f>IF(VLOOKUP(C71,A!A$1:H$669,4,FALSE)="y",1,0)</f>
        <v>0</v>
      </c>
      <c r="K71" s="28">
        <f>IF(VLOOKUP(C71,A!A$1:H$669,5,FALSE)="y",1,0)</f>
        <v>0</v>
      </c>
      <c r="L71" s="544" t="str">
        <f t="shared" si="19"/>
        <v>High</v>
      </c>
      <c r="M71" s="27"/>
      <c r="N71" s="44">
        <v>1</v>
      </c>
      <c r="O71" s="533">
        <f>VLOOKUP(C71,A!A$1:G$669,2,FALSE)</f>
        <v>0</v>
      </c>
      <c r="P71" s="533" t="s">
        <v>24</v>
      </c>
      <c r="Q71" s="533" t="str">
        <f>IF(S71=0,"",COUNTIF(Q$12:Q70,"&gt;0")+1)</f>
        <v/>
      </c>
      <c r="R71" s="533" t="str">
        <f>IF(S71=0,"",COUNTIF(R$12:R70,"&gt;0")+1)</f>
        <v/>
      </c>
      <c r="S71" s="533">
        <f t="shared" si="20"/>
        <v>0</v>
      </c>
      <c r="T71" s="533">
        <v>55</v>
      </c>
      <c r="U71" s="533">
        <v>0.16500000000000001</v>
      </c>
      <c r="V71" s="533"/>
      <c r="W71" s="533" t="str">
        <f t="shared" si="12"/>
        <v/>
      </c>
      <c r="X71" s="533">
        <f>IF(V71&lt;&gt;"",COUNTIF(V$46:V71,V71)-1,0)</f>
        <v>0</v>
      </c>
      <c r="Y71" s="533"/>
      <c r="Z71" s="533" t="str">
        <f t="shared" si="13"/>
        <v/>
      </c>
      <c r="AA71" s="533" t="str">
        <f>IFERROR(RANK(Z71,Z$47:Z$226,0)+COUNTIF(Z$47:Z71,Z71)-1,"")</f>
        <v/>
      </c>
      <c r="AB71" s="533">
        <f t="shared" si="18"/>
        <v>0</v>
      </c>
      <c r="AC71" s="533">
        <f t="shared" si="17"/>
        <v>0</v>
      </c>
      <c r="AD71" s="533"/>
      <c r="AE71" s="533"/>
      <c r="AF71" s="533"/>
      <c r="AG71" s="533"/>
      <c r="AH71" s="533"/>
      <c r="AI71" s="533"/>
      <c r="AJ71" s="533"/>
      <c r="AK71" s="533"/>
      <c r="AL71" s="533"/>
      <c r="AM71" s="533"/>
      <c r="AN71" s="1"/>
      <c r="AO71" s="1"/>
      <c r="AP71" s="1"/>
      <c r="AQ71" s="1"/>
      <c r="AR71" s="1"/>
      <c r="AS71" s="1"/>
      <c r="AT71" s="1"/>
      <c r="AU71" s="1"/>
    </row>
    <row r="72" spans="1:49" ht="11.25" hidden="1" customHeight="1" x14ac:dyDescent="0.25">
      <c r="A72" s="41"/>
      <c r="B72" s="104" t="s">
        <v>18</v>
      </c>
      <c r="C72" s="695" t="s">
        <v>1063</v>
      </c>
      <c r="D72" s="728"/>
      <c r="E72" s="711"/>
      <c r="F72" s="686" t="s">
        <v>87</v>
      </c>
      <c r="G72" s="352" t="s">
        <v>1252</v>
      </c>
      <c r="H72" s="27">
        <v>1</v>
      </c>
      <c r="I72" s="27"/>
      <c r="J72" s="28">
        <f>IF(VLOOKUP(C72,A!A$1:H$669,4,FALSE)="y",1,0)</f>
        <v>0</v>
      </c>
      <c r="K72" s="28">
        <f>IF(VLOOKUP(C72,A!A$1:H$669,5,FALSE)="y",1,0)</f>
        <v>0</v>
      </c>
      <c r="L72" s="544" t="str">
        <f t="shared" si="19"/>
        <v>High</v>
      </c>
      <c r="M72" s="27"/>
      <c r="N72" s="44">
        <v>1</v>
      </c>
      <c r="O72" s="533">
        <f>VLOOKUP(C72,A!A$1:G$669,2,FALSE)</f>
        <v>0</v>
      </c>
      <c r="P72" s="533" t="s">
        <v>24</v>
      </c>
      <c r="Q72" s="533" t="str">
        <f>IF(S72=0,"",COUNTIF(Q$12:Q71,"&gt;0")+1)</f>
        <v/>
      </c>
      <c r="R72" s="533" t="str">
        <f>IF(S72=0,"",COUNTIF(R$12:R71,"&gt;0")+1)</f>
        <v/>
      </c>
      <c r="S72" s="533">
        <f t="shared" si="20"/>
        <v>0</v>
      </c>
      <c r="T72" s="533">
        <v>55</v>
      </c>
      <c r="U72" s="533">
        <v>0.16500000000000001</v>
      </c>
      <c r="V72" s="533"/>
      <c r="W72" s="533" t="str">
        <f t="shared" si="12"/>
        <v/>
      </c>
      <c r="X72" s="533">
        <f>IF(V72&lt;&gt;"",COUNTIF(V$46:V72,V72)-1,0)</f>
        <v>0</v>
      </c>
      <c r="Y72" s="533"/>
      <c r="Z72" s="533" t="str">
        <f>IFERROR(IF(AND(O72="y",IF(AND(A72&lt;&gt;"",A72=0),0,1)),H72*-100-A72*1000-T72,""),"")</f>
        <v/>
      </c>
      <c r="AA72" s="533" t="str">
        <f>IFERROR(RANK(Z72,Z$47:Z$226,0)+COUNTIF(Z$47:Z72,Z72)-1,"")</f>
        <v/>
      </c>
      <c r="AB72" s="533">
        <f>IF(AA72&lt;=AB$46,1,0)</f>
        <v>0</v>
      </c>
      <c r="AC72" s="533">
        <f>IF(AA72&lt;=AC$46,1,0)</f>
        <v>0</v>
      </c>
      <c r="AD72" s="533"/>
      <c r="AE72" s="533"/>
      <c r="AF72" s="533"/>
      <c r="AG72" s="533"/>
      <c r="AH72" s="533"/>
      <c r="AI72" s="533"/>
      <c r="AJ72" s="533"/>
      <c r="AK72" s="533"/>
      <c r="AL72" s="533"/>
      <c r="AM72" s="533"/>
      <c r="AN72" s="1"/>
      <c r="AO72" s="1"/>
      <c r="AP72" s="1"/>
      <c r="AQ72" s="1"/>
      <c r="AR72" s="1"/>
      <c r="AS72" s="1"/>
      <c r="AT72" s="1"/>
      <c r="AU72" s="1"/>
    </row>
    <row r="73" spans="1:49" ht="13.5" hidden="1" customHeight="1" x14ac:dyDescent="0.25">
      <c r="A73" s="41"/>
      <c r="B73" s="104" t="s">
        <v>18</v>
      </c>
      <c r="C73" s="695" t="s">
        <v>1036</v>
      </c>
      <c r="D73" s="728"/>
      <c r="E73" s="711"/>
      <c r="F73" s="686" t="s">
        <v>87</v>
      </c>
      <c r="G73" s="352" t="s">
        <v>1037</v>
      </c>
      <c r="H73" s="27">
        <v>1</v>
      </c>
      <c r="I73" s="27"/>
      <c r="J73" s="28">
        <f>IF(VLOOKUP(C73,A!A$1:H$669,4,FALSE)="y",1,0)</f>
        <v>0</v>
      </c>
      <c r="K73" s="28">
        <f>IF(VLOOKUP(C73,A!A$1:H$669,5,FALSE)="y",1,0)</f>
        <v>0</v>
      </c>
      <c r="L73" s="544" t="str">
        <f t="shared" si="19"/>
        <v>High</v>
      </c>
      <c r="M73" s="27"/>
      <c r="N73" s="44">
        <v>1</v>
      </c>
      <c r="O73" s="533">
        <f>VLOOKUP(C73,A!A$1:G$669,2,FALSE)</f>
        <v>0</v>
      </c>
      <c r="P73" s="533" t="s">
        <v>24</v>
      </c>
      <c r="Q73" s="533" t="str">
        <f>IF(S73=0,"",COUNTIF(Q$12:Q72,"&gt;0")+1)</f>
        <v/>
      </c>
      <c r="R73" s="533" t="str">
        <f>IF(S73=0,"",COUNTIF(R$12:R72,"&gt;0")+1)</f>
        <v/>
      </c>
      <c r="S73" s="533">
        <f t="shared" si="20"/>
        <v>0</v>
      </c>
      <c r="T73" s="533">
        <v>55</v>
      </c>
      <c r="U73" s="533">
        <v>0.16500000000000001</v>
      </c>
      <c r="V73" s="533"/>
      <c r="W73" s="533" t="str">
        <f t="shared" si="12"/>
        <v/>
      </c>
      <c r="X73" s="533">
        <f>IF(V73&lt;&gt;"",COUNTIF(V$46:V73,V73)-1,0)</f>
        <v>0</v>
      </c>
      <c r="Y73" s="533"/>
      <c r="Z73" s="533" t="str">
        <f>IFERROR(IF(AND(O73="y",IF(AND(A73&lt;&gt;"",A73=0),0,1)),H73*-100-A73*1000-T73,""),"")</f>
        <v/>
      </c>
      <c r="AA73" s="533" t="str">
        <f>IFERROR(RANK(Z73,Z$47:Z$226,0)+COUNTIF(Z$47:Z73,Z73)-1,"")</f>
        <v/>
      </c>
      <c r="AB73" s="533">
        <f>IF(AA73&lt;=AB$46,1,0)</f>
        <v>0</v>
      </c>
      <c r="AC73" s="533">
        <f>IF(AA73&lt;=AC$46,1,0)</f>
        <v>0</v>
      </c>
      <c r="AD73" s="533"/>
      <c r="AE73" s="533"/>
      <c r="AF73" s="533"/>
      <c r="AG73" s="533"/>
      <c r="AH73" s="533"/>
      <c r="AI73" s="533"/>
      <c r="AJ73" s="533"/>
      <c r="AK73" s="533"/>
      <c r="AL73" s="533"/>
      <c r="AM73" s="533"/>
      <c r="AN73" s="1"/>
      <c r="AO73" s="1"/>
      <c r="AP73" s="1"/>
      <c r="AQ73" s="1"/>
      <c r="AR73" s="1"/>
      <c r="AS73" s="1"/>
      <c r="AT73" s="1"/>
      <c r="AU73" s="1"/>
    </row>
    <row r="74" spans="1:49" ht="11.25" hidden="1" customHeight="1" x14ac:dyDescent="0.25">
      <c r="A74" s="41"/>
      <c r="B74" s="104" t="s">
        <v>18</v>
      </c>
      <c r="C74" s="837" t="s">
        <v>89</v>
      </c>
      <c r="D74" s="727"/>
      <c r="E74" s="828"/>
      <c r="F74" s="686" t="s">
        <v>87</v>
      </c>
      <c r="G74" s="42" t="s">
        <v>90</v>
      </c>
      <c r="H74" s="27">
        <f>VLOOKUP(C74,A!A$1:H$669,8,FALSE)</f>
        <v>1</v>
      </c>
      <c r="I74" s="27"/>
      <c r="J74" s="28">
        <f>IF(VLOOKUP(C74,A!A$1:H$669,4,FALSE)="y",1,0)</f>
        <v>0</v>
      </c>
      <c r="K74" s="28">
        <f>IF(VLOOKUP(C74,A!A$1:H$669,5,FALSE)="y",1,0)</f>
        <v>0</v>
      </c>
      <c r="L74" s="544" t="str">
        <f t="shared" si="19"/>
        <v>Low</v>
      </c>
      <c r="M74" s="27">
        <f>VLOOKUP(C74,A!A$1:H$669,6,FALSE)</f>
        <v>0</v>
      </c>
      <c r="N74" s="44">
        <v>1</v>
      </c>
      <c r="O74" s="533">
        <f>VLOOKUP(C74,A!A$1:G$669,2,FALSE)</f>
        <v>0</v>
      </c>
      <c r="P74" s="533" t="s">
        <v>24</v>
      </c>
      <c r="Q74" s="533" t="str">
        <f>IF(S74=0,"",COUNTIF(Q$12:Q73,"&gt;0")+1)</f>
        <v/>
      </c>
      <c r="R74" s="533" t="str">
        <f>IF(S74=0,"",COUNTIF(R$12:R73,"&gt;0")+1)</f>
        <v/>
      </c>
      <c r="S74" s="533">
        <f t="shared" si="20"/>
        <v>0</v>
      </c>
      <c r="T74" s="533">
        <f>VLOOKUP(C74,A!A$1:AH$669,31,FALSE)</f>
        <v>0</v>
      </c>
      <c r="U74" s="533">
        <v>0.16500000000000001</v>
      </c>
      <c r="V74" s="533"/>
      <c r="W74" s="533" t="str">
        <f t="shared" si="12"/>
        <v/>
      </c>
      <c r="X74" s="533">
        <f>IF(V74&lt;&gt;"",COUNTIF(V$46:V74,V74)-1,0)</f>
        <v>0</v>
      </c>
      <c r="Y74" s="533"/>
      <c r="Z74" s="533" t="str">
        <f t="shared" si="13"/>
        <v/>
      </c>
      <c r="AA74" s="533" t="str">
        <f>IFERROR(RANK(Z74,Z$47:Z$226,0)+COUNTIF(Z$47:Z74,Z74)-1,"")</f>
        <v/>
      </c>
      <c r="AB74" s="533">
        <f t="shared" si="18"/>
        <v>0</v>
      </c>
      <c r="AC74" s="533">
        <f t="shared" si="17"/>
        <v>0</v>
      </c>
      <c r="AD74" s="533"/>
      <c r="AE74" s="533"/>
      <c r="AF74" s="533"/>
      <c r="AG74" s="533"/>
      <c r="AH74" s="533"/>
      <c r="AI74" s="533"/>
      <c r="AJ74" s="533"/>
      <c r="AK74" s="533"/>
      <c r="AL74" s="533"/>
      <c r="AM74" s="533"/>
      <c r="AN74" s="533"/>
      <c r="AO74" s="533"/>
      <c r="AP74" s="1"/>
      <c r="AQ74" s="1"/>
      <c r="AR74" s="1"/>
      <c r="AS74" s="1"/>
      <c r="AT74" s="1"/>
      <c r="AU74" s="1"/>
    </row>
    <row r="75" spans="1:49" ht="11.25" hidden="1" customHeight="1" x14ac:dyDescent="0.25">
      <c r="A75" s="41"/>
      <c r="B75" s="104" t="s">
        <v>18</v>
      </c>
      <c r="C75" s="837" t="s">
        <v>91</v>
      </c>
      <c r="D75" s="727"/>
      <c r="E75" s="828"/>
      <c r="F75" s="686" t="s">
        <v>87</v>
      </c>
      <c r="G75" s="42" t="s">
        <v>92</v>
      </c>
      <c r="H75" s="27">
        <f>VLOOKUP(C75,A!A$1:H$669,8,FALSE)</f>
        <v>1</v>
      </c>
      <c r="I75" s="27"/>
      <c r="J75" s="28">
        <f>IF(VLOOKUP(C75,A!A$1:H$669,4,FALSE)="y",1,0)</f>
        <v>0</v>
      </c>
      <c r="K75" s="28">
        <f>IF(VLOOKUP(C75,A!A$1:H$669,5,FALSE)="y",1,0)</f>
        <v>0</v>
      </c>
      <c r="L75" s="544" t="str">
        <f t="shared" si="19"/>
        <v>Low</v>
      </c>
      <c r="M75" s="27">
        <f>VLOOKUP(C75,A!A$1:H$669,6,FALSE)</f>
        <v>0</v>
      </c>
      <c r="N75" s="44">
        <v>1</v>
      </c>
      <c r="O75" s="533">
        <f>VLOOKUP(C75,A!A$1:G$669,2,FALSE)</f>
        <v>0</v>
      </c>
      <c r="P75" s="533" t="s">
        <v>24</v>
      </c>
      <c r="Q75" s="533" t="str">
        <f>IF(S75=0,"",COUNTIF(Q$12:Q74,"&gt;0")+1)</f>
        <v/>
      </c>
      <c r="R75" s="533" t="str">
        <f>IF(S75=0,"",COUNTIF(R$12:R74,"&gt;0")+1)</f>
        <v/>
      </c>
      <c r="S75" s="533">
        <f t="shared" si="20"/>
        <v>0</v>
      </c>
      <c r="T75" s="533">
        <f>VLOOKUP(C75,A!A$1:AH$669,31,FALSE)</f>
        <v>0</v>
      </c>
      <c r="U75" s="533">
        <v>0.16500000000000001</v>
      </c>
      <c r="V75" s="533"/>
      <c r="W75" s="533" t="str">
        <f t="shared" si="12"/>
        <v/>
      </c>
      <c r="X75" s="533">
        <f>IF(V75&lt;&gt;"",COUNTIF(V$46:V75,V75)-1,0)</f>
        <v>0</v>
      </c>
      <c r="Y75" s="533"/>
      <c r="Z75" s="533" t="str">
        <f t="shared" si="13"/>
        <v/>
      </c>
      <c r="AA75" s="533" t="str">
        <f>IFERROR(RANK(Z75,Z$47:Z$226,0)+COUNTIF(Z$47:Z75,Z75)-1,"")</f>
        <v/>
      </c>
      <c r="AB75" s="533">
        <f t="shared" si="18"/>
        <v>0</v>
      </c>
      <c r="AC75" s="533">
        <f t="shared" si="17"/>
        <v>0</v>
      </c>
      <c r="AD75" s="533"/>
      <c r="AE75" s="533"/>
      <c r="AF75" s="533"/>
      <c r="AG75" s="533"/>
      <c r="AH75" s="533"/>
      <c r="AI75" s="533"/>
      <c r="AJ75" s="533"/>
      <c r="AK75" s="533"/>
      <c r="AL75" s="533"/>
      <c r="AM75" s="533"/>
      <c r="AN75" s="533"/>
      <c r="AO75" s="533"/>
      <c r="AP75" s="1"/>
      <c r="AQ75" s="1"/>
      <c r="AR75" s="1"/>
      <c r="AS75" s="1"/>
      <c r="AT75" s="1"/>
      <c r="AU75" s="1"/>
    </row>
    <row r="76" spans="1:49" ht="11.25" hidden="1" customHeight="1" x14ac:dyDescent="0.25">
      <c r="A76" s="41"/>
      <c r="B76" s="104" t="s">
        <v>18</v>
      </c>
      <c r="C76" s="837" t="s">
        <v>1235</v>
      </c>
      <c r="D76" s="727"/>
      <c r="E76" s="828"/>
      <c r="F76" s="686" t="s">
        <v>87</v>
      </c>
      <c r="G76" s="42" t="s">
        <v>1236</v>
      </c>
      <c r="H76" s="27">
        <f>VLOOKUP(C76,A!A$1:H$669,8,FALSE)</f>
        <v>2</v>
      </c>
      <c r="I76" s="27"/>
      <c r="J76" s="28">
        <f>IF(VLOOKUP(C76,A!A$1:H$669,4,FALSE)="y",1,0)</f>
        <v>0</v>
      </c>
      <c r="K76" s="28">
        <f>IF(VLOOKUP(C76,A!A$1:H$669,5,FALSE)="y",1,0)</f>
        <v>0</v>
      </c>
      <c r="L76" s="544" t="str">
        <f t="shared" si="19"/>
        <v>Low</v>
      </c>
      <c r="M76" s="27">
        <f>VLOOKUP(C76,A!A$1:H$669,6,FALSE)</f>
        <v>0</v>
      </c>
      <c r="N76" s="44">
        <v>1</v>
      </c>
      <c r="O76" s="533">
        <f>VLOOKUP(C76,A!A$1:G$669,2,FALSE)</f>
        <v>0</v>
      </c>
      <c r="P76" s="533" t="s">
        <v>24</v>
      </c>
      <c r="Q76" s="533" t="str">
        <f>IF(S76=0,"",COUNTIF(Q$12:Q75,"&gt;0")+1)</f>
        <v/>
      </c>
      <c r="R76" s="533" t="str">
        <f>IF(S76=0,"",COUNTIF(R$12:R75,"&gt;0")+1)</f>
        <v/>
      </c>
      <c r="S76" s="533">
        <f t="shared" si="20"/>
        <v>0</v>
      </c>
      <c r="T76" s="533">
        <f>VLOOKUP(C76,A!A$1:AH$669,31,FALSE)</f>
        <v>0</v>
      </c>
      <c r="U76" s="533">
        <v>0.16500000000000001</v>
      </c>
      <c r="V76" s="533"/>
      <c r="W76" s="533" t="str">
        <f t="shared" si="12"/>
        <v/>
      </c>
      <c r="X76" s="533">
        <f>IF(V76&lt;&gt;"",COUNTIF(V$46:V76,V76)-1,0)</f>
        <v>0</v>
      </c>
      <c r="Y76" s="533"/>
      <c r="Z76" s="533" t="str">
        <f>IFERROR(IF(AND(O76="y",IF(AND(A76&lt;&gt;"",A76=0),0,1)),H76*-100-A76*1000-T76,""),"")</f>
        <v/>
      </c>
      <c r="AA76" s="533" t="str">
        <f>IFERROR(RANK(Z76,Z$47:Z$226,0)+COUNTIF(Z$47:Z76,Z76)-1,"")</f>
        <v/>
      </c>
      <c r="AB76" s="533">
        <f>IF(AA76&lt;=AB$46,1,0)</f>
        <v>0</v>
      </c>
      <c r="AC76" s="533">
        <f>IF(AA76&lt;=AC$46,1,0)</f>
        <v>0</v>
      </c>
      <c r="AD76" s="533"/>
      <c r="AE76" s="533"/>
      <c r="AF76" s="533"/>
      <c r="AG76" s="533"/>
      <c r="AH76" s="533"/>
      <c r="AI76" s="533"/>
      <c r="AJ76" s="533"/>
      <c r="AK76" s="533"/>
      <c r="AL76" s="533"/>
      <c r="AM76" s="533"/>
      <c r="AN76" s="533"/>
      <c r="AO76" s="533"/>
      <c r="AP76" s="1"/>
      <c r="AQ76" s="1"/>
      <c r="AR76" s="1"/>
      <c r="AS76" s="1"/>
      <c r="AT76" s="1"/>
      <c r="AU76" s="1"/>
    </row>
    <row r="77" spans="1:49" ht="13.5" hidden="1" customHeight="1" x14ac:dyDescent="0.25">
      <c r="A77" s="41"/>
      <c r="B77" s="104" t="s">
        <v>18</v>
      </c>
      <c r="C77" s="837" t="s">
        <v>93</v>
      </c>
      <c r="D77" s="728"/>
      <c r="E77" s="711"/>
      <c r="F77" s="686" t="s">
        <v>87</v>
      </c>
      <c r="G77" s="42" t="s">
        <v>95</v>
      </c>
      <c r="H77" s="27">
        <f>VLOOKUP(C77,A!A$1:H$669,8,FALSE)</f>
        <v>2</v>
      </c>
      <c r="I77" s="27"/>
      <c r="J77" s="28">
        <f>IF(VLOOKUP(C77,A!A$1:H$669,4,FALSE)="y",1,0)</f>
        <v>0</v>
      </c>
      <c r="K77" s="28">
        <f>IF(VLOOKUP(C77,A!A$1:H$669,5,FALSE)="y",1,0)</f>
        <v>0</v>
      </c>
      <c r="L77" s="544" t="str">
        <f t="shared" si="19"/>
        <v>Low</v>
      </c>
      <c r="M77" s="27">
        <f>VLOOKUP(C77,A!A$1:H$669,6,FALSE)</f>
        <v>0</v>
      </c>
      <c r="N77" s="44">
        <v>1</v>
      </c>
      <c r="O77" s="533">
        <f>VLOOKUP(C77,A!A$1:G$669,2,FALSE)</f>
        <v>0</v>
      </c>
      <c r="P77" s="533" t="s">
        <v>24</v>
      </c>
      <c r="Q77" s="533" t="str">
        <f>IF(S77=0,"",COUNTIF(Q$12:Q76,"&gt;0")+1)</f>
        <v/>
      </c>
      <c r="R77" s="533" t="str">
        <f>IF(S77=0,"",COUNTIF(R$12:R76,"&gt;0")+1)</f>
        <v/>
      </c>
      <c r="S77" s="533">
        <f t="shared" si="20"/>
        <v>0</v>
      </c>
      <c r="T77" s="533">
        <f>VLOOKUP(C77,A!A$1:AH$669,31,FALSE)</f>
        <v>30</v>
      </c>
      <c r="U77" s="533">
        <v>0.16500000000000001</v>
      </c>
      <c r="V77" s="533"/>
      <c r="W77" s="533" t="str">
        <f t="shared" si="12"/>
        <v/>
      </c>
      <c r="X77" s="533">
        <f>IF(V77&lt;&gt;"",COUNTIF(V$46:V77,V77)-1,0)</f>
        <v>0</v>
      </c>
      <c r="Y77" s="533"/>
      <c r="Z77" s="533" t="str">
        <f t="shared" si="13"/>
        <v/>
      </c>
      <c r="AA77" s="533" t="str">
        <f>IFERROR(RANK(Z77,Z$47:Z$226,0)+COUNTIF(Z$47:Z77,Z77)-1,"")</f>
        <v/>
      </c>
      <c r="AB77" s="533">
        <f t="shared" si="18"/>
        <v>0</v>
      </c>
      <c r="AC77" s="533">
        <f t="shared" si="17"/>
        <v>0</v>
      </c>
      <c r="AD77" s="533"/>
      <c r="AE77" s="533"/>
      <c r="AF77" s="533"/>
      <c r="AG77" s="533"/>
      <c r="AH77" s="533"/>
      <c r="AI77" s="533"/>
      <c r="AJ77" s="533"/>
      <c r="AK77" s="533"/>
      <c r="AL77" s="533"/>
      <c r="AM77" s="533"/>
      <c r="AN77" s="533"/>
      <c r="AO77" s="533"/>
      <c r="AP77" s="1"/>
      <c r="AQ77" s="1"/>
      <c r="AR77" s="1"/>
      <c r="AS77" s="1"/>
      <c r="AT77" s="1"/>
      <c r="AU77" s="1"/>
    </row>
    <row r="78" spans="1:49" ht="13.5" hidden="1" customHeight="1" x14ac:dyDescent="0.25">
      <c r="A78" s="41"/>
      <c r="B78" s="104" t="s">
        <v>18</v>
      </c>
      <c r="C78" s="837" t="s">
        <v>1750</v>
      </c>
      <c r="D78" s="727"/>
      <c r="E78" s="828"/>
      <c r="F78" s="686" t="s">
        <v>1752</v>
      </c>
      <c r="G78" s="42" t="s">
        <v>1756</v>
      </c>
      <c r="H78" s="27">
        <v>3</v>
      </c>
      <c r="I78" s="27"/>
      <c r="J78" s="28">
        <f>IF(VLOOKUP(C78,A!A$1:H$669,4,FALSE)="y",1,0)</f>
        <v>0</v>
      </c>
      <c r="K78" s="28">
        <f>IF(VLOOKUP(C78,A!A$1:H$669,5,FALSE)="y",1,0)</f>
        <v>0</v>
      </c>
      <c r="L78" s="544" t="str">
        <f t="shared" si="19"/>
        <v>Low</v>
      </c>
      <c r="M78" s="27"/>
      <c r="N78" s="44" t="s">
        <v>39</v>
      </c>
      <c r="O78" s="533">
        <f>VLOOKUP(C78,A!A$1:G$669,2,FALSE)</f>
        <v>0</v>
      </c>
      <c r="P78" s="533" t="s">
        <v>24</v>
      </c>
      <c r="Q78" s="533" t="str">
        <f>IF(S78=0,"",COUNTIF(Q$12:Q77,"&gt;0")+1)</f>
        <v/>
      </c>
      <c r="R78" s="533" t="str">
        <f>IF(S78=0,"",COUNTIF(R$12:R77,"&gt;0")+1)</f>
        <v/>
      </c>
      <c r="S78" s="533">
        <f t="shared" si="20"/>
        <v>0</v>
      </c>
      <c r="T78" s="533">
        <f>VLOOKUP(C78,A!A$1:AH$669,31,FALSE)</f>
        <v>25</v>
      </c>
      <c r="U78" s="533">
        <v>0.16500000000000001</v>
      </c>
      <c r="V78" s="533"/>
      <c r="W78" s="533" t="str">
        <f t="shared" si="12"/>
        <v/>
      </c>
      <c r="X78" s="533">
        <f>IF(V78&lt;&gt;"",COUNTIF(V$46:V78,V78)-1,0)</f>
        <v>0</v>
      </c>
      <c r="Y78" s="533"/>
      <c r="Z78" s="533" t="str">
        <f>IFERROR(IF(AND(O78="y",IF(AND(A78&lt;&gt;"",A78=0),0,1)),H78*-100-A78*1000-T78,""),"")</f>
        <v/>
      </c>
      <c r="AA78" s="533" t="str">
        <f>IFERROR(RANK(Z78,Z$47:Z$226,0)+COUNTIF(Z$47:Z78,Z78)-1,"")</f>
        <v/>
      </c>
      <c r="AB78" s="533">
        <f>IF(AA78&lt;=AB$46,1,0)</f>
        <v>0</v>
      </c>
      <c r="AC78" s="533">
        <f>IF(AA78&lt;=AC$46,1,0)</f>
        <v>0</v>
      </c>
      <c r="AD78" s="533"/>
      <c r="AE78" s="533"/>
      <c r="AF78" s="533"/>
      <c r="AG78" s="533"/>
      <c r="AH78" s="533"/>
      <c r="AI78" s="533"/>
      <c r="AJ78" s="533"/>
      <c r="AK78" s="533"/>
      <c r="AL78" s="533"/>
      <c r="AM78" s="533"/>
      <c r="AN78" s="533"/>
      <c r="AO78" s="533"/>
      <c r="AP78" s="1"/>
      <c r="AQ78" s="1"/>
      <c r="AR78" s="1"/>
      <c r="AS78" s="1"/>
      <c r="AT78" s="1"/>
      <c r="AU78" s="1"/>
    </row>
    <row r="79" spans="1:49" ht="11.25" hidden="1" customHeight="1" x14ac:dyDescent="0.25">
      <c r="A79" s="41"/>
      <c r="B79" s="104" t="s">
        <v>18</v>
      </c>
      <c r="C79" s="695" t="s">
        <v>631</v>
      </c>
      <c r="D79" s="727"/>
      <c r="E79" s="828"/>
      <c r="F79" s="686" t="s">
        <v>1753</v>
      </c>
      <c r="G79" s="42" t="s">
        <v>990</v>
      </c>
      <c r="H79" s="27">
        <v>2</v>
      </c>
      <c r="I79" s="27"/>
      <c r="J79" s="28">
        <f>IF(VLOOKUP(C79,A!A$1:H$669,4,FALSE)="y",1,0)</f>
        <v>0</v>
      </c>
      <c r="K79" s="28">
        <f>IF(VLOOKUP(C79,A!A$1:H$669,5,FALSE)="y",1,0)</f>
        <v>0</v>
      </c>
      <c r="L79" s="544" t="str">
        <f t="shared" si="19"/>
        <v>Low</v>
      </c>
      <c r="M79" s="27"/>
      <c r="N79" s="44" t="s">
        <v>39</v>
      </c>
      <c r="O79" s="533">
        <f>VLOOKUP(C79,A!A$1:G$669,2,FALSE)</f>
        <v>0</v>
      </c>
      <c r="P79" s="533" t="s">
        <v>24</v>
      </c>
      <c r="Q79" s="533" t="str">
        <f>IF(S79=0,"",COUNTIF(Q$12:Q78,"&gt;0")+1)</f>
        <v/>
      </c>
      <c r="R79" s="533" t="str">
        <f>IF(S79=0,"",COUNTIF(R$12:R78,"&gt;0")+1)</f>
        <v/>
      </c>
      <c r="S79" s="533">
        <f t="shared" si="11"/>
        <v>0</v>
      </c>
      <c r="T79" s="533">
        <f>VLOOKUP(C79,A!A$1:AH$669,31,FALSE)</f>
        <v>0</v>
      </c>
      <c r="U79" s="533">
        <v>0.16500000000000001</v>
      </c>
      <c r="V79" s="533"/>
      <c r="W79" s="533" t="str">
        <f t="shared" si="12"/>
        <v/>
      </c>
      <c r="X79" s="533">
        <f>IF(V79&lt;&gt;"",COUNTIF(V$46:V79,V79)-1,0)</f>
        <v>0</v>
      </c>
      <c r="Y79" s="533"/>
      <c r="Z79" s="533" t="str">
        <f t="shared" si="13"/>
        <v/>
      </c>
      <c r="AA79" s="533" t="str">
        <f>IFERROR(RANK(Z79,Z$47:Z$226,0)+COUNTIF(Z$47:Z79,Z79)-1,"")</f>
        <v/>
      </c>
      <c r="AB79" s="533">
        <f t="shared" si="18"/>
        <v>0</v>
      </c>
      <c r="AC79" s="533">
        <f t="shared" si="17"/>
        <v>0</v>
      </c>
      <c r="AD79" s="533"/>
      <c r="AE79" s="533"/>
      <c r="AF79" s="533"/>
      <c r="AG79" s="533"/>
      <c r="AH79" s="533"/>
      <c r="AI79" s="533"/>
      <c r="AJ79" s="533"/>
      <c r="AK79" s="533"/>
      <c r="AL79" s="533"/>
      <c r="AM79" s="533"/>
      <c r="AN79" s="533"/>
      <c r="AO79" s="533"/>
      <c r="AP79" s="1"/>
      <c r="AQ79" s="1"/>
      <c r="AR79" s="1"/>
      <c r="AS79" s="1"/>
      <c r="AT79" s="1"/>
      <c r="AU79" s="1"/>
    </row>
    <row r="80" spans="1:49" ht="13.5" hidden="1" customHeight="1" x14ac:dyDescent="0.25">
      <c r="A80" s="41"/>
      <c r="B80" s="104" t="s">
        <v>18</v>
      </c>
      <c r="C80" s="837" t="s">
        <v>637</v>
      </c>
      <c r="D80" s="728"/>
      <c r="E80" s="711"/>
      <c r="F80" s="686" t="s">
        <v>1275</v>
      </c>
      <c r="G80" s="42" t="s">
        <v>101</v>
      </c>
      <c r="H80" s="27">
        <f>VLOOKUP(C80,A!A$1:H$669,8,FALSE)</f>
        <v>2</v>
      </c>
      <c r="I80" s="27" t="s">
        <v>30</v>
      </c>
      <c r="J80" s="28">
        <f>IF(VLOOKUP(C80,A!A$1:H$669,4,FALSE)="y",1,0)</f>
        <v>0</v>
      </c>
      <c r="K80" s="28">
        <f>IF(VLOOKUP(C80,A!A$1:H$669,5,FALSE)="y",1,0)</f>
        <v>0</v>
      </c>
      <c r="L80" s="544" t="str">
        <f t="shared" si="16"/>
        <v>Med</v>
      </c>
      <c r="M80" s="27">
        <f>VLOOKUP(C80,A!A$1:H$669,6,FALSE)</f>
        <v>0</v>
      </c>
      <c r="N80" s="44" t="s">
        <v>39</v>
      </c>
      <c r="O80" s="533">
        <f>VLOOKUP(C80,A!A$1:G$669,2,FALSE)</f>
        <v>0</v>
      </c>
      <c r="P80" s="533" t="s">
        <v>24</v>
      </c>
      <c r="Q80" s="533" t="str">
        <f>IF(S80=0,"",COUNTIF(Q$12:Q79,"&gt;0")+1)</f>
        <v/>
      </c>
      <c r="R80" s="533" t="str">
        <f>IF(S80=0,"",COUNTIF(R$12:R79,"&gt;0")+1)</f>
        <v/>
      </c>
      <c r="S80" s="533">
        <f t="shared" si="11"/>
        <v>0</v>
      </c>
      <c r="T80" s="533">
        <f>VLOOKUP(C80,A!A$1:AH$669,31,FALSE)</f>
        <v>35</v>
      </c>
      <c r="U80" s="533">
        <v>0.16500000000000001</v>
      </c>
      <c r="V80" s="533"/>
      <c r="W80" s="533" t="str">
        <f t="shared" si="12"/>
        <v/>
      </c>
      <c r="X80" s="533">
        <f>IF(V80&lt;&gt;"",COUNTIF(V$46:V80,V80)-1,0)</f>
        <v>0</v>
      </c>
      <c r="Y80" s="533"/>
      <c r="Z80" s="533" t="str">
        <f t="shared" si="13"/>
        <v/>
      </c>
      <c r="AA80" s="533" t="str">
        <f>IFERROR(RANK(Z80,Z$47:Z$226,0)+COUNTIF(Z$47:Z80,Z80)-1,"")</f>
        <v/>
      </c>
      <c r="AB80" s="533">
        <f t="shared" si="18"/>
        <v>0</v>
      </c>
      <c r="AC80" s="533">
        <f t="shared" si="17"/>
        <v>0</v>
      </c>
      <c r="AD80" s="533"/>
      <c r="AE80" s="533"/>
      <c r="AF80" s="533"/>
      <c r="AG80" s="533"/>
      <c r="AH80" s="533"/>
      <c r="AI80" s="533"/>
      <c r="AJ80" s="533"/>
      <c r="AK80" s="533"/>
      <c r="AL80" s="533"/>
      <c r="AM80" s="533"/>
      <c r="AN80" s="533"/>
      <c r="AO80" s="533"/>
      <c r="AP80" s="1"/>
      <c r="AQ80" s="1"/>
      <c r="AR80" s="1"/>
      <c r="AS80" s="1"/>
      <c r="AT80" s="1"/>
      <c r="AU80" s="1"/>
    </row>
    <row r="81" spans="1:47" ht="13.5" customHeight="1" x14ac:dyDescent="0.25">
      <c r="A81" s="41"/>
      <c r="B81" s="104" t="s">
        <v>18</v>
      </c>
      <c r="C81" s="837" t="s">
        <v>102</v>
      </c>
      <c r="D81" s="727"/>
      <c r="E81" s="828"/>
      <c r="F81" s="686" t="s">
        <v>1754</v>
      </c>
      <c r="G81" s="42" t="s">
        <v>104</v>
      </c>
      <c r="H81" s="27">
        <f>VLOOKUP(C81,A!A$1:H$669,8,FALSE)</f>
        <v>2</v>
      </c>
      <c r="I81" s="27" t="s">
        <v>30</v>
      </c>
      <c r="J81" s="28">
        <f>IF(VLOOKUP(C81,A!A$1:H$669,4,FALSE)="y",1,0)</f>
        <v>1</v>
      </c>
      <c r="K81" s="28">
        <f>IF(VLOOKUP(C81,A!A$1:H$669,5,FALSE)="y",1,0)</f>
        <v>0</v>
      </c>
      <c r="L81" s="544" t="str">
        <f t="shared" si="16"/>
        <v>Med</v>
      </c>
      <c r="M81" s="27">
        <f>VLOOKUP(C81,A!A$1:H$669,6,FALSE)</f>
        <v>0</v>
      </c>
      <c r="N81" s="44" t="s">
        <v>39</v>
      </c>
      <c r="O81" s="533" t="str">
        <f>VLOOKUP(C81,A!A$1:G$669,2,FALSE)</f>
        <v>y</v>
      </c>
      <c r="P81" s="533" t="s">
        <v>24</v>
      </c>
      <c r="Q81" s="533" t="str">
        <f>IF(S81=0,"",COUNTIF(Q$12:Q80,"&gt;0")+1)</f>
        <v/>
      </c>
      <c r="R81" s="533" t="str">
        <f>IF(S81=0,"",COUNTIF(R$12:R80,"&gt;0")+1)</f>
        <v/>
      </c>
      <c r="S81" s="533">
        <f t="shared" si="11"/>
        <v>0</v>
      </c>
      <c r="T81" s="533">
        <f>VLOOKUP(C81,A!A$1:AH$669,31,FALSE)</f>
        <v>35</v>
      </c>
      <c r="U81" s="533">
        <v>0.16500000000000001</v>
      </c>
      <c r="V81" s="533">
        <v>41</v>
      </c>
      <c r="W81" s="533" t="str">
        <f t="shared" si="12"/>
        <v/>
      </c>
      <c r="X81" s="533">
        <f>IF(V81&lt;&gt;"",COUNTIF(V$46:V81,V81)-1,0)</f>
        <v>0</v>
      </c>
      <c r="Y81" s="533"/>
      <c r="Z81" s="533">
        <f t="shared" ref="Z81:Z112" si="21">IFERROR(IF(AND(O81="y",IF(AND(A81&lt;&gt;"",A81=0),0,1)),H81*-100-A81*1000-T81,""),"")</f>
        <v>-235</v>
      </c>
      <c r="AA81" s="533">
        <f>IFERROR(RANK(Z81,Z$47:Z$226,0)+COUNTIF(Z$47:Z81,Z81)-1,"")</f>
        <v>31</v>
      </c>
      <c r="AB81" s="533">
        <f t="shared" si="18"/>
        <v>0</v>
      </c>
      <c r="AC81" s="533">
        <f t="shared" si="17"/>
        <v>0</v>
      </c>
      <c r="AD81" s="533"/>
      <c r="AE81" s="533"/>
      <c r="AF81" s="533"/>
      <c r="AG81" s="533"/>
      <c r="AH81" s="533"/>
      <c r="AI81" s="533"/>
      <c r="AJ81" s="533"/>
      <c r="AK81" s="533"/>
      <c r="AL81" s="533"/>
      <c r="AM81" s="533"/>
      <c r="AN81" s="533"/>
      <c r="AO81" s="533"/>
      <c r="AP81" s="1"/>
      <c r="AQ81" s="1"/>
      <c r="AR81" s="1"/>
      <c r="AS81" s="1"/>
      <c r="AT81" s="1"/>
      <c r="AU81" s="1"/>
    </row>
    <row r="82" spans="1:47" ht="11.25" hidden="1" customHeight="1" x14ac:dyDescent="0.25">
      <c r="A82" s="41"/>
      <c r="B82" s="104" t="s">
        <v>18</v>
      </c>
      <c r="C82" s="837" t="s">
        <v>105</v>
      </c>
      <c r="D82" s="727"/>
      <c r="E82" s="828"/>
      <c r="F82" s="686" t="s">
        <v>1755</v>
      </c>
      <c r="G82" s="42" t="s">
        <v>106</v>
      </c>
      <c r="H82" s="27">
        <f>VLOOKUP(C82,A!A$1:H$669,8,FALSE)</f>
        <v>3</v>
      </c>
      <c r="I82" s="27" t="s">
        <v>30</v>
      </c>
      <c r="J82" s="28">
        <f>IF(VLOOKUP(C82,A!A$1:H$669,4,FALSE)="y",1,0)</f>
        <v>0</v>
      </c>
      <c r="K82" s="28">
        <f>IF(VLOOKUP(C82,A!A$1:H$669,5,FALSE)="y",1,0)</f>
        <v>0</v>
      </c>
      <c r="L82" s="544" t="str">
        <f t="shared" si="16"/>
        <v>Low</v>
      </c>
      <c r="M82" s="27">
        <f>VLOOKUP(C82,A!A$1:H$669,6,FALSE)</f>
        <v>0</v>
      </c>
      <c r="N82" s="44" t="s">
        <v>39</v>
      </c>
      <c r="O82" s="533">
        <f>VLOOKUP(C82,A!A$1:G$669,2,FALSE)</f>
        <v>0</v>
      </c>
      <c r="P82" s="533" t="s">
        <v>24</v>
      </c>
      <c r="Q82" s="533" t="str">
        <f>IF(S82=0,"",COUNTIF(Q$12:Q81,"&gt;0")+1)</f>
        <v/>
      </c>
      <c r="R82" s="533" t="str">
        <f>IF(S82=0,"",COUNTIF(R$12:R81,"&gt;0")+1)</f>
        <v/>
      </c>
      <c r="S82" s="533">
        <f t="shared" si="11"/>
        <v>0</v>
      </c>
      <c r="T82" s="533">
        <f>VLOOKUP(C82,A!A$1:AH$669,31,FALSE)</f>
        <v>0</v>
      </c>
      <c r="U82" s="533">
        <v>0.16500000000000001</v>
      </c>
      <c r="V82" s="533"/>
      <c r="W82" s="533" t="str">
        <f t="shared" si="12"/>
        <v/>
      </c>
      <c r="X82" s="533">
        <f>IF(V82&lt;&gt;"",COUNTIF(V$46:V82,V82)-1,0)</f>
        <v>0</v>
      </c>
      <c r="Y82" s="533"/>
      <c r="Z82" s="533" t="str">
        <f t="shared" si="21"/>
        <v/>
      </c>
      <c r="AA82" s="533" t="str">
        <f>IFERROR(RANK(Z82,Z$47:Z$226,0)+COUNTIF(Z$47:Z82,Z82)-1,"")</f>
        <v/>
      </c>
      <c r="AB82" s="533">
        <f t="shared" si="18"/>
        <v>0</v>
      </c>
      <c r="AC82" s="533">
        <f t="shared" si="17"/>
        <v>0</v>
      </c>
      <c r="AD82" s="533"/>
      <c r="AE82" s="533"/>
      <c r="AF82" s="533"/>
      <c r="AG82" s="533"/>
      <c r="AH82" s="533"/>
      <c r="AI82" s="533"/>
      <c r="AJ82" s="533"/>
      <c r="AK82" s="533"/>
      <c r="AL82" s="533"/>
      <c r="AM82" s="533"/>
      <c r="AN82" s="533"/>
      <c r="AO82" s="533"/>
      <c r="AP82" s="1"/>
      <c r="AQ82" s="1"/>
      <c r="AR82" s="1"/>
      <c r="AS82" s="1"/>
      <c r="AT82" s="1"/>
      <c r="AU82" s="1"/>
    </row>
    <row r="83" spans="1:47" ht="13.5" hidden="1" customHeight="1" x14ac:dyDescent="0.25">
      <c r="A83" s="41"/>
      <c r="B83" s="104" t="s">
        <v>18</v>
      </c>
      <c r="C83" s="837" t="s">
        <v>107</v>
      </c>
      <c r="D83" s="728"/>
      <c r="E83" s="711"/>
      <c r="F83" s="686" t="s">
        <v>108</v>
      </c>
      <c r="G83" s="42" t="s">
        <v>109</v>
      </c>
      <c r="H83" s="27">
        <v>1</v>
      </c>
      <c r="I83" s="27"/>
      <c r="J83" s="28">
        <f>IF(VLOOKUP(C83,A!A$1:H$669,4,FALSE)="y",1,0)</f>
        <v>0</v>
      </c>
      <c r="K83" s="28">
        <f>IF(VLOOKUP(C83,A!A$1:H$669,5,FALSE)="y",1,0)</f>
        <v>0</v>
      </c>
      <c r="L83" s="544" t="str">
        <f t="shared" si="16"/>
        <v>Low</v>
      </c>
      <c r="M83" s="27">
        <f>VLOOKUP(C83,A!A$1:H$669,6,FALSE)</f>
        <v>0</v>
      </c>
      <c r="N83" s="44" t="s">
        <v>39</v>
      </c>
      <c r="O83" s="533">
        <f>VLOOKUP(C83,A!A$1:G$669,2,FALSE)</f>
        <v>0</v>
      </c>
      <c r="P83" s="533" t="s">
        <v>24</v>
      </c>
      <c r="Q83" s="533" t="str">
        <f>IF(S83=0,"",COUNTIF(Q$12:Q82,"&gt;0")+1)</f>
        <v/>
      </c>
      <c r="R83" s="533" t="str">
        <f>IF(S83=0,"",COUNTIF(R$12:R82,"&gt;0")+1)</f>
        <v/>
      </c>
      <c r="S83" s="533">
        <f>A83+Y83+AB83+AC83+A23</f>
        <v>0</v>
      </c>
      <c r="T83" s="533">
        <f>VLOOKUP(C83,A!A$1:AH$669,31,FALSE)</f>
        <v>0</v>
      </c>
      <c r="U83" s="533">
        <v>0.16500000000000001</v>
      </c>
      <c r="V83" s="533"/>
      <c r="W83" s="533" t="str">
        <f t="shared" si="12"/>
        <v/>
      </c>
      <c r="X83" s="533">
        <f>IF(V83&lt;&gt;"",COUNTIF(V$46:V83,V83)-1,0)</f>
        <v>0</v>
      </c>
      <c r="Y83" s="533"/>
      <c r="Z83" s="533" t="str">
        <f t="shared" si="21"/>
        <v/>
      </c>
      <c r="AA83" s="533" t="str">
        <f>IFERROR(RANK(Z83,Z$47:Z$226,0)+COUNTIF(Z$47:Z83,Z83)-1,"")</f>
        <v/>
      </c>
      <c r="AB83" s="533">
        <f t="shared" si="18"/>
        <v>0</v>
      </c>
      <c r="AC83" s="533">
        <f t="shared" si="17"/>
        <v>0</v>
      </c>
      <c r="AD83" s="533"/>
      <c r="AE83" s="533"/>
      <c r="AF83" s="533"/>
      <c r="AG83" s="533"/>
      <c r="AH83" s="533"/>
      <c r="AI83" s="533"/>
      <c r="AJ83" s="533"/>
      <c r="AK83" s="533"/>
      <c r="AL83" s="533"/>
      <c r="AM83" s="533"/>
      <c r="AN83" s="533"/>
      <c r="AO83" s="533"/>
      <c r="AP83" s="1"/>
      <c r="AQ83" s="1"/>
      <c r="AR83" s="1"/>
      <c r="AS83" s="1"/>
      <c r="AT83" s="1"/>
      <c r="AU83" s="1"/>
    </row>
    <row r="84" spans="1:47" ht="13.5" hidden="1" customHeight="1" x14ac:dyDescent="0.25">
      <c r="A84" s="41"/>
      <c r="B84" s="104" t="s">
        <v>18</v>
      </c>
      <c r="C84" s="837" t="s">
        <v>110</v>
      </c>
      <c r="D84" s="727"/>
      <c r="E84" s="711"/>
      <c r="F84" s="686" t="s">
        <v>111</v>
      </c>
      <c r="G84" s="42" t="s">
        <v>112</v>
      </c>
      <c r="H84" s="27">
        <f>VLOOKUP(C84,A!A$1:H$669,8,FALSE)</f>
        <v>1</v>
      </c>
      <c r="I84" s="27"/>
      <c r="J84" s="28">
        <f>IF(VLOOKUP(C84,A!A$1:H$669,4,FALSE)="y",1,0)</f>
        <v>0</v>
      </c>
      <c r="K84" s="28">
        <f>IF(VLOOKUP(C84,A!A$1:H$669,5,FALSE)="y",1,0)</f>
        <v>0</v>
      </c>
      <c r="L84" s="544" t="str">
        <f t="shared" si="16"/>
        <v>Low</v>
      </c>
      <c r="M84" s="27">
        <f>VLOOKUP(C84,A!A$1:H$669,6,FALSE)</f>
        <v>0</v>
      </c>
      <c r="N84" s="44" t="s">
        <v>31</v>
      </c>
      <c r="O84" s="533">
        <f>VLOOKUP(C84,A!A$1:G$669,2,FALSE)</f>
        <v>0</v>
      </c>
      <c r="P84" s="533" t="s">
        <v>24</v>
      </c>
      <c r="Q84" s="533" t="str">
        <f>IF(S84=0,"",COUNTIF(Q$12:Q83,"&gt;0")+1)</f>
        <v/>
      </c>
      <c r="R84" s="533" t="str">
        <f>IF(S84=0,"",COUNTIF(R$12:R83,"&gt;0")+1)</f>
        <v/>
      </c>
      <c r="S84" s="533">
        <f t="shared" si="11"/>
        <v>0</v>
      </c>
      <c r="T84" s="533">
        <f>VLOOKUP(C84,A!A$1:AH$669,31,FALSE)</f>
        <v>0</v>
      </c>
      <c r="U84" s="533">
        <v>0.16500000000000001</v>
      </c>
      <c r="V84" s="533"/>
      <c r="W84" s="533" t="str">
        <f t="shared" si="12"/>
        <v/>
      </c>
      <c r="X84" s="533">
        <f>IF(V84&lt;&gt;"",COUNTIF(V$46:V84,V84)-1,0)</f>
        <v>0</v>
      </c>
      <c r="Y84" s="533"/>
      <c r="Z84" s="533" t="str">
        <f t="shared" si="21"/>
        <v/>
      </c>
      <c r="AA84" s="533" t="str">
        <f>IFERROR(RANK(Z84,Z$47:Z$226,0)+COUNTIF(Z$47:Z84,Z84)-1,"")</f>
        <v/>
      </c>
      <c r="AB84" s="533">
        <f t="shared" si="18"/>
        <v>0</v>
      </c>
      <c r="AC84" s="533">
        <f t="shared" si="17"/>
        <v>0</v>
      </c>
      <c r="AD84" s="533"/>
      <c r="AE84" s="533"/>
      <c r="AF84" s="533"/>
      <c r="AG84" s="533"/>
      <c r="AH84" s="533"/>
      <c r="AI84" s="533"/>
      <c r="AJ84" s="533"/>
      <c r="AK84" s="533"/>
      <c r="AL84" s="533"/>
      <c r="AM84" s="533"/>
      <c r="AN84" s="533"/>
      <c r="AO84" s="533"/>
      <c r="AP84" s="1"/>
      <c r="AQ84" s="1"/>
      <c r="AR84" s="1"/>
      <c r="AS84" s="1"/>
      <c r="AT84" s="1"/>
      <c r="AU84" s="1"/>
    </row>
    <row r="85" spans="1:47" ht="11.25" hidden="1" customHeight="1" x14ac:dyDescent="0.25">
      <c r="A85" s="41"/>
      <c r="B85" s="104" t="s">
        <v>18</v>
      </c>
      <c r="C85" s="837" t="s">
        <v>113</v>
      </c>
      <c r="D85" s="727"/>
      <c r="E85" s="828"/>
      <c r="F85" s="686" t="s">
        <v>114</v>
      </c>
      <c r="G85" s="42" t="s">
        <v>115</v>
      </c>
      <c r="H85" s="27">
        <f>VLOOKUP(C85,A!A$1:H$669,8,FALSE)</f>
        <v>2</v>
      </c>
      <c r="I85" s="27"/>
      <c r="J85" s="28">
        <f>IF(VLOOKUP(C85,A!A$1:H$669,4,FALSE)="y",1,0)</f>
        <v>0</v>
      </c>
      <c r="K85" s="28">
        <f>IF(VLOOKUP(C85,A!A$1:H$669,5,FALSE)="y",1,0)</f>
        <v>0</v>
      </c>
      <c r="L85" s="544" t="str">
        <f t="shared" si="16"/>
        <v>Low</v>
      </c>
      <c r="M85" s="27">
        <f>VLOOKUP(C85,A!A$1:H$669,6,FALSE)</f>
        <v>0</v>
      </c>
      <c r="N85" s="44" t="s">
        <v>31</v>
      </c>
      <c r="O85" s="533">
        <f>VLOOKUP(C85,A!A$1:G$669,2,FALSE)</f>
        <v>0</v>
      </c>
      <c r="P85" s="533" t="s">
        <v>24</v>
      </c>
      <c r="Q85" s="533" t="str">
        <f>IF(S85=0,"",COUNTIF(Q$12:Q84,"&gt;0")+1)</f>
        <v/>
      </c>
      <c r="R85" s="533" t="str">
        <f>IF(S85=0,"",COUNTIF(R$12:R84,"&gt;0")+1)</f>
        <v/>
      </c>
      <c r="S85" s="533">
        <f t="shared" si="11"/>
        <v>0</v>
      </c>
      <c r="T85" s="533">
        <f>VLOOKUP(C85,A!A$1:AH$669,31,FALSE)</f>
        <v>0</v>
      </c>
      <c r="U85" s="533">
        <v>0.16500000000000001</v>
      </c>
      <c r="V85" s="533"/>
      <c r="W85" s="533" t="str">
        <f t="shared" si="12"/>
        <v/>
      </c>
      <c r="X85" s="533">
        <f>IF(V85&lt;&gt;"",COUNTIF(V$46:V85,V85)-1,0)</f>
        <v>0</v>
      </c>
      <c r="Y85" s="533"/>
      <c r="Z85" s="533" t="str">
        <f t="shared" si="21"/>
        <v/>
      </c>
      <c r="AA85" s="533" t="str">
        <f>IFERROR(RANK(Z85,Z$47:Z$226,0)+COUNTIF(Z$47:Z85,Z85)-1,"")</f>
        <v/>
      </c>
      <c r="AB85" s="533">
        <f t="shared" si="18"/>
        <v>0</v>
      </c>
      <c r="AC85" s="533">
        <f t="shared" si="17"/>
        <v>0</v>
      </c>
      <c r="AD85" s="533"/>
      <c r="AE85" s="533"/>
      <c r="AF85" s="533"/>
      <c r="AG85" s="533"/>
      <c r="AH85" s="533"/>
      <c r="AI85" s="533"/>
      <c r="AJ85" s="533"/>
      <c r="AK85" s="533"/>
      <c r="AL85" s="533"/>
      <c r="AM85" s="533"/>
      <c r="AN85" s="533"/>
      <c r="AO85" s="533"/>
      <c r="AP85" s="1"/>
      <c r="AQ85" s="1"/>
      <c r="AR85" s="1"/>
      <c r="AS85" s="1"/>
      <c r="AT85" s="1"/>
      <c r="AU85" s="1"/>
    </row>
    <row r="86" spans="1:47" ht="11.25" hidden="1" customHeight="1" x14ac:dyDescent="0.25">
      <c r="A86" s="41"/>
      <c r="B86" s="104" t="s">
        <v>18</v>
      </c>
      <c r="C86" s="695" t="s">
        <v>1081</v>
      </c>
      <c r="D86" s="727"/>
      <c r="E86" s="828"/>
      <c r="F86" s="686" t="s">
        <v>1024</v>
      </c>
      <c r="G86" s="42" t="s">
        <v>1025</v>
      </c>
      <c r="H86" s="27">
        <v>2</v>
      </c>
      <c r="I86" s="27"/>
      <c r="J86" s="28">
        <f>IF(VLOOKUP(C86,A!A$1:H$669,4,FALSE)="y",1,0)</f>
        <v>0</v>
      </c>
      <c r="K86" s="28">
        <f>IF(VLOOKUP(C86,A!A$1:H$669,5,FALSE)="y",1,0)</f>
        <v>0</v>
      </c>
      <c r="L86" s="544" t="str">
        <f t="shared" si="16"/>
        <v>Low</v>
      </c>
      <c r="M86" s="27"/>
      <c r="N86" s="44" t="s">
        <v>39</v>
      </c>
      <c r="O86" s="533">
        <f>VLOOKUP(C86,A!A$1:G$669,2,FALSE)</f>
        <v>0</v>
      </c>
      <c r="P86" s="533" t="s">
        <v>24</v>
      </c>
      <c r="Q86" s="533" t="str">
        <f>IF(S86=0,"",COUNTIF(Q$12:Q85,"&gt;0")+1)</f>
        <v/>
      </c>
      <c r="R86" s="533" t="str">
        <f>IF(S86=0,"",COUNTIF(R$12:R85,"&gt;0")+1)</f>
        <v/>
      </c>
      <c r="S86" s="533">
        <f t="shared" si="11"/>
        <v>0</v>
      </c>
      <c r="T86" s="533">
        <f>VLOOKUP(C86,A!A$1:AH$669,31,FALSE)</f>
        <v>0</v>
      </c>
      <c r="U86" s="533">
        <v>0.16500000000000001</v>
      </c>
      <c r="V86" s="533"/>
      <c r="W86" s="533" t="str">
        <f t="shared" si="12"/>
        <v/>
      </c>
      <c r="X86" s="533">
        <f>IF(V86&lt;&gt;"",COUNTIF(V$46:V86,V86)-1,0)</f>
        <v>0</v>
      </c>
      <c r="Y86" s="533"/>
      <c r="Z86" s="533" t="str">
        <f t="shared" si="21"/>
        <v/>
      </c>
      <c r="AA86" s="533" t="str">
        <f>IFERROR(RANK(Z86,Z$47:Z$226,0)+COUNTIF(Z$47:Z86,Z86)-1,"")</f>
        <v/>
      </c>
      <c r="AB86" s="533">
        <f t="shared" si="18"/>
        <v>0</v>
      </c>
      <c r="AC86" s="533">
        <f t="shared" si="17"/>
        <v>0</v>
      </c>
      <c r="AD86" s="533"/>
      <c r="AE86" s="533"/>
      <c r="AF86" s="533"/>
      <c r="AG86" s="533"/>
      <c r="AH86" s="533"/>
      <c r="AI86" s="533"/>
      <c r="AJ86" s="533"/>
      <c r="AK86" s="533"/>
      <c r="AL86" s="533"/>
      <c r="AM86" s="533"/>
      <c r="AN86" s="533"/>
      <c r="AO86" s="533"/>
      <c r="AP86" s="1"/>
      <c r="AQ86" s="1"/>
      <c r="AR86" s="1"/>
      <c r="AS86" s="1"/>
      <c r="AT86" s="1"/>
      <c r="AU86" s="1"/>
    </row>
    <row r="87" spans="1:47" ht="11.25" hidden="1" customHeight="1" x14ac:dyDescent="0.25">
      <c r="A87" s="41"/>
      <c r="B87" s="104" t="s">
        <v>18</v>
      </c>
      <c r="C87" s="837" t="s">
        <v>116</v>
      </c>
      <c r="D87" s="727"/>
      <c r="E87" s="828"/>
      <c r="F87" s="686" t="s">
        <v>117</v>
      </c>
      <c r="G87" s="42" t="s">
        <v>118</v>
      </c>
      <c r="H87" s="27">
        <f>VLOOKUP(C87,A!A$1:H$669,8,FALSE)</f>
        <v>2</v>
      </c>
      <c r="I87" s="27" t="s">
        <v>30</v>
      </c>
      <c r="J87" s="28">
        <f>IF(VLOOKUP(C87,A!A$1:H$669,4,FALSE)="y",1,0)</f>
        <v>0</v>
      </c>
      <c r="K87" s="28">
        <f>IF(VLOOKUP(C87,A!A$1:H$669,5,FALSE)="y",1,0)</f>
        <v>0</v>
      </c>
      <c r="L87" s="544" t="str">
        <f t="shared" si="16"/>
        <v>Low</v>
      </c>
      <c r="M87" s="27">
        <f>VLOOKUP(C87,A!A$1:H$669,6,FALSE)</f>
        <v>0</v>
      </c>
      <c r="N87" s="44" t="s">
        <v>31</v>
      </c>
      <c r="O87" s="533">
        <f>VLOOKUP(C87,A!A$1:G$669,2,FALSE)</f>
        <v>0</v>
      </c>
      <c r="P87" s="533" t="s">
        <v>24</v>
      </c>
      <c r="Q87" s="533" t="str">
        <f>IF(S87=0,"",COUNTIF(Q$12:Q86,"&gt;0")+1)</f>
        <v/>
      </c>
      <c r="R87" s="533" t="str">
        <f>IF(S87=0,"",COUNTIF(R$12:R86,"&gt;0")+1)</f>
        <v/>
      </c>
      <c r="S87" s="533">
        <f t="shared" si="11"/>
        <v>0</v>
      </c>
      <c r="T87" s="533">
        <f>VLOOKUP(C87,A!A$1:AH$669,31,FALSE)</f>
        <v>0</v>
      </c>
      <c r="U87" s="533">
        <v>0.16500000000000001</v>
      </c>
      <c r="V87" s="533"/>
      <c r="W87" s="533" t="str">
        <f t="shared" si="12"/>
        <v/>
      </c>
      <c r="X87" s="533">
        <f>IF(V87&lt;&gt;"",COUNTIF(V$46:V87,V87)-1,0)</f>
        <v>0</v>
      </c>
      <c r="Y87" s="533"/>
      <c r="Z87" s="533" t="str">
        <f t="shared" si="21"/>
        <v/>
      </c>
      <c r="AA87" s="533" t="str">
        <f>IFERROR(RANK(Z87,Z$47:Z$226,0)+COUNTIF(Z$47:Z87,Z87)-1,"")</f>
        <v/>
      </c>
      <c r="AB87" s="533">
        <f t="shared" si="18"/>
        <v>0</v>
      </c>
      <c r="AC87" s="533">
        <f t="shared" si="17"/>
        <v>0</v>
      </c>
      <c r="AD87" s="533"/>
      <c r="AE87" s="533"/>
      <c r="AF87" s="533"/>
      <c r="AG87" s="533"/>
      <c r="AH87" s="533"/>
      <c r="AI87" s="533"/>
      <c r="AJ87" s="533"/>
      <c r="AK87" s="533"/>
      <c r="AL87" s="533"/>
      <c r="AM87" s="533"/>
      <c r="AN87" s="533"/>
      <c r="AO87" s="533"/>
      <c r="AP87" s="1"/>
      <c r="AQ87" s="1"/>
      <c r="AR87" s="1"/>
      <c r="AS87" s="1"/>
      <c r="AT87" s="1"/>
      <c r="AU87" s="1"/>
    </row>
    <row r="88" spans="1:47" ht="13.5" hidden="1" customHeight="1" x14ac:dyDescent="0.25">
      <c r="A88" s="41"/>
      <c r="B88" s="104" t="s">
        <v>18</v>
      </c>
      <c r="C88" s="837" t="s">
        <v>119</v>
      </c>
      <c r="D88" s="728"/>
      <c r="E88" s="711"/>
      <c r="F88" s="686" t="s">
        <v>120</v>
      </c>
      <c r="G88" s="42" t="s">
        <v>121</v>
      </c>
      <c r="H88" s="27">
        <f>VLOOKUP(C88,A!A$1:H$669,8,FALSE)</f>
        <v>1</v>
      </c>
      <c r="I88" s="27"/>
      <c r="J88" s="28">
        <f>IF(VLOOKUP(C88,A!A$1:H$669,4,FALSE)="y",1,0)</f>
        <v>0</v>
      </c>
      <c r="K88" s="28">
        <f>IF(VLOOKUP(C88,A!A$1:H$669,5,FALSE)="y",1,0)</f>
        <v>0</v>
      </c>
      <c r="L88" s="544" t="str">
        <f t="shared" si="16"/>
        <v>Low</v>
      </c>
      <c r="M88" s="27">
        <f>VLOOKUP(C88,A!A$1:H$669,6,FALSE)</f>
        <v>0</v>
      </c>
      <c r="N88" s="44" t="s">
        <v>31</v>
      </c>
      <c r="O88" s="533">
        <f>VLOOKUP(C88,A!A$1:G$669,2,FALSE)</f>
        <v>0</v>
      </c>
      <c r="P88" s="533" t="s">
        <v>24</v>
      </c>
      <c r="Q88" s="533" t="str">
        <f>IF(S88=0,"",COUNTIF(Q$12:Q87,"&gt;0")+1)</f>
        <v/>
      </c>
      <c r="R88" s="533" t="str">
        <f>IF(S88=0,"",COUNTIF(R$12:R87,"&gt;0")+1)</f>
        <v/>
      </c>
      <c r="S88" s="533">
        <f t="shared" si="11"/>
        <v>0</v>
      </c>
      <c r="T88" s="533">
        <f>VLOOKUP(C88,A!A$1:AH$669,31,FALSE)</f>
        <v>0</v>
      </c>
      <c r="U88" s="533">
        <v>0.16500000000000001</v>
      </c>
      <c r="V88" s="533"/>
      <c r="W88" s="533" t="str">
        <f t="shared" si="12"/>
        <v/>
      </c>
      <c r="X88" s="533">
        <f>IF(V88&lt;&gt;"",COUNTIF(V$46:V88,V88)-1,0)</f>
        <v>0</v>
      </c>
      <c r="Y88" s="533">
        <f>A23</f>
        <v>0</v>
      </c>
      <c r="Z88" s="533" t="str">
        <f t="shared" si="21"/>
        <v/>
      </c>
      <c r="AA88" s="533" t="str">
        <f>IFERROR(RANK(Z88,Z$47:Z$226,0)+COUNTIF(Z$47:Z88,Z88)-1,"")</f>
        <v/>
      </c>
      <c r="AB88" s="533">
        <f t="shared" si="18"/>
        <v>0</v>
      </c>
      <c r="AC88" s="533">
        <f t="shared" si="17"/>
        <v>0</v>
      </c>
      <c r="AD88" s="533"/>
      <c r="AE88" s="533"/>
      <c r="AF88" s="533"/>
      <c r="AG88" s="533"/>
      <c r="AH88" s="533"/>
      <c r="AI88" s="533"/>
      <c r="AJ88" s="533"/>
      <c r="AK88" s="533"/>
      <c r="AL88" s="533"/>
      <c r="AM88" s="533"/>
      <c r="AN88" s="533"/>
      <c r="AO88" s="533"/>
      <c r="AP88" s="1"/>
      <c r="AQ88" s="1"/>
      <c r="AR88" s="1"/>
      <c r="AS88" s="1"/>
      <c r="AT88" s="1"/>
      <c r="AU88" s="1"/>
    </row>
    <row r="89" spans="1:47" ht="13.5" hidden="1" customHeight="1" x14ac:dyDescent="0.25">
      <c r="A89" s="41"/>
      <c r="B89" s="104" t="s">
        <v>18</v>
      </c>
      <c r="C89" s="837" t="s">
        <v>1787</v>
      </c>
      <c r="D89" s="728"/>
      <c r="E89" s="711"/>
      <c r="F89" s="686" t="s">
        <v>1785</v>
      </c>
      <c r="G89" s="42" t="s">
        <v>1786</v>
      </c>
      <c r="H89" s="27">
        <v>1</v>
      </c>
      <c r="I89" s="27"/>
      <c r="J89" s="28">
        <v>1</v>
      </c>
      <c r="K89" s="28">
        <v>1</v>
      </c>
      <c r="L89" s="544" t="s">
        <v>1251</v>
      </c>
      <c r="M89" s="27" t="s">
        <v>32</v>
      </c>
      <c r="N89" s="44" t="s">
        <v>31</v>
      </c>
      <c r="O89" s="533">
        <f>VLOOKUP(C89,A!A$1:G$669,2,FALSE)</f>
        <v>0</v>
      </c>
      <c r="P89" s="533" t="s">
        <v>24</v>
      </c>
      <c r="Q89" s="533" t="str">
        <f>IF(S89=0,"",COUNTIF(Q$12:Q88,"&gt;0")+1)</f>
        <v/>
      </c>
      <c r="R89" s="533" t="str">
        <f>IF(S89=0,"",COUNTIF(R$12:R88,"&gt;0")+1)</f>
        <v/>
      </c>
      <c r="S89" s="533">
        <f t="shared" si="11"/>
        <v>0</v>
      </c>
      <c r="T89" s="533">
        <f>VLOOKUP(C89,A!A$1:AH$669,31,FALSE)</f>
        <v>0</v>
      </c>
      <c r="U89" s="533">
        <v>0.16500000000000001</v>
      </c>
      <c r="V89" s="533"/>
      <c r="W89" s="533"/>
      <c r="X89" s="533">
        <f>IF(V89&lt;&gt;"",COUNTIF(V$46:V89,V89)-1,0)</f>
        <v>0</v>
      </c>
      <c r="Y89" s="533"/>
      <c r="Z89" s="533" t="str">
        <f t="shared" ref="Z89:Z90" si="22">IFERROR(IF(AND(O89="y",IF(AND(A89&lt;&gt;"",A89=0),0,1)),H89*-100-A89*1000-T89,""),"")</f>
        <v/>
      </c>
      <c r="AA89" s="533" t="str">
        <f>IFERROR(RANK(Z89,Z$47:Z$226,0)+COUNTIF(Z$47:Z89,Z89)-1,"")</f>
        <v/>
      </c>
      <c r="AB89" s="533">
        <f t="shared" ref="AB89:AB90" si="23">IF(AA89&lt;=AB$46,1,0)</f>
        <v>0</v>
      </c>
      <c r="AC89" s="533">
        <f t="shared" ref="AC89:AC90" si="24">IF(AA89&lt;=AC$46,1,0)</f>
        <v>0</v>
      </c>
      <c r="AD89" s="533"/>
      <c r="AE89" s="533"/>
      <c r="AF89" s="533"/>
      <c r="AG89" s="533"/>
      <c r="AH89" s="533"/>
      <c r="AI89" s="533"/>
      <c r="AJ89" s="533"/>
      <c r="AK89" s="533"/>
      <c r="AL89" s="533"/>
      <c r="AM89" s="533"/>
      <c r="AN89" s="533"/>
      <c r="AO89" s="533"/>
      <c r="AP89" s="1"/>
      <c r="AQ89" s="1"/>
      <c r="AR89" s="1"/>
      <c r="AS89" s="1"/>
      <c r="AT89" s="1"/>
      <c r="AU89" s="1"/>
    </row>
    <row r="90" spans="1:47" ht="11.25" hidden="1" customHeight="1" x14ac:dyDescent="0.25">
      <c r="A90" s="41"/>
      <c r="B90" s="104" t="s">
        <v>18</v>
      </c>
      <c r="C90" s="837" t="s">
        <v>122</v>
      </c>
      <c r="D90" s="727"/>
      <c r="E90" s="828"/>
      <c r="F90" s="686" t="s">
        <v>123</v>
      </c>
      <c r="G90" s="42" t="s">
        <v>124</v>
      </c>
      <c r="H90" s="27">
        <f>VLOOKUP(C90,A!A$1:H$669,8,FALSE)</f>
        <v>2</v>
      </c>
      <c r="I90" s="27"/>
      <c r="J90" s="28">
        <f>IF(VLOOKUP(C90,A!A$1:H$669,4,FALSE)="y",1,0)</f>
        <v>0</v>
      </c>
      <c r="K90" s="28">
        <f>IF(VLOOKUP(C90,A!A$1:H$669,5,FALSE)="y",1,0)</f>
        <v>0</v>
      </c>
      <c r="L90" s="544" t="str">
        <f t="shared" si="16"/>
        <v>Low</v>
      </c>
      <c r="M90" s="27">
        <f>VLOOKUP(C90,A!A$1:H$669,6,FALSE)</f>
        <v>0</v>
      </c>
      <c r="N90" s="44">
        <v>1</v>
      </c>
      <c r="O90" s="533">
        <f>VLOOKUP(C90,A!A$1:G$669,2,FALSE)</f>
        <v>0</v>
      </c>
      <c r="P90" s="533" t="s">
        <v>24</v>
      </c>
      <c r="Q90" s="533" t="str">
        <f>IF(S90=0,"",COUNTIF(Q$12:Q89,"&gt;0")+1)</f>
        <v/>
      </c>
      <c r="R90" s="533" t="str">
        <f>IF(S90=0,"",COUNTIF(R$12:R89,"&gt;0")+1)</f>
        <v/>
      </c>
      <c r="S90" s="533">
        <f t="shared" si="11"/>
        <v>0</v>
      </c>
      <c r="T90" s="533">
        <f>VLOOKUP(C90,A!A$1:AH$669,31,FALSE)</f>
        <v>0</v>
      </c>
      <c r="U90" s="533">
        <v>0.16500000000000001</v>
      </c>
      <c r="V90" s="533"/>
      <c r="W90" s="533" t="str">
        <f t="shared" si="12"/>
        <v/>
      </c>
      <c r="X90" s="533">
        <f>IF(V90&lt;&gt;"",COUNTIF(V$46:V90,V90)-1,0)</f>
        <v>0</v>
      </c>
      <c r="Y90" s="533"/>
      <c r="Z90" s="533" t="str">
        <f t="shared" si="22"/>
        <v/>
      </c>
      <c r="AA90" s="533" t="str">
        <f>IFERROR(RANK(Z90,Z$47:Z$226,0)+COUNTIF(Z$47:Z90,Z90)-1,"")</f>
        <v/>
      </c>
      <c r="AB90" s="533">
        <f t="shared" si="23"/>
        <v>0</v>
      </c>
      <c r="AC90" s="533">
        <f t="shared" si="24"/>
        <v>0</v>
      </c>
      <c r="AD90" s="533"/>
      <c r="AE90" s="533"/>
      <c r="AF90" s="533"/>
      <c r="AG90" s="533"/>
      <c r="AH90" s="533"/>
      <c r="AI90" s="533"/>
      <c r="AJ90" s="533"/>
      <c r="AK90" s="533"/>
      <c r="AL90" s="533"/>
      <c r="AM90" s="533"/>
      <c r="AN90" s="533"/>
      <c r="AO90" s="533"/>
      <c r="AP90" s="1"/>
      <c r="AQ90" s="1"/>
      <c r="AR90" s="1"/>
      <c r="AS90" s="1"/>
      <c r="AT90" s="1"/>
      <c r="AU90" s="1"/>
    </row>
    <row r="91" spans="1:47" ht="13.5" hidden="1" customHeight="1" x14ac:dyDescent="0.25">
      <c r="A91" s="41"/>
      <c r="B91" s="104" t="s">
        <v>18</v>
      </c>
      <c r="C91" s="837" t="s">
        <v>125</v>
      </c>
      <c r="D91" s="728"/>
      <c r="E91" s="711"/>
      <c r="F91" s="686" t="s">
        <v>126</v>
      </c>
      <c r="G91" s="42" t="s">
        <v>127</v>
      </c>
      <c r="H91" s="27">
        <f>VLOOKUP(C91,A!A$1:H$669,8,FALSE)</f>
        <v>1</v>
      </c>
      <c r="I91" s="27"/>
      <c r="J91" s="28">
        <f>IF(VLOOKUP(C91,A!A$1:H$669,4,FALSE)="y",1,0)</f>
        <v>1</v>
      </c>
      <c r="K91" s="28">
        <f>IF(VLOOKUP(C91,A!A$1:H$669,5,FALSE)="y",1,0)</f>
        <v>0</v>
      </c>
      <c r="L91" s="544" t="str">
        <f t="shared" si="16"/>
        <v>Low</v>
      </c>
      <c r="M91" s="27">
        <f>VLOOKUP(C91,A!A$1:H$669,6,FALSE)</f>
        <v>0</v>
      </c>
      <c r="N91" s="44" t="s">
        <v>22</v>
      </c>
      <c r="O91" s="533">
        <f>VLOOKUP(C91,A!A$1:G$669,2,FALSE)</f>
        <v>0</v>
      </c>
      <c r="P91" s="533" t="s">
        <v>24</v>
      </c>
      <c r="Q91" s="533" t="str">
        <f>IF(S91=0,"",COUNTIF(Q$12:Q90,"&gt;0")+1)</f>
        <v/>
      </c>
      <c r="R91" s="533" t="str">
        <f>IF(S91=0,"",COUNTIF(R$12:R90,"&gt;0")+1)</f>
        <v/>
      </c>
      <c r="S91" s="533">
        <f t="shared" ref="S91" si="25">A91+Y91+AB91+AC91</f>
        <v>0</v>
      </c>
      <c r="T91" s="533">
        <f>VLOOKUP(C91,A!A$1:AH$669,31,FALSE)</f>
        <v>30</v>
      </c>
      <c r="U91" s="533">
        <v>0.16500000000000001</v>
      </c>
      <c r="V91" s="533"/>
      <c r="W91" s="533" t="str">
        <f t="shared" si="12"/>
        <v/>
      </c>
      <c r="X91" s="533">
        <f>IF(V91&lt;&gt;"",COUNTIF(V$46:V91,V91)-1,0)</f>
        <v>0</v>
      </c>
      <c r="Y91" s="533"/>
      <c r="Z91" s="533" t="str">
        <f t="shared" si="21"/>
        <v/>
      </c>
      <c r="AA91" s="533" t="str">
        <f>IFERROR(RANK(Z91,Z$47:Z$226,0)+COUNTIF(Z$47:Z91,Z91)-1,"")</f>
        <v/>
      </c>
      <c r="AB91" s="533">
        <f t="shared" si="18"/>
        <v>0</v>
      </c>
      <c r="AC91" s="533">
        <f t="shared" si="17"/>
        <v>0</v>
      </c>
      <c r="AD91" s="533"/>
      <c r="AE91" s="533"/>
      <c r="AF91" s="533"/>
      <c r="AG91" s="533"/>
      <c r="AH91" s="533"/>
      <c r="AI91" s="533"/>
      <c r="AJ91" s="533"/>
      <c r="AK91" s="533"/>
      <c r="AL91" s="533"/>
      <c r="AM91" s="533"/>
      <c r="AN91" s="533"/>
      <c r="AO91" s="533"/>
      <c r="AP91" s="1"/>
      <c r="AQ91" s="1"/>
      <c r="AR91" s="1"/>
      <c r="AS91" s="1"/>
      <c r="AT91" s="1"/>
      <c r="AU91" s="1"/>
    </row>
    <row r="92" spans="1:47" ht="11.25" hidden="1" customHeight="1" x14ac:dyDescent="0.25">
      <c r="A92" s="41"/>
      <c r="B92" s="104" t="s">
        <v>18</v>
      </c>
      <c r="C92" s="837" t="s">
        <v>128</v>
      </c>
      <c r="D92" s="729"/>
      <c r="E92" s="717"/>
      <c r="F92" s="686" t="s">
        <v>129</v>
      </c>
      <c r="G92" s="42" t="s">
        <v>130</v>
      </c>
      <c r="H92" s="27">
        <f>VLOOKUP(C92,A!A$1:H$669,8,FALSE)</f>
        <v>2</v>
      </c>
      <c r="I92" s="27"/>
      <c r="J92" s="28">
        <f>IF(VLOOKUP(C92,A!A$1:H$669,4,FALSE)="y",1,0)</f>
        <v>0</v>
      </c>
      <c r="K92" s="28">
        <f>IF(VLOOKUP(C92,A!A$1:H$669,5,FALSE)="y",1,0)</f>
        <v>0</v>
      </c>
      <c r="L92" s="544" t="str">
        <f t="shared" si="16"/>
        <v>Low</v>
      </c>
      <c r="M92" s="27">
        <f>VLOOKUP(C92,A!A$1:H$669,6,FALSE)</f>
        <v>0</v>
      </c>
      <c r="N92" s="44" t="s">
        <v>22</v>
      </c>
      <c r="O92" s="533">
        <f>VLOOKUP(C92,A!A$1:G$669,2,FALSE)</f>
        <v>0</v>
      </c>
      <c r="P92" s="533" t="s">
        <v>24</v>
      </c>
      <c r="Q92" s="533" t="str">
        <f>IF(S92=0,"",COUNTIF(Q$12:Q91,"&gt;0")+1)</f>
        <v/>
      </c>
      <c r="R92" s="533" t="str">
        <f>IF(S92=0,"",COUNTIF(R$12:R91,"&gt;0")+1)</f>
        <v/>
      </c>
      <c r="S92" s="533">
        <f t="shared" si="11"/>
        <v>0</v>
      </c>
      <c r="T92" s="533">
        <f>VLOOKUP(C92,A!A$1:AH$669,31,FALSE)</f>
        <v>0</v>
      </c>
      <c r="U92" s="533">
        <v>0.16500000000000001</v>
      </c>
      <c r="V92" s="533"/>
      <c r="W92" s="533" t="str">
        <f t="shared" si="12"/>
        <v/>
      </c>
      <c r="X92" s="533">
        <f>IF(V92&lt;&gt;"",COUNTIF(V$46:V92,V92)-1,0)</f>
        <v>0</v>
      </c>
      <c r="Y92" s="533"/>
      <c r="Z92" s="533" t="str">
        <f t="shared" si="21"/>
        <v/>
      </c>
      <c r="AA92" s="533" t="str">
        <f>IFERROR(RANK(Z92,Z$47:Z$226,0)+COUNTIF(Z$47:Z92,Z92)-1,"")</f>
        <v/>
      </c>
      <c r="AB92" s="533">
        <f t="shared" si="18"/>
        <v>0</v>
      </c>
      <c r="AC92" s="533">
        <f t="shared" si="17"/>
        <v>0</v>
      </c>
      <c r="AD92" s="533"/>
      <c r="AE92" s="533"/>
      <c r="AF92" s="533"/>
      <c r="AG92" s="533"/>
      <c r="AH92" s="533"/>
      <c r="AI92" s="533"/>
      <c r="AJ92" s="533"/>
      <c r="AK92" s="533"/>
      <c r="AL92" s="533"/>
      <c r="AM92" s="533"/>
      <c r="AN92" s="533"/>
      <c r="AO92" s="533"/>
      <c r="AP92" s="1"/>
      <c r="AQ92" s="1"/>
      <c r="AR92" s="1"/>
      <c r="AS92" s="1"/>
      <c r="AT92" s="1"/>
      <c r="AU92" s="1"/>
    </row>
    <row r="93" spans="1:47" ht="13.5" hidden="1" customHeight="1" x14ac:dyDescent="0.25">
      <c r="A93" s="41"/>
      <c r="B93" s="104" t="s">
        <v>18</v>
      </c>
      <c r="C93" s="837" t="s">
        <v>131</v>
      </c>
      <c r="D93" s="729"/>
      <c r="E93" s="717"/>
      <c r="F93" s="686" t="s">
        <v>132</v>
      </c>
      <c r="G93" s="42" t="s">
        <v>133</v>
      </c>
      <c r="H93" s="27">
        <f>VLOOKUP(C93,A!A$1:H$669,8,FALSE)</f>
        <v>2</v>
      </c>
      <c r="I93" s="27"/>
      <c r="J93" s="28">
        <f>IF(VLOOKUP(C93,A!A$1:H$669,4,FALSE)="y",1,0)</f>
        <v>0</v>
      </c>
      <c r="K93" s="28">
        <f>IF(VLOOKUP(C93,A!A$1:H$669,5,FALSE)="y",1,0)</f>
        <v>0</v>
      </c>
      <c r="L93" s="544" t="str">
        <f t="shared" si="16"/>
        <v>Low</v>
      </c>
      <c r="M93" s="27">
        <f>VLOOKUP(C93,A!A$1:H$669,6,FALSE)</f>
        <v>0</v>
      </c>
      <c r="N93" s="44" t="s">
        <v>39</v>
      </c>
      <c r="O93" s="533">
        <f>VLOOKUP(C93,A!A$1:G$669,2,FALSE)</f>
        <v>0</v>
      </c>
      <c r="P93" s="533" t="s">
        <v>24</v>
      </c>
      <c r="Q93" s="533" t="str">
        <f>IF(S93=0,"",COUNTIF(Q$12:Q92,"&gt;0")+1)</f>
        <v/>
      </c>
      <c r="R93" s="533" t="str">
        <f>IF(S93=0,"",COUNTIF(R$12:R92,"&gt;0")+1)</f>
        <v/>
      </c>
      <c r="S93" s="533">
        <f t="shared" si="11"/>
        <v>0</v>
      </c>
      <c r="T93" s="533">
        <f>VLOOKUP(C93,A!A$1:AH$669,31,FALSE)</f>
        <v>30</v>
      </c>
      <c r="U93" s="533">
        <v>0.16500000000000001</v>
      </c>
      <c r="V93" s="533"/>
      <c r="W93" s="533" t="str">
        <f t="shared" si="12"/>
        <v/>
      </c>
      <c r="X93" s="533">
        <f>IF(V93&lt;&gt;"",COUNTIF(V$46:V93,V93)-1,0)</f>
        <v>0</v>
      </c>
      <c r="Y93" s="533"/>
      <c r="Z93" s="533" t="str">
        <f t="shared" si="21"/>
        <v/>
      </c>
      <c r="AA93" s="533" t="str">
        <f>IFERROR(RANK(Z93,Z$47:Z$226,0)+COUNTIF(Z$47:Z93,Z93)-1,"")</f>
        <v/>
      </c>
      <c r="AB93" s="533">
        <f t="shared" si="18"/>
        <v>0</v>
      </c>
      <c r="AC93" s="533">
        <f t="shared" si="17"/>
        <v>0</v>
      </c>
      <c r="AD93" s="533"/>
      <c r="AE93" s="533"/>
      <c r="AF93" s="533"/>
      <c r="AG93" s="533"/>
      <c r="AH93" s="533"/>
      <c r="AI93" s="533"/>
      <c r="AJ93" s="533"/>
      <c r="AK93" s="533"/>
      <c r="AL93" s="533"/>
      <c r="AM93" s="533"/>
      <c r="AN93" s="533"/>
      <c r="AO93" s="533"/>
      <c r="AP93" s="1"/>
      <c r="AQ93" s="1"/>
      <c r="AR93" s="1"/>
      <c r="AS93" s="1"/>
      <c r="AT93" s="1"/>
      <c r="AU93" s="1"/>
    </row>
    <row r="94" spans="1:47" ht="11.25" hidden="1" customHeight="1" x14ac:dyDescent="0.25">
      <c r="A94" s="41"/>
      <c r="B94" s="104" t="s">
        <v>18</v>
      </c>
      <c r="C94" s="837" t="s">
        <v>134</v>
      </c>
      <c r="D94" s="729"/>
      <c r="E94" s="717"/>
      <c r="F94" s="686" t="s">
        <v>135</v>
      </c>
      <c r="G94" s="42" t="s">
        <v>136</v>
      </c>
      <c r="H94" s="27">
        <f>VLOOKUP(C94,A!A$1:H$669,8,FALSE)</f>
        <v>3</v>
      </c>
      <c r="I94" s="27"/>
      <c r="J94" s="28">
        <f>IF(VLOOKUP(C94,A!A$1:H$669,4,FALSE)="y",1,0)</f>
        <v>0</v>
      </c>
      <c r="K94" s="28">
        <f>IF(VLOOKUP(C94,A!A$1:H$669,5,FALSE)="y",1,0)</f>
        <v>0</v>
      </c>
      <c r="L94" s="544" t="str">
        <f t="shared" si="16"/>
        <v>Low</v>
      </c>
      <c r="M94" s="27">
        <f>VLOOKUP(C94,A!A$1:H$669,6,FALSE)</f>
        <v>0</v>
      </c>
      <c r="N94" s="44" t="s">
        <v>39</v>
      </c>
      <c r="O94" s="533">
        <f>VLOOKUP(C94,A!A$1:G$669,2,FALSE)</f>
        <v>0</v>
      </c>
      <c r="P94" s="533" t="s">
        <v>24</v>
      </c>
      <c r="Q94" s="533" t="str">
        <f>IF(S94=0,"",COUNTIF(Q$12:Q93,"&gt;0")+1)</f>
        <v/>
      </c>
      <c r="R94" s="533" t="str">
        <f>IF(S94=0,"",COUNTIF(R$12:R93,"&gt;0")+1)</f>
        <v/>
      </c>
      <c r="S94" s="533">
        <f t="shared" si="11"/>
        <v>0</v>
      </c>
      <c r="T94" s="533">
        <f>VLOOKUP(C94,A!A$1:AH$669,31,FALSE)</f>
        <v>0</v>
      </c>
      <c r="U94" s="533">
        <v>0.16500000000000001</v>
      </c>
      <c r="V94" s="533"/>
      <c r="W94" s="533" t="str">
        <f t="shared" si="12"/>
        <v/>
      </c>
      <c r="X94" s="533">
        <f>IF(V94&lt;&gt;"",COUNTIF(V$46:V94,V94)-1,0)</f>
        <v>0</v>
      </c>
      <c r="Y94" s="533"/>
      <c r="Z94" s="533" t="str">
        <f t="shared" si="21"/>
        <v/>
      </c>
      <c r="AA94" s="533" t="str">
        <f>IFERROR(RANK(Z94,Z$47:Z$226,0)+COUNTIF(Z$47:Z94,Z94)-1,"")</f>
        <v/>
      </c>
      <c r="AB94" s="533">
        <f t="shared" si="18"/>
        <v>0</v>
      </c>
      <c r="AC94" s="533">
        <f t="shared" si="17"/>
        <v>0</v>
      </c>
      <c r="AD94" s="533"/>
      <c r="AE94" s="533"/>
      <c r="AF94" s="533"/>
      <c r="AG94" s="533"/>
      <c r="AH94" s="533"/>
      <c r="AI94" s="533"/>
      <c r="AJ94" s="533"/>
      <c r="AK94" s="533"/>
      <c r="AL94" s="533"/>
      <c r="AM94" s="533"/>
      <c r="AN94" s="533"/>
      <c r="AO94" s="533"/>
      <c r="AP94" s="1"/>
      <c r="AQ94" s="1"/>
      <c r="AR94" s="1"/>
      <c r="AS94" s="1"/>
      <c r="AT94" s="1"/>
      <c r="AU94" s="1"/>
    </row>
    <row r="95" spans="1:47" ht="13.5" hidden="1" customHeight="1" x14ac:dyDescent="0.25">
      <c r="A95" s="41"/>
      <c r="B95" s="104" t="s">
        <v>18</v>
      </c>
      <c r="C95" s="837" t="s">
        <v>137</v>
      </c>
      <c r="D95" s="729"/>
      <c r="E95" s="717"/>
      <c r="F95" s="686" t="s">
        <v>138</v>
      </c>
      <c r="G95" s="42" t="s">
        <v>139</v>
      </c>
      <c r="H95" s="27">
        <f>VLOOKUP(C95,A!A$1:H$669,8,FALSE)</f>
        <v>2</v>
      </c>
      <c r="I95" s="27"/>
      <c r="J95" s="28">
        <f>IF(VLOOKUP(C95,A!A$1:H$669,4,FALSE)="y",1,0)</f>
        <v>0</v>
      </c>
      <c r="K95" s="28">
        <f>IF(VLOOKUP(C95,A!A$1:H$669,5,FALSE)="y",1,0)</f>
        <v>0</v>
      </c>
      <c r="L95" s="544" t="str">
        <f t="shared" si="16"/>
        <v>Low</v>
      </c>
      <c r="M95" s="27">
        <f>VLOOKUP(C95,A!A$1:H$669,6,FALSE)</f>
        <v>0</v>
      </c>
      <c r="N95" s="44">
        <v>1</v>
      </c>
      <c r="O95" s="533">
        <f>VLOOKUP(C95,A!A$1:G$669,2,FALSE)</f>
        <v>0</v>
      </c>
      <c r="P95" s="533" t="s">
        <v>24</v>
      </c>
      <c r="Q95" s="533" t="str">
        <f>IF(S95=0,"",COUNTIF(Q$12:Q94,"&gt;0")+1)</f>
        <v/>
      </c>
      <c r="R95" s="533" t="str">
        <f>IF(S95=0,"",COUNTIF(R$12:R94,"&gt;0")+1)</f>
        <v/>
      </c>
      <c r="S95" s="533">
        <f t="shared" si="11"/>
        <v>0</v>
      </c>
      <c r="T95" s="533">
        <f>VLOOKUP(C95,A!A$1:AH$669,31,FALSE)</f>
        <v>0</v>
      </c>
      <c r="U95" s="533">
        <v>0.16500000000000001</v>
      </c>
      <c r="V95" s="533"/>
      <c r="W95" s="533" t="str">
        <f t="shared" si="12"/>
        <v/>
      </c>
      <c r="X95" s="533">
        <f>IF(V95&lt;&gt;"",COUNTIF(V$46:V95,V95)-1,0)</f>
        <v>0</v>
      </c>
      <c r="Y95" s="533"/>
      <c r="Z95" s="533" t="str">
        <f t="shared" si="21"/>
        <v/>
      </c>
      <c r="AA95" s="533" t="str">
        <f>IFERROR(RANK(Z95,Z$47:Z$226,0)+COUNTIF(Z$47:Z95,Z95)-1,"")</f>
        <v/>
      </c>
      <c r="AB95" s="533">
        <f t="shared" si="18"/>
        <v>0</v>
      </c>
      <c r="AC95" s="533">
        <f t="shared" si="17"/>
        <v>0</v>
      </c>
      <c r="AD95" s="533"/>
      <c r="AE95" s="533"/>
      <c r="AF95" s="533"/>
      <c r="AG95" s="533"/>
      <c r="AH95" s="533"/>
      <c r="AI95" s="533"/>
      <c r="AJ95" s="533"/>
      <c r="AK95" s="533"/>
      <c r="AL95" s="533"/>
      <c r="AM95" s="533"/>
      <c r="AN95" s="533"/>
      <c r="AO95" s="533"/>
      <c r="AP95" s="1"/>
      <c r="AQ95" s="1"/>
      <c r="AR95" s="1"/>
      <c r="AS95" s="1"/>
      <c r="AT95" s="1"/>
      <c r="AU95" s="1"/>
    </row>
    <row r="96" spans="1:47" ht="13.5" hidden="1" customHeight="1" x14ac:dyDescent="0.25">
      <c r="A96" s="41"/>
      <c r="B96" s="104" t="s">
        <v>18</v>
      </c>
      <c r="C96" s="837" t="s">
        <v>140</v>
      </c>
      <c r="D96" s="728"/>
      <c r="E96" s="711"/>
      <c r="F96" s="686" t="s">
        <v>141</v>
      </c>
      <c r="G96" s="42" t="s">
        <v>142</v>
      </c>
      <c r="H96" s="27">
        <f>VLOOKUP(C96,A!A$1:H$669,8,FALSE)</f>
        <v>2</v>
      </c>
      <c r="I96" s="27"/>
      <c r="J96" s="28">
        <f>IF(VLOOKUP(C96,A!A$1:H$669,4,FALSE)="y",1,0)</f>
        <v>0</v>
      </c>
      <c r="K96" s="28">
        <f>IF(VLOOKUP(C96,A!A$1:H$669,5,FALSE)="y",1,0)</f>
        <v>0</v>
      </c>
      <c r="L96" s="544" t="str">
        <f t="shared" si="16"/>
        <v>Low</v>
      </c>
      <c r="M96" s="27">
        <f>VLOOKUP(C96,A!A$1:H$669,6,FALSE)</f>
        <v>0</v>
      </c>
      <c r="N96" s="44">
        <v>1</v>
      </c>
      <c r="O96" s="533">
        <f>VLOOKUP(C96,A!A$1:G$669,2,FALSE)</f>
        <v>0</v>
      </c>
      <c r="P96" s="533" t="s">
        <v>24</v>
      </c>
      <c r="Q96" s="533" t="str">
        <f>IF(S96=0,"",COUNTIF(Q$12:Q95,"&gt;0")+1)</f>
        <v/>
      </c>
      <c r="R96" s="533" t="str">
        <f>IF(S96=0,"",COUNTIF(R$12:R95,"&gt;0")+1)</f>
        <v/>
      </c>
      <c r="S96" s="533">
        <f t="shared" si="11"/>
        <v>0</v>
      </c>
      <c r="T96" s="533">
        <f>VLOOKUP(C96,A!A$1:AH$669,31,FALSE)</f>
        <v>0</v>
      </c>
      <c r="U96" s="533">
        <v>0.16500000000000001</v>
      </c>
      <c r="V96" s="533"/>
      <c r="W96" s="533" t="str">
        <f t="shared" si="12"/>
        <v/>
      </c>
      <c r="X96" s="533">
        <f>IF(V96&lt;&gt;"",COUNTIF(V$46:V96,V96)-1,0)</f>
        <v>0</v>
      </c>
      <c r="Y96" s="533"/>
      <c r="Z96" s="533" t="str">
        <f t="shared" si="21"/>
        <v/>
      </c>
      <c r="AA96" s="533" t="str">
        <f>IFERROR(RANK(Z96,Z$47:Z$226,0)+COUNTIF(Z$47:Z96,Z96)-1,"")</f>
        <v/>
      </c>
      <c r="AB96" s="533">
        <f t="shared" si="18"/>
        <v>0</v>
      </c>
      <c r="AC96" s="533">
        <f t="shared" si="17"/>
        <v>0</v>
      </c>
      <c r="AD96" s="533"/>
      <c r="AE96" s="533"/>
      <c r="AF96" s="533"/>
      <c r="AG96" s="533"/>
      <c r="AH96" s="533"/>
      <c r="AI96" s="533"/>
      <c r="AJ96" s="533"/>
      <c r="AK96" s="533"/>
      <c r="AL96" s="533"/>
      <c r="AM96" s="533"/>
      <c r="AN96" s="533"/>
      <c r="AO96" s="533"/>
      <c r="AP96" s="1"/>
      <c r="AQ96" s="1"/>
      <c r="AR96" s="1"/>
      <c r="AS96" s="1"/>
      <c r="AT96" s="1"/>
      <c r="AU96" s="1"/>
    </row>
    <row r="97" spans="1:47" ht="11.25" hidden="1" customHeight="1" x14ac:dyDescent="0.25">
      <c r="A97" s="41"/>
      <c r="B97" s="104" t="s">
        <v>18</v>
      </c>
      <c r="C97" s="837" t="s">
        <v>143</v>
      </c>
      <c r="D97" s="729"/>
      <c r="E97" s="717"/>
      <c r="F97" s="686" t="s">
        <v>144</v>
      </c>
      <c r="G97" s="42" t="s">
        <v>145</v>
      </c>
      <c r="H97" s="27">
        <f>VLOOKUP(C97,A!A$1:H$669,8,FALSE)</f>
        <v>1</v>
      </c>
      <c r="I97" s="27" t="s">
        <v>30</v>
      </c>
      <c r="J97" s="28">
        <f>IF(VLOOKUP(C97,A!A$1:H$669,4,FALSE)="y",1,0)</f>
        <v>0</v>
      </c>
      <c r="K97" s="28">
        <f>IF(VLOOKUP(C97,A!A$1:H$669,5,FALSE)="y",1,0)</f>
        <v>0</v>
      </c>
      <c r="L97" s="544" t="str">
        <f t="shared" si="16"/>
        <v>Low</v>
      </c>
      <c r="M97" s="27">
        <f>VLOOKUP(C97,A!A$1:H$669,6,FALSE)</f>
        <v>0</v>
      </c>
      <c r="N97" s="44">
        <v>1</v>
      </c>
      <c r="O97" s="533">
        <f>VLOOKUP(C97,A!A$1:G$669,2,FALSE)</f>
        <v>0</v>
      </c>
      <c r="P97" s="533" t="s">
        <v>24</v>
      </c>
      <c r="Q97" s="533" t="str">
        <f>IF(S97=0,"",COUNTIF(Q$12:Q96,"&gt;0")+1)</f>
        <v/>
      </c>
      <c r="R97" s="533" t="str">
        <f>IF(S97=0,"",COUNTIF(R$12:R96,"&gt;0")+1)</f>
        <v/>
      </c>
      <c r="S97" s="533">
        <f t="shared" si="11"/>
        <v>0</v>
      </c>
      <c r="T97" s="533">
        <f>VLOOKUP(C97,A!A$1:AH$669,31,FALSE)</f>
        <v>0</v>
      </c>
      <c r="U97" s="533">
        <v>0.16500000000000001</v>
      </c>
      <c r="V97" s="533"/>
      <c r="W97" s="533" t="str">
        <f t="shared" si="12"/>
        <v/>
      </c>
      <c r="X97" s="533">
        <f>IF(V97&lt;&gt;"",COUNTIF(V$46:V97,V97)-1,0)</f>
        <v>0</v>
      </c>
      <c r="Y97" s="533"/>
      <c r="Z97" s="533" t="str">
        <f t="shared" si="21"/>
        <v/>
      </c>
      <c r="AA97" s="533" t="str">
        <f>IFERROR(RANK(Z97,Z$47:Z$226,0)+COUNTIF(Z$47:Z97,Z97)-1,"")</f>
        <v/>
      </c>
      <c r="AB97" s="533">
        <f t="shared" si="18"/>
        <v>0</v>
      </c>
      <c r="AC97" s="533">
        <f t="shared" si="17"/>
        <v>0</v>
      </c>
      <c r="AD97" s="533"/>
      <c r="AE97" s="533"/>
      <c r="AF97" s="533"/>
      <c r="AG97" s="533"/>
      <c r="AH97" s="533"/>
      <c r="AI97" s="533"/>
      <c r="AJ97" s="533"/>
      <c r="AK97" s="533"/>
      <c r="AL97" s="533"/>
      <c r="AM97" s="533"/>
      <c r="AN97" s="533"/>
      <c r="AO97" s="533"/>
      <c r="AP97" s="1"/>
      <c r="AQ97" s="1"/>
      <c r="AR97" s="1"/>
      <c r="AS97" s="1"/>
      <c r="AT97" s="1"/>
      <c r="AU97" s="1"/>
    </row>
    <row r="98" spans="1:47" ht="13.5" hidden="1" customHeight="1" x14ac:dyDescent="0.25">
      <c r="A98" s="41"/>
      <c r="B98" s="104" t="s">
        <v>18</v>
      </c>
      <c r="C98" s="837" t="s">
        <v>146</v>
      </c>
      <c r="D98" s="728"/>
      <c r="E98" s="711"/>
      <c r="F98" s="686" t="s">
        <v>147</v>
      </c>
      <c r="G98" s="42" t="s">
        <v>148</v>
      </c>
      <c r="H98" s="27">
        <f>VLOOKUP(C98,A!A$1:H$669,8,FALSE)</f>
        <v>2</v>
      </c>
      <c r="I98" s="27"/>
      <c r="J98" s="28">
        <f>IF(VLOOKUP(C98,A!A$1:H$669,4,FALSE)="y",1,0)</f>
        <v>0</v>
      </c>
      <c r="K98" s="28">
        <f>IF(VLOOKUP(C98,A!A$1:H$669,5,FALSE)="y",1,0)</f>
        <v>0</v>
      </c>
      <c r="L98" s="544" t="str">
        <f t="shared" si="16"/>
        <v>Low</v>
      </c>
      <c r="M98" s="27">
        <f>VLOOKUP(C98,A!A$1:H$669,6,FALSE)</f>
        <v>0</v>
      </c>
      <c r="N98" s="44">
        <v>1</v>
      </c>
      <c r="O98" s="533">
        <f>VLOOKUP(C98,A!A$1:G$669,2,FALSE)</f>
        <v>0</v>
      </c>
      <c r="P98" s="533" t="s">
        <v>24</v>
      </c>
      <c r="Q98" s="533" t="str">
        <f>IF(S98=0,"",COUNTIF(Q$12:Q97,"&gt;0")+1)</f>
        <v/>
      </c>
      <c r="R98" s="533" t="str">
        <f>IF(S98=0,"",COUNTIF(R$12:R97,"&gt;0")+1)</f>
        <v/>
      </c>
      <c r="S98" s="533">
        <f t="shared" si="11"/>
        <v>0</v>
      </c>
      <c r="T98" s="533">
        <f>VLOOKUP(C98,A!A$1:AH$669,31,FALSE)</f>
        <v>30</v>
      </c>
      <c r="U98" s="533">
        <v>0.16500000000000001</v>
      </c>
      <c r="V98" s="533"/>
      <c r="W98" s="533" t="str">
        <f t="shared" si="12"/>
        <v/>
      </c>
      <c r="X98" s="533">
        <f>IF(V98&lt;&gt;"",COUNTIF(V$46:V98,V98)-1,0)</f>
        <v>0</v>
      </c>
      <c r="Y98" s="533"/>
      <c r="Z98" s="533" t="str">
        <f t="shared" si="21"/>
        <v/>
      </c>
      <c r="AA98" s="533" t="str">
        <f>IFERROR(RANK(Z98,Z$47:Z$226,0)+COUNTIF(Z$47:Z98,Z98)-1,"")</f>
        <v/>
      </c>
      <c r="AB98" s="533">
        <f t="shared" si="18"/>
        <v>0</v>
      </c>
      <c r="AC98" s="533">
        <f t="shared" si="17"/>
        <v>0</v>
      </c>
      <c r="AD98" s="533"/>
      <c r="AE98" s="533"/>
      <c r="AF98" s="533"/>
      <c r="AG98" s="533"/>
      <c r="AH98" s="533"/>
      <c r="AI98" s="533"/>
      <c r="AJ98" s="533"/>
      <c r="AK98" s="533"/>
      <c r="AL98" s="533"/>
      <c r="AM98" s="533"/>
      <c r="AN98" s="533"/>
      <c r="AO98" s="533"/>
      <c r="AP98" s="1"/>
      <c r="AQ98" s="1"/>
      <c r="AR98" s="1"/>
      <c r="AS98" s="1"/>
      <c r="AT98" s="1"/>
      <c r="AU98" s="1"/>
    </row>
    <row r="99" spans="1:47" ht="13.5" customHeight="1" x14ac:dyDescent="0.25">
      <c r="A99" s="41"/>
      <c r="B99" s="104" t="s">
        <v>18</v>
      </c>
      <c r="C99" s="837" t="s">
        <v>149</v>
      </c>
      <c r="D99" s="728"/>
      <c r="E99" s="711"/>
      <c r="F99" s="686" t="s">
        <v>150</v>
      </c>
      <c r="G99" s="42" t="s">
        <v>151</v>
      </c>
      <c r="H99" s="27">
        <f>VLOOKUP(C99,A!A$1:H$669,8,FALSE)</f>
        <v>3</v>
      </c>
      <c r="I99" s="27"/>
      <c r="J99" s="28">
        <f>IF(VLOOKUP(C99,A!A$1:H$669,4,FALSE)="y",1,0)</f>
        <v>1</v>
      </c>
      <c r="K99" s="28">
        <f>IF(VLOOKUP(C99,A!A$1:H$669,5,FALSE)="y",1,0)</f>
        <v>0</v>
      </c>
      <c r="L99" s="544" t="str">
        <f t="shared" si="16"/>
        <v>Low</v>
      </c>
      <c r="M99" s="27"/>
      <c r="N99" s="44">
        <v>2</v>
      </c>
      <c r="O99" s="533" t="str">
        <f>VLOOKUP(C99,A!A$1:G$669,2,FALSE)</f>
        <v>y</v>
      </c>
      <c r="P99" s="533" t="s">
        <v>24</v>
      </c>
      <c r="Q99" s="533" t="str">
        <f>IF(S99=0,"",COUNTIF(Q$12:Q98,"&gt;0")+1)</f>
        <v/>
      </c>
      <c r="R99" s="533" t="str">
        <f>IF(S99=0,"",COUNTIF(R$12:R98,"&gt;0")+1)</f>
        <v/>
      </c>
      <c r="S99" s="533">
        <f t="shared" si="11"/>
        <v>0</v>
      </c>
      <c r="T99" s="533">
        <f>VLOOKUP(C99,A!A$1:AH$669,31,FALSE)</f>
        <v>30</v>
      </c>
      <c r="U99" s="533">
        <v>0.16500000000000001</v>
      </c>
      <c r="V99" s="533">
        <v>70</v>
      </c>
      <c r="W99" s="533" t="str">
        <f t="shared" si="12"/>
        <v/>
      </c>
      <c r="X99" s="533">
        <f>IF(V99&lt;&gt;"",COUNTIF(V$46:V99,V99)-1,0)</f>
        <v>0</v>
      </c>
      <c r="Y99" s="533"/>
      <c r="Z99" s="533">
        <f t="shared" si="21"/>
        <v>-330</v>
      </c>
      <c r="AA99" s="533">
        <f>IFERROR(RANK(Z99,Z$47:Z$226,0)+COUNTIF(Z$47:Z99,Z99)-1,"")</f>
        <v>40</v>
      </c>
      <c r="AB99" s="533">
        <f t="shared" si="18"/>
        <v>0</v>
      </c>
      <c r="AC99" s="533">
        <f t="shared" si="17"/>
        <v>0</v>
      </c>
      <c r="AD99" s="533"/>
      <c r="AE99" s="533"/>
      <c r="AF99" s="533"/>
      <c r="AG99" s="533"/>
      <c r="AH99" s="533"/>
      <c r="AI99" s="533"/>
      <c r="AJ99" s="533"/>
      <c r="AK99" s="533"/>
      <c r="AL99" s="533"/>
      <c r="AM99" s="533"/>
      <c r="AN99" s="533"/>
      <c r="AO99" s="533"/>
      <c r="AP99" s="1"/>
      <c r="AQ99" s="1"/>
      <c r="AR99" s="1"/>
      <c r="AS99" s="1"/>
      <c r="AT99" s="1"/>
      <c r="AU99" s="1"/>
    </row>
    <row r="100" spans="1:47" ht="13.5" hidden="1" customHeight="1" x14ac:dyDescent="0.25">
      <c r="A100" s="41"/>
      <c r="B100" s="104" t="s">
        <v>18</v>
      </c>
      <c r="C100" s="837" t="s">
        <v>152</v>
      </c>
      <c r="D100" s="728"/>
      <c r="E100" s="711"/>
      <c r="F100" s="686" t="s">
        <v>153</v>
      </c>
      <c r="G100" s="42" t="s">
        <v>154</v>
      </c>
      <c r="H100" s="27">
        <f>VLOOKUP(C100,A!A$1:H$669,8,FALSE)</f>
        <v>2</v>
      </c>
      <c r="I100" s="27"/>
      <c r="J100" s="28">
        <f>IF(VLOOKUP(C100,A!A$1:H$669,4,FALSE)="y",1,0)</f>
        <v>0</v>
      </c>
      <c r="K100" s="28">
        <f>IF(VLOOKUP(C100,A!A$1:H$669,5,FALSE)="y",1,0)</f>
        <v>0</v>
      </c>
      <c r="L100" s="544" t="str">
        <f t="shared" si="16"/>
        <v>Low</v>
      </c>
      <c r="M100" s="27">
        <f>VLOOKUP(C100,A!A$1:H$669,6,FALSE)</f>
        <v>0</v>
      </c>
      <c r="N100" s="44">
        <v>2</v>
      </c>
      <c r="O100" s="533">
        <f>VLOOKUP(C100,A!A$1:G$669,2,FALSE)</f>
        <v>0</v>
      </c>
      <c r="P100" s="533" t="s">
        <v>24</v>
      </c>
      <c r="Q100" s="533" t="str">
        <f>IF(S100=0,"",COUNTIF(Q$12:Q99,"&gt;0")+1)</f>
        <v/>
      </c>
      <c r="R100" s="533" t="str">
        <f>IF(S100=0,"",COUNTIF(R$12:R99,"&gt;0")+1)</f>
        <v/>
      </c>
      <c r="S100" s="533">
        <f>A100+Y100+AB100+AC100+A23</f>
        <v>0</v>
      </c>
      <c r="T100" s="533">
        <f>VLOOKUP(C100,A!A$1:AH$669,31,FALSE)</f>
        <v>30</v>
      </c>
      <c r="U100" s="533">
        <v>0.16500000000000001</v>
      </c>
      <c r="V100" s="533"/>
      <c r="W100" s="533" t="str">
        <f t="shared" si="12"/>
        <v/>
      </c>
      <c r="X100" s="533">
        <f>IF(V100&lt;&gt;"",COUNTIF(V$46:V100,V100)-1,0)</f>
        <v>0</v>
      </c>
      <c r="Y100" s="533"/>
      <c r="Z100" s="533" t="str">
        <f t="shared" si="21"/>
        <v/>
      </c>
      <c r="AA100" s="533" t="str">
        <f>IFERROR(RANK(Z100,Z$47:Z$226,0)+COUNTIF(Z$47:Z100,Z100)-1,"")</f>
        <v/>
      </c>
      <c r="AB100" s="533">
        <f t="shared" si="18"/>
        <v>0</v>
      </c>
      <c r="AC100" s="533">
        <f t="shared" si="17"/>
        <v>0</v>
      </c>
      <c r="AD100" s="533"/>
      <c r="AE100" s="533"/>
      <c r="AF100" s="533"/>
      <c r="AG100" s="533"/>
      <c r="AH100" s="533"/>
      <c r="AI100" s="533"/>
      <c r="AJ100" s="533"/>
      <c r="AK100" s="533"/>
      <c r="AL100" s="533"/>
      <c r="AM100" s="533"/>
      <c r="AN100" s="533"/>
      <c r="AO100" s="533"/>
      <c r="AP100" s="1"/>
      <c r="AQ100" s="1"/>
      <c r="AR100" s="1"/>
      <c r="AS100" s="1"/>
      <c r="AT100" s="1"/>
      <c r="AU100" s="1"/>
    </row>
    <row r="101" spans="1:47" ht="13.5" hidden="1" customHeight="1" x14ac:dyDescent="0.25">
      <c r="A101" s="41"/>
      <c r="B101" s="104" t="s">
        <v>18</v>
      </c>
      <c r="C101" s="837" t="s">
        <v>155</v>
      </c>
      <c r="D101" s="728"/>
      <c r="E101" s="711"/>
      <c r="F101" s="686" t="s">
        <v>156</v>
      </c>
      <c r="G101" s="42" t="s">
        <v>157</v>
      </c>
      <c r="H101" s="27">
        <f>VLOOKUP(C101,A!A$1:H$669,8,FALSE)</f>
        <v>2</v>
      </c>
      <c r="I101" s="27"/>
      <c r="J101" s="28">
        <f>IF(VLOOKUP(C101,A!A$1:H$669,4,FALSE)="y",1,0)</f>
        <v>0</v>
      </c>
      <c r="K101" s="28">
        <f>IF(VLOOKUP(C101,A!A$1:H$669,5,FALSE)="y",1,0)</f>
        <v>0</v>
      </c>
      <c r="L101" s="544" t="str">
        <f t="shared" si="16"/>
        <v>Low</v>
      </c>
      <c r="M101" s="27">
        <f>VLOOKUP(C101,A!A$1:H$669,6,FALSE)</f>
        <v>0</v>
      </c>
      <c r="N101" s="44" t="s">
        <v>39</v>
      </c>
      <c r="O101" s="533">
        <f>VLOOKUP(C101,A!A$1:G$669,2,FALSE)</f>
        <v>0</v>
      </c>
      <c r="P101" s="533" t="s">
        <v>24</v>
      </c>
      <c r="Q101" s="533" t="str">
        <f>IF(S101=0,"",COUNTIF(Q$12:Q100,"&gt;0")+1)</f>
        <v/>
      </c>
      <c r="R101" s="533" t="str">
        <f>IF(S101=0,"",COUNTIF(R$12:R100,"&gt;0")+1)</f>
        <v/>
      </c>
      <c r="S101" s="533">
        <f t="shared" si="11"/>
        <v>0</v>
      </c>
      <c r="T101" s="533">
        <f>VLOOKUP(C101,A!A$1:AH$669,31,FALSE)</f>
        <v>0</v>
      </c>
      <c r="U101" s="533">
        <v>0.16500000000000001</v>
      </c>
      <c r="V101" s="533"/>
      <c r="W101" s="533" t="str">
        <f t="shared" si="12"/>
        <v/>
      </c>
      <c r="X101" s="533">
        <f>IF(V101&lt;&gt;"",COUNTIF(V$46:V101,V101)-1,0)</f>
        <v>0</v>
      </c>
      <c r="Y101" s="533"/>
      <c r="Z101" s="533" t="str">
        <f t="shared" si="21"/>
        <v/>
      </c>
      <c r="AA101" s="533" t="str">
        <f>IFERROR(RANK(Z101,Z$47:Z$226,0)+COUNTIF(Z$47:Z101,Z101)-1,"")</f>
        <v/>
      </c>
      <c r="AB101" s="533">
        <f t="shared" si="18"/>
        <v>0</v>
      </c>
      <c r="AC101" s="533">
        <f t="shared" si="17"/>
        <v>0</v>
      </c>
      <c r="AD101" s="533"/>
      <c r="AE101" s="533"/>
      <c r="AF101" s="533"/>
      <c r="AG101" s="533"/>
      <c r="AH101" s="533"/>
      <c r="AI101" s="533"/>
      <c r="AJ101" s="533"/>
      <c r="AK101" s="533"/>
      <c r="AL101" s="533"/>
      <c r="AM101" s="533"/>
      <c r="AN101" s="533"/>
      <c r="AO101" s="533"/>
      <c r="AP101" s="1"/>
      <c r="AQ101" s="1"/>
      <c r="AR101" s="1"/>
      <c r="AS101" s="1"/>
      <c r="AT101" s="1"/>
      <c r="AU101" s="1"/>
    </row>
    <row r="102" spans="1:47" ht="11.25" hidden="1" customHeight="1" x14ac:dyDescent="0.25">
      <c r="A102" s="41"/>
      <c r="B102" s="104" t="s">
        <v>18</v>
      </c>
      <c r="C102" s="837" t="s">
        <v>159</v>
      </c>
      <c r="D102" s="729"/>
      <c r="E102" s="717"/>
      <c r="F102" s="686" t="s">
        <v>160</v>
      </c>
      <c r="G102" s="42" t="s">
        <v>161</v>
      </c>
      <c r="H102" s="27">
        <f>VLOOKUP(C102,A!A$1:H$669,8,FALSE)</f>
        <v>3</v>
      </c>
      <c r="I102" s="27"/>
      <c r="J102" s="28">
        <f>IF(VLOOKUP(C102,A!A$1:H$669,4,FALSE)="y",1,0)</f>
        <v>0</v>
      </c>
      <c r="K102" s="28">
        <f>IF(VLOOKUP(C102,A!A$1:H$669,5,FALSE)="y",1,0)</f>
        <v>0</v>
      </c>
      <c r="L102" s="544" t="str">
        <f t="shared" si="16"/>
        <v>Low</v>
      </c>
      <c r="M102" s="27">
        <f>VLOOKUP(C102,A!A$1:H$669,6,FALSE)</f>
        <v>0</v>
      </c>
      <c r="N102" s="44">
        <v>1</v>
      </c>
      <c r="O102" s="533">
        <f>VLOOKUP(C102,A!A$1:G$669,2,FALSE)</f>
        <v>0</v>
      </c>
      <c r="P102" s="533" t="s">
        <v>24</v>
      </c>
      <c r="Q102" s="533" t="str">
        <f>IF(S102=0,"",COUNTIF(Q$12:Q101,"&gt;0")+1)</f>
        <v/>
      </c>
      <c r="R102" s="533" t="str">
        <f>IF(S102=0,"",COUNTIF(R$12:R101,"&gt;0")+1)</f>
        <v/>
      </c>
      <c r="S102" s="533">
        <f t="shared" si="11"/>
        <v>0</v>
      </c>
      <c r="T102" s="533">
        <f>VLOOKUP(C102,A!A$1:AH$669,31,FALSE)</f>
        <v>0</v>
      </c>
      <c r="U102" s="533">
        <v>0.16500000000000001</v>
      </c>
      <c r="V102" s="533"/>
      <c r="W102" s="533" t="str">
        <f t="shared" si="12"/>
        <v/>
      </c>
      <c r="X102" s="533">
        <f>IF(V102&lt;&gt;"",COUNTIF(V$46:V102,V102)-1,0)</f>
        <v>0</v>
      </c>
      <c r="Y102" s="533"/>
      <c r="Z102" s="533" t="str">
        <f t="shared" si="21"/>
        <v/>
      </c>
      <c r="AA102" s="533" t="str">
        <f>IFERROR(RANK(Z102,Z$47:Z$226,0)+COUNTIF(Z$47:Z102,Z102)-1,"")</f>
        <v/>
      </c>
      <c r="AB102" s="533">
        <f t="shared" si="18"/>
        <v>0</v>
      </c>
      <c r="AC102" s="533">
        <f t="shared" si="17"/>
        <v>0</v>
      </c>
      <c r="AD102" s="533"/>
      <c r="AE102" s="533"/>
      <c r="AF102" s="533"/>
      <c r="AG102" s="533"/>
      <c r="AH102" s="533"/>
      <c r="AI102" s="533"/>
      <c r="AJ102" s="533"/>
      <c r="AK102" s="533"/>
      <c r="AL102" s="533"/>
      <c r="AM102" s="533"/>
      <c r="AN102" s="533"/>
      <c r="AO102" s="533"/>
      <c r="AP102" s="1"/>
      <c r="AQ102" s="1"/>
      <c r="AR102" s="1"/>
      <c r="AS102" s="1"/>
      <c r="AT102" s="1"/>
      <c r="AU102" s="1"/>
    </row>
    <row r="103" spans="1:47" ht="13.5" customHeight="1" x14ac:dyDescent="0.25">
      <c r="A103" s="41"/>
      <c r="B103" s="104" t="s">
        <v>18</v>
      </c>
      <c r="C103" s="1057" t="s">
        <v>162</v>
      </c>
      <c r="D103" s="728"/>
      <c r="E103" s="711" t="s">
        <v>1867</v>
      </c>
      <c r="F103" s="686" t="s">
        <v>163</v>
      </c>
      <c r="G103" s="42" t="s">
        <v>164</v>
      </c>
      <c r="H103" s="27">
        <f>VLOOKUP(C103,A!A$1:H$669,8,FALSE)</f>
        <v>1</v>
      </c>
      <c r="I103" s="27"/>
      <c r="J103" s="28">
        <f>IF(VLOOKUP(C103,A!A$1:H$669,4,FALSE)="y",1,0)</f>
        <v>1</v>
      </c>
      <c r="K103" s="28">
        <f>IF(VLOOKUP(C103,A!A$1:H$669,5,FALSE)="y",1,0)</f>
        <v>1</v>
      </c>
      <c r="L103" s="544" t="str">
        <f t="shared" si="16"/>
        <v>Low</v>
      </c>
      <c r="M103" s="27">
        <f>VLOOKUP(C103,A!A$1:H$669,6,FALSE)</f>
        <v>0</v>
      </c>
      <c r="N103" s="44" t="s">
        <v>39</v>
      </c>
      <c r="O103" s="533" t="str">
        <f>VLOOKUP(C103,A!A$1:G$669,2,FALSE)</f>
        <v>y</v>
      </c>
      <c r="P103" s="533" t="s">
        <v>24</v>
      </c>
      <c r="Q103" s="533" t="str">
        <f>IF(S103=0,"",COUNTIF(Q$12:Q102,"&gt;0")+1)</f>
        <v/>
      </c>
      <c r="R103" s="533" t="str">
        <f>IF(S103=0,"",COUNTIF(R$12:R102,"&gt;0")+1)</f>
        <v/>
      </c>
      <c r="S103" s="533">
        <f t="shared" si="11"/>
        <v>0</v>
      </c>
      <c r="T103" s="533">
        <f>VLOOKUP(C103,A!A$1:AH$669,31,FALSE)</f>
        <v>25</v>
      </c>
      <c r="U103" s="533">
        <v>0.16500000000000001</v>
      </c>
      <c r="V103" s="533">
        <v>42</v>
      </c>
      <c r="W103" s="533" t="str">
        <f t="shared" si="12"/>
        <v/>
      </c>
      <c r="X103" s="533">
        <f>IF(V103&lt;&gt;"",COUNTIF(V$46:V103,V103)-1,0)</f>
        <v>0</v>
      </c>
      <c r="Y103" s="533"/>
      <c r="Z103" s="533">
        <f t="shared" si="21"/>
        <v>-125</v>
      </c>
      <c r="AA103" s="533">
        <f>IFERROR(RANK(Z103,Z$47:Z$226,0)+COUNTIF(Z$47:Z103,Z103)-1,"")</f>
        <v>1</v>
      </c>
      <c r="AB103" s="533">
        <f t="shared" si="18"/>
        <v>0</v>
      </c>
      <c r="AC103" s="533">
        <f t="shared" si="17"/>
        <v>0</v>
      </c>
      <c r="AD103" s="533"/>
      <c r="AE103" s="533"/>
      <c r="AF103" s="533"/>
      <c r="AG103" s="533"/>
      <c r="AH103" s="533"/>
      <c r="AI103" s="533"/>
      <c r="AJ103" s="533"/>
      <c r="AK103" s="533"/>
      <c r="AL103" s="533"/>
      <c r="AM103" s="533"/>
      <c r="AN103" s="533"/>
      <c r="AO103" s="533"/>
      <c r="AP103" s="1"/>
      <c r="AQ103" s="1"/>
      <c r="AR103" s="1"/>
      <c r="AS103" s="1"/>
      <c r="AT103" s="1"/>
      <c r="AU103" s="1"/>
    </row>
    <row r="104" spans="1:47" ht="11.25" hidden="1" customHeight="1" x14ac:dyDescent="0.25">
      <c r="A104" s="41"/>
      <c r="B104" s="104" t="s">
        <v>18</v>
      </c>
      <c r="C104" s="837" t="s">
        <v>165</v>
      </c>
      <c r="D104" s="729"/>
      <c r="E104" s="717"/>
      <c r="F104" s="686" t="s">
        <v>163</v>
      </c>
      <c r="G104" s="42" t="s">
        <v>166</v>
      </c>
      <c r="H104" s="27">
        <f>VLOOKUP(C104,A!A$1:H$669,8,FALSE)</f>
        <v>1</v>
      </c>
      <c r="I104" s="27"/>
      <c r="J104" s="28">
        <f>IF(VLOOKUP(C104,A!A$1:H$669,4,FALSE)="y",1,0)</f>
        <v>0</v>
      </c>
      <c r="K104" s="28">
        <f>IF(VLOOKUP(C104,A!A$1:H$669,5,FALSE)="y",1,0)</f>
        <v>0</v>
      </c>
      <c r="L104" s="544" t="str">
        <f t="shared" si="16"/>
        <v>Low</v>
      </c>
      <c r="M104" s="27">
        <f>VLOOKUP(C104,A!A$1:H$669,6,FALSE)</f>
        <v>0</v>
      </c>
      <c r="N104" s="44" t="s">
        <v>39</v>
      </c>
      <c r="O104" s="533">
        <f>VLOOKUP(C104,A!A$1:G$669,2,FALSE)</f>
        <v>0</v>
      </c>
      <c r="P104" s="533" t="s">
        <v>24</v>
      </c>
      <c r="Q104" s="533" t="str">
        <f>IF(S104=0,"",COUNTIF(Q$12:Q103,"&gt;0")+1)</f>
        <v/>
      </c>
      <c r="R104" s="533" t="str">
        <f>IF(S104=0,"",COUNTIF(R$12:R103,"&gt;0")+1)</f>
        <v/>
      </c>
      <c r="S104" s="533">
        <f t="shared" si="11"/>
        <v>0</v>
      </c>
      <c r="T104" s="533">
        <f>VLOOKUP(C104,A!A$1:AH$669,31,FALSE)</f>
        <v>0</v>
      </c>
      <c r="U104" s="533">
        <v>0.16500000000000001</v>
      </c>
      <c r="V104" s="533"/>
      <c r="W104" s="533" t="str">
        <f t="shared" si="12"/>
        <v/>
      </c>
      <c r="X104" s="533">
        <f>IF(V104&lt;&gt;"",COUNTIF(V$46:V104,V104)-1,0)</f>
        <v>0</v>
      </c>
      <c r="Y104" s="533"/>
      <c r="Z104" s="533" t="str">
        <f t="shared" si="21"/>
        <v/>
      </c>
      <c r="AA104" s="533" t="str">
        <f>IFERROR(RANK(Z104,Z$47:Z$226,0)+COUNTIF(Z$47:Z104,Z104)-1,"")</f>
        <v/>
      </c>
      <c r="AB104" s="533">
        <f t="shared" si="18"/>
        <v>0</v>
      </c>
      <c r="AC104" s="533">
        <f t="shared" si="17"/>
        <v>0</v>
      </c>
      <c r="AD104" s="533"/>
      <c r="AE104" s="533"/>
      <c r="AF104" s="533"/>
      <c r="AG104" s="533"/>
      <c r="AH104" s="533"/>
      <c r="AI104" s="533"/>
      <c r="AJ104" s="533"/>
      <c r="AK104" s="533"/>
      <c r="AL104" s="533"/>
      <c r="AM104" s="533"/>
      <c r="AN104" s="533"/>
      <c r="AO104" s="533"/>
      <c r="AP104" s="1"/>
      <c r="AQ104" s="1"/>
      <c r="AR104" s="1"/>
      <c r="AS104" s="1"/>
      <c r="AT104" s="1"/>
      <c r="AU104" s="1"/>
    </row>
    <row r="105" spans="1:47" ht="11.25" hidden="1" customHeight="1" x14ac:dyDescent="0.25">
      <c r="A105" s="41"/>
      <c r="B105" s="104" t="s">
        <v>18</v>
      </c>
      <c r="C105" s="837" t="s">
        <v>167</v>
      </c>
      <c r="D105" s="729"/>
      <c r="E105" s="717"/>
      <c r="F105" s="686" t="s">
        <v>163</v>
      </c>
      <c r="G105" s="42" t="s">
        <v>168</v>
      </c>
      <c r="H105" s="27">
        <f>VLOOKUP(C105,A!A$1:H$669,8,FALSE)</f>
        <v>1</v>
      </c>
      <c r="I105" s="27"/>
      <c r="J105" s="28">
        <f>IF(VLOOKUP(C105,A!A$1:H$669,4,FALSE)="y",1,0)</f>
        <v>0</v>
      </c>
      <c r="K105" s="28">
        <f>IF(VLOOKUP(C105,A!A$1:H$669,5,FALSE)="y",1,0)</f>
        <v>0</v>
      </c>
      <c r="L105" s="544" t="str">
        <f t="shared" si="16"/>
        <v>Low</v>
      </c>
      <c r="M105" s="27">
        <f>VLOOKUP(C105,A!A$1:H$669,6,FALSE)</f>
        <v>0</v>
      </c>
      <c r="N105" s="44" t="s">
        <v>39</v>
      </c>
      <c r="O105" s="533">
        <f>VLOOKUP(C105,A!A$1:G$669,2,FALSE)</f>
        <v>0</v>
      </c>
      <c r="P105" s="533" t="s">
        <v>24</v>
      </c>
      <c r="Q105" s="533" t="str">
        <f>IF(S105=0,"",COUNTIF(Q$12:Q104,"&gt;0")+1)</f>
        <v/>
      </c>
      <c r="R105" s="533" t="str">
        <f>IF(S105=0,"",COUNTIF(R$12:R104,"&gt;0")+1)</f>
        <v/>
      </c>
      <c r="S105" s="533">
        <f t="shared" si="11"/>
        <v>0</v>
      </c>
      <c r="T105" s="533">
        <f>VLOOKUP(C105,A!A$1:AH$669,31,FALSE)</f>
        <v>0</v>
      </c>
      <c r="U105" s="533">
        <v>0.16500000000000001</v>
      </c>
      <c r="V105" s="533"/>
      <c r="W105" s="533" t="str">
        <f t="shared" si="12"/>
        <v/>
      </c>
      <c r="X105" s="533">
        <f>IF(V105&lt;&gt;"",COUNTIF(V$46:V105,V105)-1,0)</f>
        <v>0</v>
      </c>
      <c r="Y105" s="533"/>
      <c r="Z105" s="533" t="str">
        <f t="shared" si="21"/>
        <v/>
      </c>
      <c r="AA105" s="533" t="str">
        <f>IFERROR(RANK(Z105,Z$47:Z$226,0)+COUNTIF(Z$47:Z105,Z105)-1,"")</f>
        <v/>
      </c>
      <c r="AB105" s="533">
        <f t="shared" si="18"/>
        <v>0</v>
      </c>
      <c r="AC105" s="533">
        <f t="shared" si="17"/>
        <v>0</v>
      </c>
      <c r="AD105" s="533"/>
      <c r="AE105" s="533"/>
      <c r="AF105" s="533"/>
      <c r="AG105" s="533"/>
      <c r="AH105" s="533"/>
      <c r="AI105" s="533"/>
      <c r="AJ105" s="533"/>
      <c r="AK105" s="533"/>
      <c r="AL105" s="533"/>
      <c r="AM105" s="533"/>
      <c r="AN105" s="533"/>
      <c r="AO105" s="533"/>
      <c r="AP105" s="1"/>
      <c r="AQ105" s="1"/>
      <c r="AR105" s="1"/>
      <c r="AS105" s="1"/>
      <c r="AT105" s="1"/>
      <c r="AU105" s="1"/>
    </row>
    <row r="106" spans="1:47" ht="13.5" hidden="1" customHeight="1" x14ac:dyDescent="0.25">
      <c r="A106" s="41"/>
      <c r="B106" s="104" t="s">
        <v>18</v>
      </c>
      <c r="C106" s="837" t="s">
        <v>169</v>
      </c>
      <c r="D106" s="728"/>
      <c r="E106" s="711"/>
      <c r="F106" s="686" t="s">
        <v>170</v>
      </c>
      <c r="G106" s="42" t="s">
        <v>171</v>
      </c>
      <c r="H106" s="27">
        <f>VLOOKUP(C106,A!A$1:H$669,8,FALSE)</f>
        <v>1</v>
      </c>
      <c r="I106" s="27"/>
      <c r="J106" s="28">
        <f>IF(VLOOKUP(C106,A!A$1:H$669,4,FALSE)="y",1,0)</f>
        <v>0</v>
      </c>
      <c r="K106" s="28">
        <f>IF(VLOOKUP(C106,A!A$1:H$669,5,FALSE)="y",1,0)</f>
        <v>0</v>
      </c>
      <c r="L106" s="544" t="str">
        <f t="shared" si="16"/>
        <v>Low</v>
      </c>
      <c r="M106" s="27">
        <f>VLOOKUP(C106,A!A$1:H$669,6,FALSE)</f>
        <v>0</v>
      </c>
      <c r="N106" s="44" t="s">
        <v>39</v>
      </c>
      <c r="O106" s="533">
        <f>VLOOKUP(C106,A!A$1:G$669,2,FALSE)</f>
        <v>0</v>
      </c>
      <c r="P106" s="533" t="s">
        <v>24</v>
      </c>
      <c r="Q106" s="533" t="str">
        <f>IF(S106=0,"",COUNTIF(Q$12:Q105,"&gt;0")+1)</f>
        <v/>
      </c>
      <c r="R106" s="533" t="str">
        <f>IF(S106=0,"",COUNTIF(R$12:R105,"&gt;0")+1)</f>
        <v/>
      </c>
      <c r="S106" s="533">
        <f t="shared" si="11"/>
        <v>0</v>
      </c>
      <c r="T106" s="533">
        <f>VLOOKUP(C106,A!A$1:AH$669,31,FALSE)</f>
        <v>0</v>
      </c>
      <c r="U106" s="533">
        <v>0.16500000000000001</v>
      </c>
      <c r="V106" s="533"/>
      <c r="W106" s="533" t="str">
        <f t="shared" si="12"/>
        <v/>
      </c>
      <c r="X106" s="533">
        <f>IF(V106&lt;&gt;"",COUNTIF(V$46:V106,V106)-1,0)</f>
        <v>0</v>
      </c>
      <c r="Y106" s="533">
        <f>A23</f>
        <v>0</v>
      </c>
      <c r="Z106" s="533" t="str">
        <f t="shared" si="21"/>
        <v/>
      </c>
      <c r="AA106" s="533" t="str">
        <f>IFERROR(RANK(Z106,Z$47:Z$226,0)+COUNTIF(Z$47:Z106,Z106)-1,"")</f>
        <v/>
      </c>
      <c r="AB106" s="533">
        <f t="shared" si="18"/>
        <v>0</v>
      </c>
      <c r="AC106" s="533">
        <f t="shared" si="17"/>
        <v>0</v>
      </c>
      <c r="AD106" s="533"/>
      <c r="AE106" s="533"/>
      <c r="AF106" s="533"/>
      <c r="AG106" s="533"/>
      <c r="AH106" s="533"/>
      <c r="AI106" s="533"/>
      <c r="AJ106" s="533"/>
      <c r="AK106" s="533"/>
      <c r="AL106" s="533"/>
      <c r="AM106" s="533"/>
      <c r="AN106" s="533"/>
      <c r="AO106" s="533"/>
      <c r="AP106" s="1"/>
      <c r="AQ106" s="1"/>
      <c r="AR106" s="1"/>
      <c r="AS106" s="1"/>
      <c r="AT106" s="1"/>
      <c r="AU106" s="1"/>
    </row>
    <row r="107" spans="1:47" ht="13.5" hidden="1" customHeight="1" x14ac:dyDescent="0.25">
      <c r="A107" s="41"/>
      <c r="B107" s="104" t="s">
        <v>18</v>
      </c>
      <c r="C107" s="837" t="s">
        <v>172</v>
      </c>
      <c r="D107" s="728"/>
      <c r="E107" s="711"/>
      <c r="F107" s="686" t="s">
        <v>173</v>
      </c>
      <c r="G107" s="42" t="s">
        <v>174</v>
      </c>
      <c r="H107" s="27">
        <f>VLOOKUP(C107,A!A$1:H$669,8,FALSE)</f>
        <v>2</v>
      </c>
      <c r="I107" s="27" t="s">
        <v>30</v>
      </c>
      <c r="J107" s="28">
        <f>IF(VLOOKUP(C107,A!A$1:H$669,4,FALSE)="y",1,0)</f>
        <v>0</v>
      </c>
      <c r="K107" s="28">
        <f>IF(VLOOKUP(C107,A!A$1:H$669,5,FALSE)="y",1,0)</f>
        <v>0</v>
      </c>
      <c r="L107" s="544" t="str">
        <f t="shared" si="16"/>
        <v>Low</v>
      </c>
      <c r="M107" s="27">
        <f>VLOOKUP(C107,A!A$1:H$669,6,FALSE)</f>
        <v>0</v>
      </c>
      <c r="N107" s="44" t="s">
        <v>39</v>
      </c>
      <c r="O107" s="533">
        <f>VLOOKUP(C107,A!A$1:G$669,2,FALSE)</f>
        <v>0</v>
      </c>
      <c r="P107" s="533" t="s">
        <v>24</v>
      </c>
      <c r="Q107" s="533" t="str">
        <f>IF(S107=0,"",COUNTIF(Q$12:Q106,"&gt;0")+1)</f>
        <v/>
      </c>
      <c r="R107" s="533" t="str">
        <f>IF(S107=0,"",COUNTIF(R$12:R106,"&gt;0")+1)</f>
        <v/>
      </c>
      <c r="S107" s="533">
        <f t="shared" si="11"/>
        <v>0</v>
      </c>
      <c r="T107" s="533">
        <f>VLOOKUP(C107,A!A$1:AH$669,31,FALSE)</f>
        <v>0</v>
      </c>
      <c r="U107" s="533">
        <v>0.16500000000000001</v>
      </c>
      <c r="V107" s="533"/>
      <c r="W107" s="533" t="str">
        <f t="shared" si="12"/>
        <v/>
      </c>
      <c r="X107" s="533">
        <f>IF(V107&lt;&gt;"",COUNTIF(V$46:V107,V107)-1,0)</f>
        <v>0</v>
      </c>
      <c r="Y107" s="533"/>
      <c r="Z107" s="533" t="str">
        <f t="shared" si="21"/>
        <v/>
      </c>
      <c r="AA107" s="533" t="str">
        <f>IFERROR(RANK(Z107,Z$47:Z$226,0)+COUNTIF(Z$47:Z107,Z107)-1,"")</f>
        <v/>
      </c>
      <c r="AB107" s="533">
        <f t="shared" si="18"/>
        <v>0</v>
      </c>
      <c r="AC107" s="533">
        <f t="shared" si="17"/>
        <v>0</v>
      </c>
      <c r="AD107" s="533"/>
      <c r="AE107" s="533"/>
      <c r="AF107" s="533"/>
      <c r="AG107" s="533"/>
      <c r="AH107" s="533"/>
      <c r="AI107" s="533"/>
      <c r="AJ107" s="533"/>
      <c r="AK107" s="533"/>
      <c r="AL107" s="533"/>
      <c r="AM107" s="533"/>
      <c r="AN107" s="533"/>
      <c r="AO107" s="533"/>
      <c r="AP107" s="1"/>
      <c r="AQ107" s="1"/>
      <c r="AR107" s="1"/>
      <c r="AS107" s="1"/>
      <c r="AT107" s="1"/>
      <c r="AU107" s="1"/>
    </row>
    <row r="108" spans="1:47" ht="13.5" customHeight="1" x14ac:dyDescent="0.25">
      <c r="A108" s="41"/>
      <c r="B108" s="104" t="s">
        <v>18</v>
      </c>
      <c r="C108" s="837" t="s">
        <v>175</v>
      </c>
      <c r="D108" s="728"/>
      <c r="E108" s="711"/>
      <c r="F108" s="686" t="s">
        <v>176</v>
      </c>
      <c r="G108" s="42" t="s">
        <v>177</v>
      </c>
      <c r="H108" s="27">
        <f>VLOOKUP(C108,A!A$1:H$669,8,FALSE)</f>
        <v>2</v>
      </c>
      <c r="I108" s="27"/>
      <c r="J108" s="28">
        <f>IF(VLOOKUP(C108,A!A$1:H$669,4,FALSE)="y",1,0)</f>
        <v>1</v>
      </c>
      <c r="K108" s="28">
        <f>IF(VLOOKUP(C108,A!A$1:H$669,5,FALSE)="y",1,0)</f>
        <v>0</v>
      </c>
      <c r="L108" s="544" t="str">
        <f t="shared" si="16"/>
        <v>Med</v>
      </c>
      <c r="M108" s="27">
        <f>VLOOKUP(C108,A!A$1:H$669,6,FALSE)</f>
        <v>0</v>
      </c>
      <c r="N108" s="44" t="s">
        <v>39</v>
      </c>
      <c r="O108" s="533" t="str">
        <f>VLOOKUP(C108,A!A$1:G$669,2,FALSE)</f>
        <v>y</v>
      </c>
      <c r="P108" s="533" t="s">
        <v>24</v>
      </c>
      <c r="Q108" s="533" t="str">
        <f>IF(S108=0,"",COUNTIF(Q$12:Q107,"&gt;0")+1)</f>
        <v/>
      </c>
      <c r="R108" s="533" t="str">
        <f>IF(S108=0,"",COUNTIF(R$12:R107,"&gt;0")+1)</f>
        <v/>
      </c>
      <c r="S108" s="533">
        <f t="shared" si="11"/>
        <v>0</v>
      </c>
      <c r="T108" s="533">
        <v>35</v>
      </c>
      <c r="U108" s="533">
        <v>0.16500000000000001</v>
      </c>
      <c r="V108" s="533">
        <v>69</v>
      </c>
      <c r="W108" s="533" t="str">
        <f>IF(AND(V108&lt;&gt;"",O108=0),"Check",IF(AND(V108=0,O108="Y"),"Check",""))</f>
        <v/>
      </c>
      <c r="X108" s="533">
        <f>IF(V108&lt;&gt;"",COUNTIF(V$46:V108,V108)-1,0)</f>
        <v>0</v>
      </c>
      <c r="Y108" s="533"/>
      <c r="Z108" s="533">
        <f t="shared" si="21"/>
        <v>-235</v>
      </c>
      <c r="AA108" s="533">
        <f>IFERROR(RANK(Z108,Z$47:Z$226,0)+COUNTIF(Z$47:Z108,Z108)-1,"")</f>
        <v>32</v>
      </c>
      <c r="AB108" s="533">
        <f t="shared" si="18"/>
        <v>0</v>
      </c>
      <c r="AC108" s="533">
        <f t="shared" si="17"/>
        <v>0</v>
      </c>
      <c r="AD108" s="533"/>
      <c r="AE108" s="533"/>
      <c r="AF108" s="533"/>
      <c r="AG108" s="533"/>
      <c r="AH108" s="533"/>
      <c r="AI108" s="533"/>
      <c r="AJ108" s="533"/>
      <c r="AK108" s="533"/>
      <c r="AL108" s="533"/>
      <c r="AM108" s="533"/>
      <c r="AN108" s="533"/>
      <c r="AO108" s="533"/>
      <c r="AP108" s="1"/>
      <c r="AQ108" s="1"/>
      <c r="AR108" s="1"/>
      <c r="AS108" s="1"/>
      <c r="AT108" s="1"/>
      <c r="AU108" s="1"/>
    </row>
    <row r="109" spans="1:47" ht="11.25" hidden="1" customHeight="1" x14ac:dyDescent="0.25">
      <c r="A109" s="41"/>
      <c r="B109" s="104" t="s">
        <v>18</v>
      </c>
      <c r="C109" s="837" t="s">
        <v>178</v>
      </c>
      <c r="D109" s="729"/>
      <c r="E109" s="717"/>
      <c r="F109" s="686"/>
      <c r="G109" s="42"/>
      <c r="H109" s="27">
        <f>VLOOKUP(C109,A!A$1:H$669,8,FALSE)</f>
        <v>0</v>
      </c>
      <c r="I109" s="27"/>
      <c r="J109" s="28">
        <f>IF(VLOOKUP(C109,A!A$1:H$669,4,FALSE)="y",1,0)</f>
        <v>0</v>
      </c>
      <c r="K109" s="28">
        <f>IF(VLOOKUP(C109,A!A$1:H$669,5,FALSE)="y",1,0)</f>
        <v>0</v>
      </c>
      <c r="L109" s="544" t="str">
        <f t="shared" si="16"/>
        <v>Low</v>
      </c>
      <c r="M109" s="27">
        <f>VLOOKUP(C109,A!A$1:H$669,6,FALSE)</f>
        <v>0</v>
      </c>
      <c r="N109" s="44" t="s">
        <v>326</v>
      </c>
      <c r="O109" s="533">
        <f>VLOOKUP(C109,A!A$1:G$669,2,FALSE)</f>
        <v>0</v>
      </c>
      <c r="P109" s="533" t="s">
        <v>24</v>
      </c>
      <c r="Q109" s="533" t="str">
        <f>IF(S109=0,"",COUNTIF(Q$12:Q108,"&gt;0")+1)</f>
        <v/>
      </c>
      <c r="R109" s="533" t="str">
        <f>IF(S109=0,"",COUNTIF(R$12:R108,"&gt;0")+1)</f>
        <v/>
      </c>
      <c r="S109" s="533">
        <f t="shared" si="11"/>
        <v>0</v>
      </c>
      <c r="T109" s="533">
        <f>VLOOKUP(C109,A!A$1:AH$669,31,FALSE)</f>
        <v>0</v>
      </c>
      <c r="U109" s="533">
        <v>0.16500000000000001</v>
      </c>
      <c r="V109" s="533"/>
      <c r="W109" s="533" t="str">
        <f t="shared" si="12"/>
        <v/>
      </c>
      <c r="X109" s="533">
        <f>IF(V109&lt;&gt;"",COUNTIF(V$46:V109,V109)-1,0)</f>
        <v>0</v>
      </c>
      <c r="Y109" s="533"/>
      <c r="Z109" s="533" t="str">
        <f t="shared" si="21"/>
        <v/>
      </c>
      <c r="AA109" s="533" t="str">
        <f>IFERROR(RANK(Z109,Z$47:Z$226,0)+COUNTIF(Z$47:Z109,Z109)-1,"")</f>
        <v/>
      </c>
      <c r="AB109" s="533">
        <f t="shared" si="18"/>
        <v>0</v>
      </c>
      <c r="AC109" s="533">
        <f t="shared" si="17"/>
        <v>0</v>
      </c>
      <c r="AD109" s="533"/>
      <c r="AE109" s="533"/>
      <c r="AF109" s="533"/>
      <c r="AG109" s="533"/>
      <c r="AH109" s="533"/>
      <c r="AI109" s="533"/>
      <c r="AJ109" s="533"/>
      <c r="AK109" s="533"/>
      <c r="AL109" s="533"/>
      <c r="AM109" s="533"/>
      <c r="AN109" s="533"/>
      <c r="AO109" s="533"/>
      <c r="AP109" s="1"/>
      <c r="AQ109" s="1"/>
      <c r="AR109" s="1"/>
      <c r="AS109" s="1"/>
      <c r="AT109" s="1"/>
      <c r="AU109" s="1"/>
    </row>
    <row r="110" spans="1:47" ht="11.25" hidden="1" customHeight="1" x14ac:dyDescent="0.25">
      <c r="A110" s="41"/>
      <c r="B110" s="104" t="s">
        <v>18</v>
      </c>
      <c r="C110" s="837" t="s">
        <v>179</v>
      </c>
      <c r="D110" s="729"/>
      <c r="E110" s="717"/>
      <c r="F110" s="686"/>
      <c r="G110" s="42"/>
      <c r="H110" s="27">
        <f>VLOOKUP(C110,A!A$1:H$669,8,FALSE)</f>
        <v>1</v>
      </c>
      <c r="I110" s="27"/>
      <c r="J110" s="28">
        <f>IF(VLOOKUP(C110,A!A$1:H$669,4,FALSE)="y",1,0)</f>
        <v>0</v>
      </c>
      <c r="K110" s="28">
        <f>IF(VLOOKUP(C110,A!A$1:H$669,5,FALSE)="y",1,0)</f>
        <v>0</v>
      </c>
      <c r="L110" s="544" t="str">
        <f t="shared" si="16"/>
        <v>Low</v>
      </c>
      <c r="M110" s="27">
        <f>VLOOKUP(C110,A!A$1:H$669,6,FALSE)</f>
        <v>0</v>
      </c>
      <c r="N110" s="44" t="s">
        <v>328</v>
      </c>
      <c r="O110" s="533">
        <f>VLOOKUP(C110,A!A$1:G$669,2,FALSE)</f>
        <v>0</v>
      </c>
      <c r="P110" s="533" t="s">
        <v>24</v>
      </c>
      <c r="Q110" s="533" t="str">
        <f>IF(S110=0,"",COUNTIF(Q$12:Q109,"&gt;0")+1)</f>
        <v/>
      </c>
      <c r="R110" s="533" t="str">
        <f>IF(S110=0,"",COUNTIF(R$12:R109,"&gt;0")+1)</f>
        <v/>
      </c>
      <c r="S110" s="533">
        <f t="shared" si="11"/>
        <v>0</v>
      </c>
      <c r="T110" s="533">
        <f>VLOOKUP(C110,A!A$1:AH$669,31,FALSE)</f>
        <v>0</v>
      </c>
      <c r="U110" s="533">
        <v>0.16500000000000001</v>
      </c>
      <c r="V110" s="533"/>
      <c r="W110" s="533" t="str">
        <f t="shared" si="12"/>
        <v/>
      </c>
      <c r="X110" s="533">
        <f>IF(V110&lt;&gt;"",COUNTIF(V$46:V110,V110)-1,0)</f>
        <v>0</v>
      </c>
      <c r="Y110" s="533"/>
      <c r="Z110" s="533" t="str">
        <f t="shared" si="21"/>
        <v/>
      </c>
      <c r="AA110" s="533" t="str">
        <f>IFERROR(RANK(Z110,Z$47:Z$226,0)+COUNTIF(Z$47:Z110,Z110)-1,"")</f>
        <v/>
      </c>
      <c r="AB110" s="533">
        <f t="shared" si="18"/>
        <v>0</v>
      </c>
      <c r="AC110" s="533">
        <f t="shared" si="17"/>
        <v>0</v>
      </c>
      <c r="AD110" s="533"/>
      <c r="AE110" s="533"/>
      <c r="AF110" s="533"/>
      <c r="AG110" s="533"/>
      <c r="AH110" s="533"/>
      <c r="AI110" s="533"/>
      <c r="AJ110" s="533"/>
      <c r="AK110" s="533"/>
      <c r="AL110" s="533"/>
      <c r="AM110" s="533"/>
      <c r="AN110" s="533"/>
      <c r="AO110" s="533"/>
      <c r="AP110" s="1"/>
      <c r="AQ110" s="1"/>
      <c r="AR110" s="1"/>
      <c r="AS110" s="1"/>
      <c r="AT110" s="1"/>
      <c r="AU110" s="1"/>
    </row>
    <row r="111" spans="1:47" ht="11.25" hidden="1" customHeight="1" x14ac:dyDescent="0.25">
      <c r="A111" s="41"/>
      <c r="B111" s="104" t="s">
        <v>18</v>
      </c>
      <c r="C111" s="837" t="s">
        <v>1053</v>
      </c>
      <c r="D111" s="729"/>
      <c r="E111" s="717"/>
      <c r="F111" s="686" t="s">
        <v>642</v>
      </c>
      <c r="G111" s="42" t="s">
        <v>1056</v>
      </c>
      <c r="H111" s="27">
        <f>VLOOKUP(C111,A!A$1:H$669,8,FALSE)</f>
        <v>1</v>
      </c>
      <c r="I111" s="27"/>
      <c r="J111" s="28">
        <f>IF(VLOOKUP(C111,A!A$1:H$669,4,FALSE)="y",1,0)</f>
        <v>0</v>
      </c>
      <c r="K111" s="28"/>
      <c r="L111" s="544" t="str">
        <f t="shared" si="16"/>
        <v>Low</v>
      </c>
      <c r="M111" s="27"/>
      <c r="N111" s="44" t="s">
        <v>39</v>
      </c>
      <c r="O111" s="533">
        <f>VLOOKUP(C111,A!A$1:G$669,2,FALSE)</f>
        <v>0</v>
      </c>
      <c r="P111" s="533" t="s">
        <v>24</v>
      </c>
      <c r="Q111" s="533" t="str">
        <f>IF(S111=0,"",COUNTIF(Q$12:Q110,"&gt;0")+1)</f>
        <v/>
      </c>
      <c r="R111" s="533" t="str">
        <f>IF(S111=0,"",COUNTIF(R$12:R110,"&gt;0")+1)</f>
        <v/>
      </c>
      <c r="S111" s="533">
        <f t="shared" si="11"/>
        <v>0</v>
      </c>
      <c r="T111" s="533">
        <f>VLOOKUP(C111,A!A$1:AH$669,31,FALSE)</f>
        <v>0</v>
      </c>
      <c r="U111" s="533">
        <v>0.16500000000000001</v>
      </c>
      <c r="V111" s="533"/>
      <c r="W111" s="533" t="str">
        <f t="shared" si="12"/>
        <v/>
      </c>
      <c r="X111" s="533">
        <f>IF(V111&lt;&gt;"",COUNTIF(V$46:V111,V111)-1,0)</f>
        <v>0</v>
      </c>
      <c r="Y111" s="533"/>
      <c r="Z111" s="533" t="str">
        <f t="shared" si="21"/>
        <v/>
      </c>
      <c r="AA111" s="533" t="str">
        <f>IFERROR(RANK(Z111,Z$47:Z$226,0)+COUNTIF(Z$47:Z111,Z111)-1,"")</f>
        <v/>
      </c>
      <c r="AB111" s="533">
        <f t="shared" si="18"/>
        <v>0</v>
      </c>
      <c r="AC111" s="533">
        <f t="shared" si="17"/>
        <v>0</v>
      </c>
      <c r="AD111" s="533"/>
      <c r="AE111" s="533"/>
      <c r="AF111" s="533"/>
      <c r="AG111" s="533"/>
      <c r="AH111" s="533"/>
      <c r="AI111" s="533"/>
      <c r="AJ111" s="533"/>
      <c r="AK111" s="533"/>
      <c r="AL111" s="533"/>
      <c r="AM111" s="533"/>
      <c r="AN111" s="533"/>
      <c r="AO111" s="533"/>
      <c r="AP111" s="1"/>
      <c r="AQ111" s="1"/>
      <c r="AR111" s="1"/>
      <c r="AS111" s="1"/>
      <c r="AT111" s="1"/>
      <c r="AU111" s="1"/>
    </row>
    <row r="112" spans="1:47" ht="11.25" hidden="1" customHeight="1" x14ac:dyDescent="0.25">
      <c r="A112" s="41"/>
      <c r="B112" s="104" t="s">
        <v>18</v>
      </c>
      <c r="C112" s="837" t="s">
        <v>180</v>
      </c>
      <c r="D112" s="729"/>
      <c r="E112" s="717"/>
      <c r="F112" s="686" t="s">
        <v>642</v>
      </c>
      <c r="G112" s="42" t="s">
        <v>644</v>
      </c>
      <c r="H112" s="27">
        <f>VLOOKUP(C112,A!A$1:H$669,8,FALSE)</f>
        <v>1</v>
      </c>
      <c r="I112" s="27"/>
      <c r="J112" s="28">
        <f>IF(VLOOKUP(C112,A!A$1:H$669,4,FALSE)="y",1,0)</f>
        <v>0</v>
      </c>
      <c r="K112" s="28">
        <f>IF(VLOOKUP(C112,A!A$1:H$669,5,FALSE)="y",1,0)</f>
        <v>0</v>
      </c>
      <c r="L112" s="544" t="str">
        <f t="shared" si="16"/>
        <v>Low</v>
      </c>
      <c r="M112" s="27">
        <f>VLOOKUP(C112,A!A$1:H$669,6,FALSE)</f>
        <v>0</v>
      </c>
      <c r="N112" s="44" t="s">
        <v>39</v>
      </c>
      <c r="O112" s="533">
        <f>VLOOKUP(C112,A!A$1:G$669,2,FALSE)</f>
        <v>0</v>
      </c>
      <c r="P112" s="533" t="s">
        <v>24</v>
      </c>
      <c r="Q112" s="533" t="str">
        <f>IF(S112=0,"",COUNTIF(Q$12:Q111,"&gt;0")+1)</f>
        <v/>
      </c>
      <c r="R112" s="533" t="str">
        <f>IF(S112=0,"",COUNTIF(R$12:R111,"&gt;0")+1)</f>
        <v/>
      </c>
      <c r="S112" s="533">
        <f t="shared" si="11"/>
        <v>0</v>
      </c>
      <c r="T112" s="533">
        <f>VLOOKUP(C112,A!A$1:AH$669,31,FALSE)</f>
        <v>0</v>
      </c>
      <c r="U112" s="533">
        <v>0.16500000000000001</v>
      </c>
      <c r="V112" s="533"/>
      <c r="W112" s="533" t="str">
        <f t="shared" si="12"/>
        <v/>
      </c>
      <c r="X112" s="533">
        <f>IF(V112&lt;&gt;"",COUNTIF(V$46:V112,V112)-1,0)</f>
        <v>0</v>
      </c>
      <c r="Y112" s="533"/>
      <c r="Z112" s="533" t="str">
        <f t="shared" si="21"/>
        <v/>
      </c>
      <c r="AA112" s="533" t="str">
        <f>IFERROR(RANK(Z112,Z$47:Z$226,0)+COUNTIF(Z$47:Z112,Z112)-1,"")</f>
        <v/>
      </c>
      <c r="AB112" s="533">
        <f t="shared" si="18"/>
        <v>0</v>
      </c>
      <c r="AC112" s="533">
        <f t="shared" si="17"/>
        <v>0</v>
      </c>
      <c r="AD112" s="533"/>
      <c r="AE112" s="533"/>
      <c r="AF112" s="533"/>
      <c r="AG112" s="533"/>
      <c r="AH112" s="533"/>
      <c r="AI112" s="533"/>
      <c r="AJ112" s="533"/>
      <c r="AK112" s="533"/>
      <c r="AL112" s="533"/>
      <c r="AM112" s="533"/>
      <c r="AN112" s="533"/>
      <c r="AO112" s="533"/>
      <c r="AP112" s="1"/>
      <c r="AQ112" s="1"/>
      <c r="AR112" s="1"/>
      <c r="AS112" s="1"/>
      <c r="AT112" s="1"/>
      <c r="AU112" s="1"/>
    </row>
    <row r="113" spans="1:47" ht="13.5" customHeight="1" x14ac:dyDescent="0.25">
      <c r="A113" s="41"/>
      <c r="B113" s="104" t="s">
        <v>18</v>
      </c>
      <c r="C113" s="837" t="s">
        <v>181</v>
      </c>
      <c r="D113" s="728"/>
      <c r="E113" s="711"/>
      <c r="F113" s="686" t="s">
        <v>182</v>
      </c>
      <c r="G113" s="42" t="s">
        <v>183</v>
      </c>
      <c r="H113" s="27">
        <f>VLOOKUP(C113,A!A$1:H$669,8,FALSE)</f>
        <v>1</v>
      </c>
      <c r="I113" s="27"/>
      <c r="J113" s="28">
        <f>IF(VLOOKUP(C113,A!A$1:H$669,4,FALSE)="y",1,0)</f>
        <v>1</v>
      </c>
      <c r="K113" s="28">
        <f>IF(VLOOKUP(C113,A!A$1:H$669,5,FALSE)="y",1,0)</f>
        <v>0</v>
      </c>
      <c r="L113" s="544" t="str">
        <f t="shared" si="16"/>
        <v>Med</v>
      </c>
      <c r="M113" s="27">
        <f>VLOOKUP(C113,A!A$1:H$669,6,FALSE)</f>
        <v>0</v>
      </c>
      <c r="N113" s="44" t="s">
        <v>39</v>
      </c>
      <c r="O113" s="533" t="str">
        <f>VLOOKUP(C113,A!A$1:G$669,2,FALSE)</f>
        <v>y</v>
      </c>
      <c r="P113" s="533" t="s">
        <v>24</v>
      </c>
      <c r="Q113" s="533" t="str">
        <f>IF(S113=0,"",COUNTIF(Q$12:Q112,"&gt;0")+1)</f>
        <v/>
      </c>
      <c r="R113" s="533" t="str">
        <f>IF(S113=0,"",COUNTIF(R$12:R112,"&gt;0")+1)</f>
        <v/>
      </c>
      <c r="S113" s="533">
        <f t="shared" ref="S113:S178" si="26">A113+Y113+AB113+AC113</f>
        <v>0</v>
      </c>
      <c r="T113" s="533">
        <f>VLOOKUP(C113,A!A$1:AH$669,31,FALSE)</f>
        <v>35</v>
      </c>
      <c r="U113" s="533">
        <v>0.16500000000000001</v>
      </c>
      <c r="V113" s="533">
        <v>43</v>
      </c>
      <c r="W113" s="533" t="str">
        <f>IF(AND(V113&lt;&gt;"",O113=0),"Check",IF(AND(V113=0,O113="Y"),"Check",""))</f>
        <v/>
      </c>
      <c r="X113" s="533">
        <f>IF(V113&lt;&gt;"",COUNTIF(V$46:V113,V113)-1,0)</f>
        <v>0</v>
      </c>
      <c r="Y113" s="533"/>
      <c r="Z113" s="533">
        <f t="shared" ref="Z113:Z145" si="27">IFERROR(IF(AND(O113="y",IF(AND(A113&lt;&gt;"",A113=0),0,1)),H113*-100-A113*1000-T113,""),"")</f>
        <v>-135</v>
      </c>
      <c r="AA113" s="533">
        <f>IFERROR(RANK(Z113,Z$47:Z$226,0)+COUNTIF(Z$47:Z113,Z113)-1,"")</f>
        <v>14</v>
      </c>
      <c r="AB113" s="533">
        <f t="shared" si="18"/>
        <v>0</v>
      </c>
      <c r="AC113" s="533">
        <f t="shared" si="17"/>
        <v>0</v>
      </c>
      <c r="AD113" s="533"/>
      <c r="AE113" s="533"/>
      <c r="AF113" s="533"/>
      <c r="AG113" s="533"/>
      <c r="AH113" s="533"/>
      <c r="AI113" s="533"/>
      <c r="AJ113" s="533"/>
      <c r="AK113" s="533"/>
      <c r="AL113" s="533"/>
      <c r="AM113" s="533"/>
      <c r="AN113" s="533"/>
      <c r="AO113" s="533"/>
      <c r="AP113" s="1"/>
      <c r="AQ113" s="1"/>
      <c r="AR113" s="1"/>
      <c r="AS113" s="1"/>
      <c r="AT113" s="1"/>
      <c r="AU113" s="1"/>
    </row>
    <row r="114" spans="1:47" ht="11.25" hidden="1" customHeight="1" x14ac:dyDescent="0.25">
      <c r="A114" s="41"/>
      <c r="B114" s="104" t="s">
        <v>18</v>
      </c>
      <c r="C114" s="837" t="s">
        <v>184</v>
      </c>
      <c r="D114" s="729"/>
      <c r="E114" s="717"/>
      <c r="F114" s="686" t="s">
        <v>182</v>
      </c>
      <c r="G114" s="42" t="s">
        <v>185</v>
      </c>
      <c r="H114" s="27">
        <f>VLOOKUP(C114,A!A$1:H$669,8,FALSE)</f>
        <v>1</v>
      </c>
      <c r="I114" s="27"/>
      <c r="J114" s="28">
        <f>IF(VLOOKUP(C114,A!A$1:H$669,4,FALSE)="y",1,0)</f>
        <v>0</v>
      </c>
      <c r="K114" s="28">
        <f>IF(VLOOKUP(C114,A!A$1:H$669,5,FALSE)="y",1,0)</f>
        <v>0</v>
      </c>
      <c r="L114" s="544" t="str">
        <f t="shared" ref="L114:L180" si="28">IF(T114&lt;35,"Low",IF(T114&gt;40,"High","Med"))</f>
        <v>Low</v>
      </c>
      <c r="M114" s="27">
        <f>VLOOKUP(C114,A!A$1:H$669,6,FALSE)</f>
        <v>0</v>
      </c>
      <c r="N114" s="44" t="s">
        <v>39</v>
      </c>
      <c r="O114" s="533">
        <f>VLOOKUP(C114,A!A$1:G$669,2,FALSE)</f>
        <v>0</v>
      </c>
      <c r="P114" s="533" t="s">
        <v>24</v>
      </c>
      <c r="Q114" s="533" t="str">
        <f>IF(S114=0,"",COUNTIF(Q$12:Q113,"&gt;0")+1)</f>
        <v/>
      </c>
      <c r="R114" s="533" t="str">
        <f>IF(S114=0,"",COUNTIF(R$12:R113,"&gt;0")+1)</f>
        <v/>
      </c>
      <c r="S114" s="533">
        <f t="shared" si="26"/>
        <v>0</v>
      </c>
      <c r="T114" s="533">
        <f>VLOOKUP(C114,A!A$1:AH$669,31,FALSE)</f>
        <v>0</v>
      </c>
      <c r="U114" s="533">
        <v>0.16500000000000001</v>
      </c>
      <c r="V114" s="533"/>
      <c r="W114" s="533" t="str">
        <f t="shared" ref="W114:W178" si="29">IF(AND(V114&lt;&gt;"",O114=0),"Check",IF(AND(V114=0,O114="Y"),"Check",""))</f>
        <v/>
      </c>
      <c r="X114" s="533">
        <f>IF(V114&lt;&gt;"",COUNTIF(V$46:V114,V114)-1,0)</f>
        <v>0</v>
      </c>
      <c r="Y114" s="533"/>
      <c r="Z114" s="533" t="str">
        <f t="shared" si="27"/>
        <v/>
      </c>
      <c r="AA114" s="533" t="str">
        <f>IFERROR(RANK(Z114,Z$47:Z$226,0)+COUNTIF(Z$47:Z114,Z114)-1,"")</f>
        <v/>
      </c>
      <c r="AB114" s="533">
        <f t="shared" si="18"/>
        <v>0</v>
      </c>
      <c r="AC114" s="533">
        <f t="shared" ref="AC114:AC180" si="30">IF(AA114&lt;=AC$46,1,0)</f>
        <v>0</v>
      </c>
      <c r="AD114" s="533"/>
      <c r="AE114" s="533"/>
      <c r="AF114" s="533"/>
      <c r="AG114" s="533"/>
      <c r="AH114" s="533"/>
      <c r="AI114" s="533"/>
      <c r="AJ114" s="533"/>
      <c r="AK114" s="533"/>
      <c r="AL114" s="533"/>
      <c r="AM114" s="533"/>
      <c r="AN114" s="533"/>
      <c r="AO114" s="533"/>
      <c r="AP114" s="1"/>
      <c r="AQ114" s="1"/>
      <c r="AR114" s="1"/>
      <c r="AS114" s="1"/>
      <c r="AT114" s="1"/>
      <c r="AU114" s="1"/>
    </row>
    <row r="115" spans="1:47" ht="13.5" customHeight="1" x14ac:dyDescent="0.25">
      <c r="A115" s="41"/>
      <c r="B115" s="104" t="s">
        <v>18</v>
      </c>
      <c r="C115" s="837" t="s">
        <v>186</v>
      </c>
      <c r="D115" s="729"/>
      <c r="E115" s="711"/>
      <c r="F115" s="686" t="s">
        <v>182</v>
      </c>
      <c r="G115" s="42" t="s">
        <v>187</v>
      </c>
      <c r="H115" s="27">
        <f>VLOOKUP(C115,A!A$1:H$669,8,FALSE)</f>
        <v>2</v>
      </c>
      <c r="I115" s="27"/>
      <c r="J115" s="28">
        <f>IF(VLOOKUP(C115,A!A$1:H$669,4,FALSE)="y",1,0)</f>
        <v>1</v>
      </c>
      <c r="K115" s="28">
        <f>IF(VLOOKUP(C115,A!A$1:H$669,5,FALSE)="y",1,0)</f>
        <v>0</v>
      </c>
      <c r="L115" s="544" t="str">
        <f t="shared" si="28"/>
        <v>Med</v>
      </c>
      <c r="M115" s="27">
        <f>VLOOKUP(C115,A!A$1:H$669,6,FALSE)</f>
        <v>0</v>
      </c>
      <c r="N115" s="44" t="s">
        <v>39</v>
      </c>
      <c r="O115" s="533" t="str">
        <f>VLOOKUP(C115,A!A$1:G$669,2,FALSE)</f>
        <v>y</v>
      </c>
      <c r="P115" s="533" t="s">
        <v>24</v>
      </c>
      <c r="Q115" s="533" t="str">
        <f>IF(S115=0,"",COUNTIF(Q$12:Q114,"&gt;0")+1)</f>
        <v/>
      </c>
      <c r="R115" s="533" t="str">
        <f>IF(S115=0,"",COUNTIF(R$12:R114,"&gt;0")+1)</f>
        <v/>
      </c>
      <c r="S115" s="533">
        <f t="shared" si="26"/>
        <v>0</v>
      </c>
      <c r="T115" s="533">
        <f>VLOOKUP(C115,A!A$1:AH$669,31,FALSE)</f>
        <v>35</v>
      </c>
      <c r="U115" s="533">
        <v>0.16500000000000001</v>
      </c>
      <c r="V115" s="533">
        <v>68</v>
      </c>
      <c r="W115" s="533" t="str">
        <f t="shared" si="29"/>
        <v/>
      </c>
      <c r="X115" s="533">
        <f>IF(V115&lt;&gt;"",COUNTIF(V$46:V115,V115)-1,0)</f>
        <v>0</v>
      </c>
      <c r="Y115" s="533"/>
      <c r="Z115" s="533">
        <f t="shared" si="27"/>
        <v>-235</v>
      </c>
      <c r="AA115" s="533">
        <f>IFERROR(RANK(Z115,Z$47:Z$226,0)+COUNTIF(Z$47:Z115,Z115)-1,"")</f>
        <v>33</v>
      </c>
      <c r="AB115" s="533">
        <f t="shared" si="18"/>
        <v>0</v>
      </c>
      <c r="AC115" s="533">
        <f t="shared" si="30"/>
        <v>0</v>
      </c>
      <c r="AD115" s="533"/>
      <c r="AE115" s="533"/>
      <c r="AF115" s="533"/>
      <c r="AG115" s="533"/>
      <c r="AH115" s="533"/>
      <c r="AI115" s="533"/>
      <c r="AJ115" s="533"/>
      <c r="AK115" s="533"/>
      <c r="AL115" s="533"/>
      <c r="AM115" s="533"/>
      <c r="AN115" s="533"/>
      <c r="AO115" s="533"/>
      <c r="AP115" s="1"/>
      <c r="AQ115" s="1"/>
      <c r="AR115" s="1"/>
      <c r="AS115" s="1"/>
      <c r="AT115" s="1"/>
      <c r="AU115" s="1"/>
    </row>
    <row r="116" spans="1:47" ht="13.5" hidden="1" customHeight="1" x14ac:dyDescent="0.25">
      <c r="A116" s="41"/>
      <c r="B116" s="104" t="s">
        <v>18</v>
      </c>
      <c r="C116" s="837" t="s">
        <v>188</v>
      </c>
      <c r="D116" s="729"/>
      <c r="E116" s="717"/>
      <c r="F116" s="686" t="s">
        <v>189</v>
      </c>
      <c r="G116" s="42" t="s">
        <v>190</v>
      </c>
      <c r="H116" s="27">
        <f>VLOOKUP(C116,A!A$1:H$669,8,FALSE)</f>
        <v>1</v>
      </c>
      <c r="I116" s="27"/>
      <c r="J116" s="28">
        <f>IF(VLOOKUP(C116,A!A$1:H$669,4,FALSE)="y",1,0)</f>
        <v>0</v>
      </c>
      <c r="K116" s="28">
        <f>IF(VLOOKUP(C116,A!A$1:H$669,5,FALSE)="y",1,0)</f>
        <v>0</v>
      </c>
      <c r="L116" s="544" t="str">
        <f t="shared" si="28"/>
        <v>Low</v>
      </c>
      <c r="M116" s="27">
        <f>VLOOKUP(C116,A!A$1:H$669,6,FALSE)</f>
        <v>0</v>
      </c>
      <c r="N116" s="44" t="s">
        <v>39</v>
      </c>
      <c r="O116" s="533">
        <f>VLOOKUP(C116,A!A$1:G$669,2,FALSE)</f>
        <v>0</v>
      </c>
      <c r="P116" s="533" t="s">
        <v>24</v>
      </c>
      <c r="Q116" s="533" t="str">
        <f>IF(S116=0,"",COUNTIF(Q$12:Q115,"&gt;0")+1)</f>
        <v/>
      </c>
      <c r="R116" s="533" t="str">
        <f>IF(S116=0,"",COUNTIF(R$12:R115,"&gt;0")+1)</f>
        <v/>
      </c>
      <c r="S116" s="533">
        <f t="shared" si="26"/>
        <v>0</v>
      </c>
      <c r="T116" s="533">
        <f>VLOOKUP(C116,A!A$1:AH$669,31,FALSE)</f>
        <v>0</v>
      </c>
      <c r="U116" s="533">
        <v>0.16500000000000001</v>
      </c>
      <c r="V116" s="533"/>
      <c r="W116" s="533" t="str">
        <f t="shared" si="29"/>
        <v/>
      </c>
      <c r="X116" s="533">
        <f>IF(V116&lt;&gt;"",COUNTIF(V$46:V116,V116)-1,0)</f>
        <v>0</v>
      </c>
      <c r="Y116" s="533"/>
      <c r="Z116" s="533" t="str">
        <f t="shared" si="27"/>
        <v/>
      </c>
      <c r="AA116" s="533" t="str">
        <f>IFERROR(RANK(Z116,Z$47:Z$226,0)+COUNTIF(Z$47:Z116,Z116)-1,"")</f>
        <v/>
      </c>
      <c r="AB116" s="533">
        <f t="shared" si="18"/>
        <v>0</v>
      </c>
      <c r="AC116" s="533">
        <f t="shared" si="30"/>
        <v>0</v>
      </c>
      <c r="AD116" s="533"/>
      <c r="AE116" s="533"/>
      <c r="AF116" s="533"/>
      <c r="AG116" s="533"/>
      <c r="AH116" s="533"/>
      <c r="AI116" s="533"/>
      <c r="AJ116" s="533"/>
      <c r="AK116" s="533"/>
      <c r="AL116" s="533"/>
      <c r="AM116" s="533"/>
      <c r="AN116" s="533"/>
      <c r="AO116" s="533"/>
      <c r="AP116" s="1"/>
      <c r="AQ116" s="1"/>
      <c r="AR116" s="1"/>
      <c r="AS116" s="1"/>
      <c r="AT116" s="1"/>
      <c r="AU116" s="1"/>
    </row>
    <row r="117" spans="1:47" ht="11.25" hidden="1" customHeight="1" x14ac:dyDescent="0.25">
      <c r="A117" s="41"/>
      <c r="B117" s="104" t="s">
        <v>18</v>
      </c>
      <c r="C117" s="837" t="s">
        <v>191</v>
      </c>
      <c r="D117" s="729"/>
      <c r="E117" s="717"/>
      <c r="F117" s="686" t="s">
        <v>182</v>
      </c>
      <c r="G117" s="42" t="s">
        <v>192</v>
      </c>
      <c r="H117" s="27">
        <f>VLOOKUP(C117,A!A$1:H$669,8,FALSE)</f>
        <v>1</v>
      </c>
      <c r="I117" s="27"/>
      <c r="J117" s="28">
        <f>IF(VLOOKUP(C117,A!A$1:H$669,4,FALSE)="y",1,0)</f>
        <v>0</v>
      </c>
      <c r="K117" s="28">
        <f>IF(VLOOKUP(C117,A!A$1:H$669,5,FALSE)="y",1,0)</f>
        <v>0</v>
      </c>
      <c r="L117" s="544" t="str">
        <f t="shared" si="28"/>
        <v>Low</v>
      </c>
      <c r="M117" s="27">
        <f>VLOOKUP(C117,A!A$1:H$669,6,FALSE)</f>
        <v>0</v>
      </c>
      <c r="N117" s="44" t="s">
        <v>39</v>
      </c>
      <c r="O117" s="533">
        <f>VLOOKUP(C117,A!A$1:G$669,2,FALSE)</f>
        <v>0</v>
      </c>
      <c r="P117" s="533" t="s">
        <v>24</v>
      </c>
      <c r="Q117" s="533" t="str">
        <f>IF(S117=0,"",COUNTIF(Q$12:Q116,"&gt;0")+1)</f>
        <v/>
      </c>
      <c r="R117" s="533" t="str">
        <f>IF(S117=0,"",COUNTIF(R$12:R116,"&gt;0")+1)</f>
        <v/>
      </c>
      <c r="S117" s="533">
        <f t="shared" si="26"/>
        <v>0</v>
      </c>
      <c r="T117" s="533">
        <f>VLOOKUP(C117,A!A$1:AH$669,31,FALSE)</f>
        <v>0</v>
      </c>
      <c r="U117" s="533">
        <v>0.16500000000000001</v>
      </c>
      <c r="V117" s="533"/>
      <c r="W117" s="533" t="str">
        <f t="shared" si="29"/>
        <v/>
      </c>
      <c r="X117" s="533">
        <f>IF(V117&lt;&gt;"",COUNTIF(V$46:V117,V117)-1,0)</f>
        <v>0</v>
      </c>
      <c r="Y117" s="533"/>
      <c r="Z117" s="533" t="str">
        <f t="shared" si="27"/>
        <v/>
      </c>
      <c r="AA117" s="533" t="str">
        <f>IFERROR(RANK(Z117,Z$47:Z$226,0)+COUNTIF(Z$47:Z117,Z117)-1,"")</f>
        <v/>
      </c>
      <c r="AB117" s="533">
        <f t="shared" si="18"/>
        <v>0</v>
      </c>
      <c r="AC117" s="533">
        <f t="shared" si="30"/>
        <v>0</v>
      </c>
      <c r="AD117" s="533"/>
      <c r="AE117" s="533"/>
      <c r="AF117" s="533"/>
      <c r="AG117" s="533"/>
      <c r="AH117" s="533"/>
      <c r="AI117" s="533"/>
      <c r="AJ117" s="533"/>
      <c r="AK117" s="533"/>
      <c r="AL117" s="533"/>
      <c r="AM117" s="533"/>
      <c r="AN117" s="533"/>
      <c r="AO117" s="533"/>
      <c r="AP117" s="1"/>
      <c r="AQ117" s="1"/>
      <c r="AR117" s="1"/>
      <c r="AS117" s="1"/>
      <c r="AT117" s="1"/>
      <c r="AU117" s="1"/>
    </row>
    <row r="118" spans="1:47" ht="13.5" customHeight="1" x14ac:dyDescent="0.25">
      <c r="A118" s="41"/>
      <c r="B118" s="104" t="s">
        <v>18</v>
      </c>
      <c r="C118" s="837" t="s">
        <v>193</v>
      </c>
      <c r="D118" s="729"/>
      <c r="E118" s="717"/>
      <c r="F118" s="686" t="s">
        <v>194</v>
      </c>
      <c r="G118" s="42" t="s">
        <v>195</v>
      </c>
      <c r="H118" s="27">
        <f>VLOOKUP(C118,A!A$1:H$669,8,FALSE)</f>
        <v>1</v>
      </c>
      <c r="I118" s="27"/>
      <c r="J118" s="28">
        <f>IF(VLOOKUP(C118,A!A$1:H$669,4,FALSE)="y",1,0)</f>
        <v>1</v>
      </c>
      <c r="K118" s="28">
        <f>IF(VLOOKUP(C118,A!A$1:H$669,5,FALSE)="y",1,0)</f>
        <v>0</v>
      </c>
      <c r="L118" s="544" t="str">
        <f t="shared" si="28"/>
        <v>Low</v>
      </c>
      <c r="M118" s="27">
        <f>VLOOKUP(C118,A!A$1:H$669,6,FALSE)</f>
        <v>0</v>
      </c>
      <c r="N118" s="44" t="s">
        <v>31</v>
      </c>
      <c r="O118" s="533" t="str">
        <f>VLOOKUP(C118,A!A$1:G$669,2,FALSE)</f>
        <v>y</v>
      </c>
      <c r="P118" s="533" t="s">
        <v>24</v>
      </c>
      <c r="Q118" s="533" t="str">
        <f>IF(S118=0,"",COUNTIF(Q$12:Q117,"&gt;0")+1)</f>
        <v/>
      </c>
      <c r="R118" s="533" t="str">
        <f>IF(S118=0,"",COUNTIF(R$12:R117,"&gt;0")+1)</f>
        <v/>
      </c>
      <c r="S118" s="533">
        <f t="shared" si="26"/>
        <v>0</v>
      </c>
      <c r="T118" s="533">
        <f>VLOOKUP(C118,A!A$1:AH$669,31,FALSE)</f>
        <v>30</v>
      </c>
      <c r="U118" s="533">
        <v>0.16500000000000001</v>
      </c>
      <c r="V118" s="533">
        <v>44</v>
      </c>
      <c r="W118" s="533" t="str">
        <f t="shared" si="29"/>
        <v/>
      </c>
      <c r="X118" s="533">
        <f>IF(V118&lt;&gt;"",COUNTIF(V$46:V118,V118)-1,0)</f>
        <v>0</v>
      </c>
      <c r="Y118" s="533">
        <f>A23</f>
        <v>0</v>
      </c>
      <c r="Z118" s="533">
        <f t="shared" si="27"/>
        <v>-130</v>
      </c>
      <c r="AA118" s="533">
        <f>IFERROR(RANK(Z118,Z$47:Z$226,0)+COUNTIF(Z$47:Z118,Z118)-1,"")</f>
        <v>3</v>
      </c>
      <c r="AB118" s="533">
        <f t="shared" si="18"/>
        <v>0</v>
      </c>
      <c r="AC118" s="533">
        <f t="shared" si="30"/>
        <v>0</v>
      </c>
      <c r="AD118" s="533"/>
      <c r="AE118" s="533"/>
      <c r="AF118" s="533"/>
      <c r="AG118" s="533"/>
      <c r="AH118" s="533"/>
      <c r="AI118" s="533"/>
      <c r="AJ118" s="533"/>
      <c r="AK118" s="533"/>
      <c r="AL118" s="533"/>
      <c r="AM118" s="533"/>
      <c r="AN118" s="533"/>
      <c r="AO118" s="533"/>
      <c r="AP118" s="1"/>
      <c r="AQ118" s="1"/>
      <c r="AR118" s="1"/>
      <c r="AS118" s="1"/>
      <c r="AT118" s="1"/>
      <c r="AU118" s="1"/>
    </row>
    <row r="119" spans="1:47" ht="11.25" hidden="1" customHeight="1" x14ac:dyDescent="0.25">
      <c r="A119" s="41"/>
      <c r="B119" s="104" t="s">
        <v>18</v>
      </c>
      <c r="C119" s="837" t="s">
        <v>196</v>
      </c>
      <c r="D119" s="729"/>
      <c r="E119" s="717"/>
      <c r="F119" s="686" t="s">
        <v>197</v>
      </c>
      <c r="G119" s="42" t="s">
        <v>198</v>
      </c>
      <c r="H119" s="27">
        <f>VLOOKUP(C119,A!A$1:H$669,8,FALSE)</f>
        <v>1</v>
      </c>
      <c r="I119" s="27"/>
      <c r="J119" s="28">
        <f>IF(VLOOKUP(C119,A!A$1:H$669,4,FALSE)="y",1,0)</f>
        <v>0</v>
      </c>
      <c r="K119" s="28">
        <f>IF(VLOOKUP(C119,A!A$1:H$669,5,FALSE)="y",1,0)</f>
        <v>0</v>
      </c>
      <c r="L119" s="544" t="str">
        <f t="shared" si="28"/>
        <v>Low</v>
      </c>
      <c r="M119" s="27">
        <f>VLOOKUP(C119,A!A$1:H$669,6,FALSE)</f>
        <v>0</v>
      </c>
      <c r="N119" s="44" t="s">
        <v>31</v>
      </c>
      <c r="O119" s="533">
        <f>VLOOKUP(C119,A!A$1:G$669,2,FALSE)</f>
        <v>0</v>
      </c>
      <c r="P119" s="533" t="s">
        <v>24</v>
      </c>
      <c r="Q119" s="533" t="str">
        <f>IF(S119=0,"",COUNTIF(Q$12:Q118,"&gt;0")+1)</f>
        <v/>
      </c>
      <c r="R119" s="533" t="str">
        <f>IF(S119=0,"",COUNTIF(R$12:R118,"&gt;0")+1)</f>
        <v/>
      </c>
      <c r="S119" s="533">
        <f t="shared" si="26"/>
        <v>0</v>
      </c>
      <c r="T119" s="533">
        <f>VLOOKUP(C119,A!A$1:AH$669,31,FALSE)</f>
        <v>0</v>
      </c>
      <c r="U119" s="533">
        <v>0.16500000000000001</v>
      </c>
      <c r="V119" s="533"/>
      <c r="W119" s="533" t="str">
        <f t="shared" si="29"/>
        <v/>
      </c>
      <c r="X119" s="533">
        <f>IF(V119&lt;&gt;"",COUNTIF(V$46:V119,V119)-1,0)</f>
        <v>0</v>
      </c>
      <c r="Y119" s="533"/>
      <c r="Z119" s="533" t="str">
        <f t="shared" si="27"/>
        <v/>
      </c>
      <c r="AA119" s="533" t="str">
        <f>IFERROR(RANK(Z119,Z$47:Z$226,0)+COUNTIF(Z$47:Z119,Z119)-1,"")</f>
        <v/>
      </c>
      <c r="AB119" s="533">
        <f t="shared" ref="AB119:AB185" si="31">IF(AA119&lt;=AB$46,1,0)</f>
        <v>0</v>
      </c>
      <c r="AC119" s="533">
        <f t="shared" si="30"/>
        <v>0</v>
      </c>
      <c r="AD119" s="533"/>
      <c r="AE119" s="533"/>
      <c r="AF119" s="533"/>
      <c r="AG119" s="533"/>
      <c r="AH119" s="533"/>
      <c r="AI119" s="533"/>
      <c r="AJ119" s="533"/>
      <c r="AK119" s="533"/>
      <c r="AL119" s="533"/>
      <c r="AM119" s="533"/>
      <c r="AN119" s="533"/>
      <c r="AO119" s="533"/>
      <c r="AP119" s="417"/>
      <c r="AQ119" s="417"/>
      <c r="AR119" s="417"/>
      <c r="AS119" s="417"/>
    </row>
    <row r="120" spans="1:47" ht="11.25" hidden="1" customHeight="1" x14ac:dyDescent="0.25">
      <c r="A120" s="41"/>
      <c r="B120" s="104" t="s">
        <v>18</v>
      </c>
      <c r="C120" s="837" t="s">
        <v>199</v>
      </c>
      <c r="D120" s="729"/>
      <c r="E120" s="717"/>
      <c r="F120" s="686"/>
      <c r="G120" s="42"/>
      <c r="H120" s="27">
        <f>VLOOKUP(C120,A!A$1:H$669,8,FALSE)</f>
        <v>0</v>
      </c>
      <c r="I120" s="27"/>
      <c r="J120" s="28">
        <f>IF(VLOOKUP(C120,A!A$1:H$669,4,FALSE)="y",1,0)</f>
        <v>0</v>
      </c>
      <c r="K120" s="28">
        <f>IF(VLOOKUP(C120,A!A$1:H$669,5,FALSE)="y",1,0)</f>
        <v>0</v>
      </c>
      <c r="L120" s="544" t="str">
        <f t="shared" si="28"/>
        <v>Low</v>
      </c>
      <c r="M120" s="27">
        <f>VLOOKUP(C120,A!A$1:H$669,6,FALSE)</f>
        <v>0</v>
      </c>
      <c r="N120" s="44"/>
      <c r="O120" s="533">
        <f>VLOOKUP(C120,A!A$1:G$669,2,FALSE)</f>
        <v>0</v>
      </c>
      <c r="P120" s="533" t="s">
        <v>24</v>
      </c>
      <c r="Q120" s="533" t="str">
        <f>IF(S120=0,"",COUNTIF(Q$12:Q119,"&gt;0")+1)</f>
        <v/>
      </c>
      <c r="R120" s="533" t="str">
        <f>IF(S120=0,"",COUNTIF(R$12:R119,"&gt;0")+1)</f>
        <v/>
      </c>
      <c r="S120" s="533">
        <f t="shared" si="26"/>
        <v>0</v>
      </c>
      <c r="T120" s="533">
        <f>VLOOKUP(C120,A!A$1:AH$669,31,FALSE)</f>
        <v>0</v>
      </c>
      <c r="U120" s="533">
        <v>0.16500000000000001</v>
      </c>
      <c r="V120" s="533"/>
      <c r="W120" s="533" t="str">
        <f t="shared" si="29"/>
        <v/>
      </c>
      <c r="X120" s="533">
        <f>IF(V120&lt;&gt;"",COUNTIF(V$46:V120,V120)-1,0)</f>
        <v>0</v>
      </c>
      <c r="Y120" s="533"/>
      <c r="Z120" s="533" t="str">
        <f t="shared" si="27"/>
        <v/>
      </c>
      <c r="AA120" s="533" t="str">
        <f>IFERROR(RANK(Z120,Z$47:Z$226,0)+COUNTIF(Z$47:Z120,Z120)-1,"")</f>
        <v/>
      </c>
      <c r="AB120" s="533">
        <f t="shared" si="31"/>
        <v>0</v>
      </c>
      <c r="AC120" s="533">
        <f t="shared" si="30"/>
        <v>0</v>
      </c>
      <c r="AD120" s="533"/>
      <c r="AE120" s="533"/>
      <c r="AF120" s="533"/>
      <c r="AG120" s="533"/>
      <c r="AH120" s="533"/>
      <c r="AI120" s="533"/>
      <c r="AJ120" s="533"/>
      <c r="AK120" s="533"/>
      <c r="AL120" s="533"/>
      <c r="AM120" s="533"/>
      <c r="AN120" s="533"/>
      <c r="AO120" s="533"/>
      <c r="AP120" s="417"/>
      <c r="AQ120" s="417"/>
      <c r="AR120" s="417"/>
      <c r="AS120" s="417"/>
    </row>
    <row r="121" spans="1:47" ht="13.5" hidden="1" customHeight="1" x14ac:dyDescent="0.25">
      <c r="A121" s="41"/>
      <c r="B121" s="104" t="s">
        <v>18</v>
      </c>
      <c r="C121" s="837" t="s">
        <v>200</v>
      </c>
      <c r="D121" s="729"/>
      <c r="E121" s="717"/>
      <c r="F121" s="686" t="s">
        <v>201</v>
      </c>
      <c r="G121" s="42" t="s">
        <v>202</v>
      </c>
      <c r="H121" s="27">
        <f>VLOOKUP(C121,A!A$1:H$669,8,FALSE)</f>
        <v>1</v>
      </c>
      <c r="I121" s="27"/>
      <c r="J121" s="28">
        <f>IF(VLOOKUP(C121,A!A$1:H$669,4,FALSE)="y",1,0)</f>
        <v>0</v>
      </c>
      <c r="K121" s="28">
        <f>IF(VLOOKUP(C121,A!A$1:H$669,5,FALSE)="y",1,0)</f>
        <v>0</v>
      </c>
      <c r="L121" s="544" t="str">
        <f t="shared" si="28"/>
        <v>Low</v>
      </c>
      <c r="M121" s="27">
        <f>VLOOKUP(C121,A!A$1:H$669,6,FALSE)</f>
        <v>0</v>
      </c>
      <c r="N121" s="44">
        <v>1</v>
      </c>
      <c r="O121" s="533">
        <f>VLOOKUP(C121,A!A$1:G$669,2,FALSE)</f>
        <v>0</v>
      </c>
      <c r="P121" s="533" t="s">
        <v>24</v>
      </c>
      <c r="Q121" s="533" t="str">
        <f>IF(S121=0,"",COUNTIF(Q$12:Q120,"&gt;0")+1)</f>
        <v/>
      </c>
      <c r="R121" s="533" t="str">
        <f>IF(S121=0,"",COUNTIF(R$12:R120,"&gt;0")+1)</f>
        <v/>
      </c>
      <c r="S121" s="533">
        <f t="shared" si="26"/>
        <v>0</v>
      </c>
      <c r="T121" s="533">
        <f>VLOOKUP(C121,A!A$1:AH$669,31,FALSE)</f>
        <v>0</v>
      </c>
      <c r="U121" s="533">
        <v>0.16500000000000001</v>
      </c>
      <c r="V121" s="533"/>
      <c r="W121" s="533" t="str">
        <f t="shared" si="29"/>
        <v/>
      </c>
      <c r="X121" s="533">
        <f>IF(V121&lt;&gt;"",COUNTIF(V$46:V121,V121)-1,0)</f>
        <v>0</v>
      </c>
      <c r="Y121" s="533"/>
      <c r="Z121" s="533" t="str">
        <f t="shared" si="27"/>
        <v/>
      </c>
      <c r="AA121" s="533" t="str">
        <f>IFERROR(RANK(Z121,Z$47:Z$226,0)+COUNTIF(Z$47:Z121,Z121)-1,"")</f>
        <v/>
      </c>
      <c r="AB121" s="533">
        <f t="shared" si="31"/>
        <v>0</v>
      </c>
      <c r="AC121" s="533">
        <f t="shared" si="30"/>
        <v>0</v>
      </c>
      <c r="AD121" s="533"/>
      <c r="AE121" s="533"/>
      <c r="AF121" s="533"/>
      <c r="AG121" s="533"/>
      <c r="AH121" s="533"/>
      <c r="AI121" s="533"/>
      <c r="AJ121" s="533"/>
      <c r="AK121" s="533"/>
      <c r="AL121" s="533"/>
      <c r="AM121" s="533"/>
      <c r="AN121" s="533"/>
      <c r="AO121" s="533"/>
      <c r="AP121" s="417"/>
      <c r="AQ121" s="417"/>
      <c r="AR121" s="417"/>
      <c r="AS121" s="417"/>
    </row>
    <row r="122" spans="1:47" ht="13.5" hidden="1" customHeight="1" x14ac:dyDescent="0.25">
      <c r="A122" s="41"/>
      <c r="B122" s="104" t="s">
        <v>18</v>
      </c>
      <c r="C122" s="837" t="s">
        <v>203</v>
      </c>
      <c r="D122" s="727"/>
      <c r="E122" s="711"/>
      <c r="F122" s="686" t="s">
        <v>204</v>
      </c>
      <c r="G122" s="42" t="s">
        <v>205</v>
      </c>
      <c r="H122" s="27">
        <f>VLOOKUP(C122,A!A$1:H$669,8,FALSE)</f>
        <v>3</v>
      </c>
      <c r="I122" s="27"/>
      <c r="J122" s="28">
        <f>IF(VLOOKUP(C122,A!A$1:H$669,4,FALSE)="y",1,0)</f>
        <v>1</v>
      </c>
      <c r="K122" s="28">
        <f>IF(VLOOKUP(C122,A!A$1:H$669,5,FALSE)="y",1,0)</f>
        <v>0</v>
      </c>
      <c r="L122" s="544" t="str">
        <f t="shared" si="28"/>
        <v>Med</v>
      </c>
      <c r="M122" s="27">
        <f>VLOOKUP(C122,A!A$1:H$669,6,FALSE)</f>
        <v>0</v>
      </c>
      <c r="N122" s="44">
        <v>1</v>
      </c>
      <c r="O122" s="533">
        <f>VLOOKUP(C122,A!A$1:G$669,2,FALSE)</f>
        <v>0</v>
      </c>
      <c r="P122" s="533" t="s">
        <v>24</v>
      </c>
      <c r="Q122" s="533" t="str">
        <f>IF(S122=0,"",COUNTIF(Q$12:Q121,"&gt;0")+1)</f>
        <v/>
      </c>
      <c r="R122" s="533" t="str">
        <f>IF(S122=0,"",COUNTIF(R$12:R121,"&gt;0")+1)</f>
        <v/>
      </c>
      <c r="S122" s="533">
        <f t="shared" si="26"/>
        <v>0</v>
      </c>
      <c r="T122" s="533">
        <f>VLOOKUP(C122,A!A$1:AH$669,31,FALSE)</f>
        <v>35</v>
      </c>
      <c r="U122" s="533">
        <v>0.16500000000000001</v>
      </c>
      <c r="V122" s="533"/>
      <c r="W122" s="533" t="str">
        <f t="shared" si="29"/>
        <v/>
      </c>
      <c r="X122" s="533">
        <f>IF(V122&lt;&gt;"",COUNTIF(V$46:V122,V122)-1,0)</f>
        <v>0</v>
      </c>
      <c r="Y122" s="533"/>
      <c r="Z122" s="533" t="str">
        <f t="shared" si="27"/>
        <v/>
      </c>
      <c r="AA122" s="533" t="str">
        <f>IFERROR(RANK(Z122,Z$47:Z$226,0)+COUNTIF(Z$47:Z122,Z122)-1,"")</f>
        <v/>
      </c>
      <c r="AB122" s="533">
        <f t="shared" si="31"/>
        <v>0</v>
      </c>
      <c r="AC122" s="533">
        <f t="shared" si="30"/>
        <v>0</v>
      </c>
      <c r="AD122" s="533"/>
      <c r="AE122" s="533"/>
      <c r="AF122" s="533"/>
      <c r="AG122" s="533"/>
      <c r="AH122" s="533"/>
      <c r="AI122" s="533"/>
      <c r="AJ122" s="533"/>
      <c r="AK122" s="533"/>
      <c r="AL122" s="533"/>
      <c r="AM122" s="533"/>
      <c r="AN122" s="533"/>
      <c r="AO122" s="533"/>
      <c r="AP122" s="417"/>
      <c r="AQ122" s="417"/>
      <c r="AR122" s="417"/>
      <c r="AS122" s="417"/>
    </row>
    <row r="123" spans="1:47" ht="11.25" hidden="1" customHeight="1" x14ac:dyDescent="0.25">
      <c r="A123" s="41"/>
      <c r="B123" s="104" t="s">
        <v>18</v>
      </c>
      <c r="C123" s="837" t="s">
        <v>206</v>
      </c>
      <c r="D123" s="727"/>
      <c r="E123" s="711"/>
      <c r="F123" s="686" t="s">
        <v>204</v>
      </c>
      <c r="G123" s="42" t="s">
        <v>207</v>
      </c>
      <c r="H123" s="27">
        <f>VLOOKUP(C123,A!A$1:H$669,8,FALSE)</f>
        <v>2</v>
      </c>
      <c r="I123" s="27"/>
      <c r="J123" s="28">
        <f>IF(VLOOKUP(C123,A!A$1:H$669,4,FALSE)="y",1,0)</f>
        <v>0</v>
      </c>
      <c r="K123" s="28">
        <f>IF(VLOOKUP(C123,A!A$1:H$669,5,FALSE)="y",1,0)</f>
        <v>0</v>
      </c>
      <c r="L123" s="544" t="str">
        <f t="shared" si="28"/>
        <v>Low</v>
      </c>
      <c r="M123" s="27">
        <f>VLOOKUP(C123,A!A$1:H$669,6,FALSE)</f>
        <v>0</v>
      </c>
      <c r="N123" s="44">
        <v>1</v>
      </c>
      <c r="O123" s="533">
        <f>VLOOKUP(C123,A!A$1:G$669,2,FALSE)</f>
        <v>0</v>
      </c>
      <c r="P123" s="533" t="s">
        <v>24</v>
      </c>
      <c r="Q123" s="533" t="str">
        <f>IF(S123=0,"",COUNTIF(Q$12:Q122,"&gt;0")+1)</f>
        <v/>
      </c>
      <c r="R123" s="533" t="str">
        <f>IF(S123=0,"",COUNTIF(R$12:R122,"&gt;0")+1)</f>
        <v/>
      </c>
      <c r="S123" s="533">
        <f t="shared" si="26"/>
        <v>0</v>
      </c>
      <c r="T123" s="533">
        <f>VLOOKUP(C123,A!A$1:AH$669,31,FALSE)</f>
        <v>0</v>
      </c>
      <c r="U123" s="533">
        <v>0.16500000000000001</v>
      </c>
      <c r="V123" s="533"/>
      <c r="W123" s="533" t="str">
        <f t="shared" si="29"/>
        <v/>
      </c>
      <c r="X123" s="533">
        <f>IF(V123&lt;&gt;"",COUNTIF(V$46:V123,V123)-1,0)</f>
        <v>0</v>
      </c>
      <c r="Y123" s="533"/>
      <c r="Z123" s="533" t="str">
        <f t="shared" si="27"/>
        <v/>
      </c>
      <c r="AA123" s="533" t="str">
        <f>IFERROR(RANK(Z123,Z$47:Z$226,0)+COUNTIF(Z$47:Z123,Z123)-1,"")</f>
        <v/>
      </c>
      <c r="AB123" s="533">
        <f t="shared" si="31"/>
        <v>0</v>
      </c>
      <c r="AC123" s="533">
        <f t="shared" si="30"/>
        <v>0</v>
      </c>
      <c r="AD123" s="533"/>
      <c r="AE123" s="533"/>
      <c r="AF123" s="533"/>
      <c r="AG123" s="533"/>
      <c r="AH123" s="533"/>
      <c r="AI123" s="533"/>
      <c r="AJ123" s="533"/>
      <c r="AK123" s="533"/>
      <c r="AL123" s="533"/>
      <c r="AM123" s="533"/>
      <c r="AN123" s="533"/>
      <c r="AO123" s="533"/>
      <c r="AP123" s="417"/>
      <c r="AQ123" s="417"/>
      <c r="AR123" s="417"/>
      <c r="AS123" s="417"/>
    </row>
    <row r="124" spans="1:47" ht="11.25" hidden="1" customHeight="1" x14ac:dyDescent="0.25">
      <c r="A124" s="41"/>
      <c r="B124" s="104" t="s">
        <v>18</v>
      </c>
      <c r="C124" s="837" t="s">
        <v>208</v>
      </c>
      <c r="D124" s="727"/>
      <c r="E124" s="711"/>
      <c r="F124" s="686" t="s">
        <v>204</v>
      </c>
      <c r="G124" s="42" t="s">
        <v>209</v>
      </c>
      <c r="H124" s="27">
        <f>VLOOKUP(C124,A!A$1:H$669,8,FALSE)</f>
        <v>2</v>
      </c>
      <c r="I124" s="27"/>
      <c r="J124" s="28">
        <f>IF(VLOOKUP(C124,A!A$1:H$669,4,FALSE)="y",1,0)</f>
        <v>0</v>
      </c>
      <c r="K124" s="28">
        <f>IF(VLOOKUP(C124,A!A$1:H$669,5,FALSE)="y",1,0)</f>
        <v>0</v>
      </c>
      <c r="L124" s="544" t="str">
        <f t="shared" si="28"/>
        <v>Low</v>
      </c>
      <c r="M124" s="27">
        <f>VLOOKUP(C124,A!A$1:H$669,6,FALSE)</f>
        <v>0</v>
      </c>
      <c r="N124" s="44">
        <v>1</v>
      </c>
      <c r="O124" s="533">
        <f>VLOOKUP(C124,A!A$1:G$669,2,FALSE)</f>
        <v>0</v>
      </c>
      <c r="P124" s="533" t="s">
        <v>24</v>
      </c>
      <c r="Q124" s="533" t="str">
        <f>IF(S124=0,"",COUNTIF(Q$12:Q123,"&gt;0")+1)</f>
        <v/>
      </c>
      <c r="R124" s="533" t="str">
        <f>IF(S124=0,"",COUNTIF(R$12:R123,"&gt;0")+1)</f>
        <v/>
      </c>
      <c r="S124" s="533">
        <f t="shared" si="26"/>
        <v>0</v>
      </c>
      <c r="T124" s="533">
        <f>VLOOKUP(C124,A!A$1:AH$669,31,FALSE)</f>
        <v>0</v>
      </c>
      <c r="U124" s="533">
        <v>0.16500000000000001</v>
      </c>
      <c r="V124" s="533"/>
      <c r="W124" s="533" t="str">
        <f t="shared" si="29"/>
        <v/>
      </c>
      <c r="X124" s="533">
        <f>IF(V124&lt;&gt;"",COUNTIF(V$46:V124,V124)-1,0)</f>
        <v>0</v>
      </c>
      <c r="Y124" s="533"/>
      <c r="Z124" s="533" t="str">
        <f t="shared" si="27"/>
        <v/>
      </c>
      <c r="AA124" s="533" t="str">
        <f>IFERROR(RANK(Z124,Z$47:Z$226,0)+COUNTIF(Z$47:Z124,Z124)-1,"")</f>
        <v/>
      </c>
      <c r="AB124" s="533">
        <f t="shared" si="31"/>
        <v>0</v>
      </c>
      <c r="AC124" s="533">
        <f t="shared" si="30"/>
        <v>0</v>
      </c>
      <c r="AD124" s="533"/>
      <c r="AE124" s="533"/>
      <c r="AF124" s="533"/>
      <c r="AG124" s="533"/>
      <c r="AH124" s="533"/>
      <c r="AI124" s="533"/>
      <c r="AJ124" s="533"/>
      <c r="AK124" s="533"/>
      <c r="AL124" s="533"/>
      <c r="AM124" s="533"/>
      <c r="AN124" s="533"/>
      <c r="AO124" s="533"/>
      <c r="AP124" s="417"/>
      <c r="AQ124" s="417"/>
      <c r="AR124" s="417"/>
      <c r="AS124" s="417"/>
    </row>
    <row r="125" spans="1:47" ht="11.25" hidden="1" customHeight="1" x14ac:dyDescent="0.25">
      <c r="A125" s="41"/>
      <c r="B125" s="104" t="s">
        <v>18</v>
      </c>
      <c r="C125" s="837" t="s">
        <v>210</v>
      </c>
      <c r="D125" s="727"/>
      <c r="E125" s="711"/>
      <c r="F125" s="686"/>
      <c r="G125" s="42"/>
      <c r="H125" s="27">
        <f>VLOOKUP(C125,A!A$1:H$669,8,FALSE)</f>
        <v>0</v>
      </c>
      <c r="I125" s="27"/>
      <c r="J125" s="28">
        <f>IF(VLOOKUP(C125,A!A$1:H$669,4,FALSE)="y",1,0)</f>
        <v>0</v>
      </c>
      <c r="K125" s="28">
        <f>IF(VLOOKUP(C125,A!A$1:H$669,5,FALSE)="y",1,0)</f>
        <v>0</v>
      </c>
      <c r="L125" s="544" t="str">
        <f t="shared" si="28"/>
        <v>Low</v>
      </c>
      <c r="M125" s="27">
        <f>VLOOKUP(C125,A!A$1:H$669,6,FALSE)</f>
        <v>0</v>
      </c>
      <c r="N125" s="44">
        <v>1</v>
      </c>
      <c r="O125" s="533">
        <f>VLOOKUP(C125,A!A$1:G$669,2,FALSE)</f>
        <v>0</v>
      </c>
      <c r="P125" s="533" t="s">
        <v>24</v>
      </c>
      <c r="Q125" s="533" t="str">
        <f>IF(S125=0,"",COUNTIF(Q$12:Q124,"&gt;0")+1)</f>
        <v/>
      </c>
      <c r="R125" s="533" t="str">
        <f>IF(S125=0,"",COUNTIF(R$12:R124,"&gt;0")+1)</f>
        <v/>
      </c>
      <c r="S125" s="533">
        <f t="shared" si="26"/>
        <v>0</v>
      </c>
      <c r="T125" s="533">
        <f>VLOOKUP(C125,A!A$1:AH$669,31,FALSE)</f>
        <v>0</v>
      </c>
      <c r="U125" s="533">
        <v>0.16500000000000001</v>
      </c>
      <c r="V125" s="533"/>
      <c r="W125" s="533" t="str">
        <f t="shared" si="29"/>
        <v/>
      </c>
      <c r="X125" s="533">
        <f>IF(V125&lt;&gt;"",COUNTIF(V$46:V125,V125)-1,0)</f>
        <v>0</v>
      </c>
      <c r="Y125" s="533"/>
      <c r="Z125" s="533" t="str">
        <f t="shared" si="27"/>
        <v/>
      </c>
      <c r="AA125" s="533" t="str">
        <f>IFERROR(RANK(Z125,Z$47:Z$226,0)+COUNTIF(Z$47:Z125,Z125)-1,"")</f>
        <v/>
      </c>
      <c r="AB125" s="533">
        <f t="shared" si="31"/>
        <v>0</v>
      </c>
      <c r="AC125" s="533">
        <f t="shared" si="30"/>
        <v>0</v>
      </c>
      <c r="AD125" s="533"/>
      <c r="AE125" s="533"/>
      <c r="AF125" s="533"/>
      <c r="AG125" s="533"/>
      <c r="AH125" s="533"/>
      <c r="AI125" s="533"/>
      <c r="AJ125" s="533"/>
      <c r="AK125" s="533"/>
      <c r="AL125" s="533"/>
      <c r="AM125" s="533"/>
      <c r="AN125" s="533"/>
      <c r="AO125" s="533"/>
      <c r="AP125" s="417"/>
      <c r="AQ125" s="417"/>
      <c r="AR125" s="417"/>
      <c r="AS125" s="417"/>
    </row>
    <row r="126" spans="1:47" ht="11.25" hidden="1" customHeight="1" x14ac:dyDescent="0.25">
      <c r="A126" s="41"/>
      <c r="B126" s="104" t="s">
        <v>18</v>
      </c>
      <c r="C126" s="837" t="s">
        <v>211</v>
      </c>
      <c r="D126" s="727"/>
      <c r="E126" s="711"/>
      <c r="F126" s="686" t="s">
        <v>204</v>
      </c>
      <c r="G126" s="42" t="s">
        <v>212</v>
      </c>
      <c r="H126" s="27">
        <f>VLOOKUP(C126,A!A$1:H$669,8,FALSE)</f>
        <v>2</v>
      </c>
      <c r="I126" s="27"/>
      <c r="J126" s="28">
        <f>IF(VLOOKUP(C126,A!A$1:H$669,4,FALSE)="y",1,0)</f>
        <v>0</v>
      </c>
      <c r="K126" s="28">
        <f>IF(VLOOKUP(C126,A!A$1:H$669,5,FALSE)="y",1,0)</f>
        <v>0</v>
      </c>
      <c r="L126" s="544" t="str">
        <f t="shared" si="28"/>
        <v>Low</v>
      </c>
      <c r="M126" s="27">
        <f>VLOOKUP(C126,A!A$1:H$669,6,FALSE)</f>
        <v>0</v>
      </c>
      <c r="N126" s="44">
        <v>1</v>
      </c>
      <c r="O126" s="533">
        <f>VLOOKUP(C126,A!A$1:G$669,2,FALSE)</f>
        <v>0</v>
      </c>
      <c r="P126" s="533" t="s">
        <v>24</v>
      </c>
      <c r="Q126" s="533" t="str">
        <f>IF(S126=0,"",COUNTIF(Q$12:Q125,"&gt;0")+1)</f>
        <v/>
      </c>
      <c r="R126" s="533" t="str">
        <f>IF(S126=0,"",COUNTIF(R$12:R125,"&gt;0")+1)</f>
        <v/>
      </c>
      <c r="S126" s="533">
        <f t="shared" si="26"/>
        <v>0</v>
      </c>
      <c r="T126" s="533">
        <f>VLOOKUP(C126,A!A$1:AH$669,31,FALSE)</f>
        <v>0</v>
      </c>
      <c r="U126" s="533">
        <v>0.16500000000000001</v>
      </c>
      <c r="V126" s="533"/>
      <c r="W126" s="533" t="str">
        <f t="shared" si="29"/>
        <v/>
      </c>
      <c r="X126" s="533">
        <f>IF(V126&lt;&gt;"",COUNTIF(V$46:V126,V126)-1,0)</f>
        <v>0</v>
      </c>
      <c r="Y126" s="533"/>
      <c r="Z126" s="533" t="str">
        <f t="shared" si="27"/>
        <v/>
      </c>
      <c r="AA126" s="533" t="str">
        <f>IFERROR(RANK(Z126,Z$47:Z$226,0)+COUNTIF(Z$47:Z126,Z126)-1,"")</f>
        <v/>
      </c>
      <c r="AB126" s="533">
        <f t="shared" si="31"/>
        <v>0</v>
      </c>
      <c r="AC126" s="533">
        <f t="shared" si="30"/>
        <v>0</v>
      </c>
      <c r="AD126" s="533"/>
      <c r="AE126" s="533"/>
      <c r="AF126" s="533"/>
      <c r="AG126" s="533"/>
      <c r="AH126" s="533"/>
      <c r="AI126" s="533"/>
      <c r="AJ126" s="533"/>
      <c r="AK126" s="533"/>
      <c r="AL126" s="533"/>
      <c r="AM126" s="533"/>
      <c r="AN126" s="533"/>
      <c r="AO126" s="533"/>
      <c r="AP126" s="417"/>
      <c r="AQ126" s="417"/>
      <c r="AR126" s="417"/>
      <c r="AS126" s="417"/>
    </row>
    <row r="127" spans="1:47" ht="11.25" hidden="1" customHeight="1" x14ac:dyDescent="0.25">
      <c r="A127" s="41"/>
      <c r="B127" s="104" t="s">
        <v>18</v>
      </c>
      <c r="C127" s="837" t="s">
        <v>213</v>
      </c>
      <c r="D127" s="727"/>
      <c r="E127" s="711"/>
      <c r="F127" s="686" t="s">
        <v>204</v>
      </c>
      <c r="G127" s="42" t="s">
        <v>214</v>
      </c>
      <c r="H127" s="27">
        <f>VLOOKUP(C127,A!A$1:H$669,8,FALSE)</f>
        <v>2</v>
      </c>
      <c r="I127" s="27"/>
      <c r="J127" s="28">
        <f>IF(VLOOKUP(C127,A!A$1:H$669,4,FALSE)="y",1,0)</f>
        <v>0</v>
      </c>
      <c r="K127" s="28">
        <f>IF(VLOOKUP(C127,A!A$1:H$669,5,FALSE)="y",1,0)</f>
        <v>0</v>
      </c>
      <c r="L127" s="544" t="str">
        <f t="shared" si="28"/>
        <v>Low</v>
      </c>
      <c r="M127" s="27">
        <f>VLOOKUP(C127,A!A$1:H$669,6,FALSE)</f>
        <v>0</v>
      </c>
      <c r="N127" s="44">
        <v>1</v>
      </c>
      <c r="O127" s="533">
        <f>VLOOKUP(C127,A!A$1:G$669,2,FALSE)</f>
        <v>0</v>
      </c>
      <c r="P127" s="533" t="s">
        <v>24</v>
      </c>
      <c r="Q127" s="533" t="str">
        <f>IF(S127=0,"",COUNTIF(Q$12:Q126,"&gt;0")+1)</f>
        <v/>
      </c>
      <c r="R127" s="533" t="str">
        <f>IF(S127=0,"",COUNTIF(R$12:R126,"&gt;0")+1)</f>
        <v/>
      </c>
      <c r="S127" s="533">
        <f t="shared" si="26"/>
        <v>0</v>
      </c>
      <c r="T127" s="533">
        <f>VLOOKUP(C127,A!A$1:AH$669,31,FALSE)</f>
        <v>0</v>
      </c>
      <c r="U127" s="533">
        <v>0.16500000000000001</v>
      </c>
      <c r="V127" s="533"/>
      <c r="W127" s="533" t="str">
        <f t="shared" si="29"/>
        <v/>
      </c>
      <c r="X127" s="533">
        <f>IF(V127&lt;&gt;"",COUNTIF(V$46:V127,V127)-1,0)</f>
        <v>0</v>
      </c>
      <c r="Y127" s="533"/>
      <c r="Z127" s="533" t="str">
        <f t="shared" si="27"/>
        <v/>
      </c>
      <c r="AA127" s="533" t="str">
        <f>IFERROR(RANK(Z127,Z$47:Z$226,0)+COUNTIF(Z$47:Z127,Z127)-1,"")</f>
        <v/>
      </c>
      <c r="AB127" s="533">
        <f t="shared" si="31"/>
        <v>0</v>
      </c>
      <c r="AC127" s="533">
        <f t="shared" si="30"/>
        <v>0</v>
      </c>
      <c r="AD127" s="533"/>
      <c r="AE127" s="533"/>
      <c r="AF127" s="533"/>
      <c r="AG127" s="533"/>
      <c r="AH127" s="533"/>
      <c r="AI127" s="533"/>
      <c r="AJ127" s="533"/>
      <c r="AK127" s="533"/>
      <c r="AL127" s="533"/>
      <c r="AM127" s="533"/>
      <c r="AN127" s="533"/>
      <c r="AO127" s="533"/>
      <c r="AP127" s="417"/>
      <c r="AQ127" s="417"/>
      <c r="AR127" s="417"/>
      <c r="AS127" s="417"/>
    </row>
    <row r="128" spans="1:47" ht="11.25" hidden="1" customHeight="1" x14ac:dyDescent="0.25">
      <c r="A128" s="41"/>
      <c r="B128" s="104" t="s">
        <v>18</v>
      </c>
      <c r="C128" s="837" t="s">
        <v>215</v>
      </c>
      <c r="D128" s="727"/>
      <c r="E128" s="711"/>
      <c r="F128" s="686" t="s">
        <v>204</v>
      </c>
      <c r="G128" s="42" t="s">
        <v>216</v>
      </c>
      <c r="H128" s="27">
        <f>VLOOKUP(C128,A!A$1:H$669,8,FALSE)</f>
        <v>2</v>
      </c>
      <c r="I128" s="27"/>
      <c r="J128" s="28">
        <f>IF(VLOOKUP(C128,A!A$1:H$669,4,FALSE)="y",1,0)</f>
        <v>0</v>
      </c>
      <c r="K128" s="28">
        <f>IF(VLOOKUP(C128,A!A$1:H$669,5,FALSE)="y",1,0)</f>
        <v>0</v>
      </c>
      <c r="L128" s="544" t="str">
        <f t="shared" si="28"/>
        <v>Low</v>
      </c>
      <c r="M128" s="27">
        <f>VLOOKUP(C128,A!A$1:H$669,6,FALSE)</f>
        <v>0</v>
      </c>
      <c r="N128" s="44">
        <v>1</v>
      </c>
      <c r="O128" s="533">
        <f>VLOOKUP(C128,A!A$1:G$669,2,FALSE)</f>
        <v>0</v>
      </c>
      <c r="P128" s="533" t="s">
        <v>24</v>
      </c>
      <c r="Q128" s="533" t="str">
        <f>IF(S128=0,"",COUNTIF(Q$12:Q127,"&gt;0")+1)</f>
        <v/>
      </c>
      <c r="R128" s="533" t="str">
        <f>IF(S128=0,"",COUNTIF(R$12:R127,"&gt;0")+1)</f>
        <v/>
      </c>
      <c r="S128" s="533">
        <f t="shared" si="26"/>
        <v>0</v>
      </c>
      <c r="T128" s="533">
        <f>VLOOKUP(C128,A!A$1:AH$669,31,FALSE)</f>
        <v>0</v>
      </c>
      <c r="U128" s="533">
        <v>0.16500000000000001</v>
      </c>
      <c r="V128" s="533"/>
      <c r="W128" s="533" t="str">
        <f t="shared" si="29"/>
        <v/>
      </c>
      <c r="X128" s="533">
        <f>IF(V128&lt;&gt;"",COUNTIF(V$46:V128,V128)-1,0)</f>
        <v>0</v>
      </c>
      <c r="Y128" s="533"/>
      <c r="Z128" s="533" t="str">
        <f t="shared" si="27"/>
        <v/>
      </c>
      <c r="AA128" s="533" t="str">
        <f>IFERROR(RANK(Z128,Z$47:Z$226,0)+COUNTIF(Z$47:Z128,Z128)-1,"")</f>
        <v/>
      </c>
      <c r="AB128" s="533">
        <f t="shared" si="31"/>
        <v>0</v>
      </c>
      <c r="AC128" s="533">
        <f t="shared" si="30"/>
        <v>0</v>
      </c>
      <c r="AD128" s="533"/>
      <c r="AE128" s="533"/>
      <c r="AF128" s="533"/>
      <c r="AG128" s="533"/>
      <c r="AH128" s="533"/>
      <c r="AI128" s="533"/>
      <c r="AJ128" s="533"/>
      <c r="AK128" s="533"/>
      <c r="AL128" s="533"/>
      <c r="AM128" s="533"/>
      <c r="AN128" s="533"/>
      <c r="AO128" s="533"/>
      <c r="AP128" s="417"/>
      <c r="AQ128" s="417"/>
      <c r="AR128" s="417"/>
      <c r="AS128" s="417"/>
    </row>
    <row r="129" spans="1:45" ht="13.5" customHeight="1" x14ac:dyDescent="0.25">
      <c r="A129" s="41"/>
      <c r="B129" s="104" t="s">
        <v>18</v>
      </c>
      <c r="C129" s="837" t="s">
        <v>604</v>
      </c>
      <c r="D129" s="727"/>
      <c r="E129" s="711"/>
      <c r="F129" s="686" t="s">
        <v>204</v>
      </c>
      <c r="G129" s="42" t="s">
        <v>218</v>
      </c>
      <c r="H129" s="27">
        <f>VLOOKUP(C129,A!A$1:H$669,8,FALSE)</f>
        <v>2</v>
      </c>
      <c r="I129" s="27"/>
      <c r="J129" s="28">
        <f>IF(VLOOKUP(C129,A!A$1:H$669,4,FALSE)="y",1,0)</f>
        <v>1</v>
      </c>
      <c r="K129" s="28">
        <f>IF(VLOOKUP(C129,A!A$1:H$669,5,FALSE)="y",1,0)</f>
        <v>0</v>
      </c>
      <c r="L129" s="544" t="str">
        <f t="shared" si="28"/>
        <v>Med</v>
      </c>
      <c r="M129" s="27"/>
      <c r="N129" s="44">
        <v>1</v>
      </c>
      <c r="O129" s="533" t="str">
        <f>VLOOKUP(C129,A!A$1:G$669,2,FALSE)</f>
        <v>y</v>
      </c>
      <c r="P129" s="533" t="s">
        <v>24</v>
      </c>
      <c r="Q129" s="533" t="str">
        <f>IF(S129=0,"",COUNTIF(Q$12:Q128,"&gt;0")+1)</f>
        <v/>
      </c>
      <c r="R129" s="533" t="str">
        <f>IF(S129=0,"",COUNTIF(R$12:R128,"&gt;0")+1)</f>
        <v/>
      </c>
      <c r="S129" s="533">
        <f t="shared" ref="S129" si="32">A129+Y129+AB129+AC129</f>
        <v>0</v>
      </c>
      <c r="T129" s="533">
        <f>VLOOKUP(C129,A!A$1:AH$669,31,FALSE)</f>
        <v>35</v>
      </c>
      <c r="U129" s="533">
        <v>0.16500000000000001</v>
      </c>
      <c r="V129" s="533">
        <v>67</v>
      </c>
      <c r="W129" s="533" t="str">
        <f t="shared" ref="W129" si="33">IF(AND(V129&lt;&gt;"",O129=0),"Check",IF(AND(V129=0,O129="Y"),"Check",""))</f>
        <v/>
      </c>
      <c r="X129" s="533">
        <f>IF(V129&lt;&gt;"",COUNTIF(V$46:V129,V129)-1,0)</f>
        <v>0</v>
      </c>
      <c r="Y129" s="533"/>
      <c r="Z129" s="533">
        <f t="shared" ref="Z129" si="34">IFERROR(IF(AND(O129="y",IF(AND(A129&lt;&gt;"",A129=0),0,1)),H129*-100-A129*1000-T129,""),"")</f>
        <v>-235</v>
      </c>
      <c r="AA129" s="533">
        <f>IFERROR(RANK(Z129,Z$47:Z$226,0)+COUNTIF(Z$47:Z129,Z129)-1,"")</f>
        <v>34</v>
      </c>
      <c r="AB129" s="533">
        <f t="shared" ref="AB129" si="35">IF(AA129&lt;=AB$46,1,0)</f>
        <v>0</v>
      </c>
      <c r="AC129" s="533">
        <f t="shared" ref="AC129" si="36">IF(AA129&lt;=AC$46,1,0)</f>
        <v>0</v>
      </c>
      <c r="AD129" s="533"/>
      <c r="AE129" s="533"/>
      <c r="AF129" s="533"/>
      <c r="AG129" s="533"/>
      <c r="AH129" s="533"/>
      <c r="AI129" s="533"/>
      <c r="AJ129" s="533"/>
      <c r="AK129" s="533"/>
      <c r="AL129" s="533"/>
      <c r="AM129" s="533"/>
      <c r="AN129" s="533"/>
      <c r="AO129" s="533"/>
      <c r="AP129" s="417"/>
      <c r="AQ129" s="417"/>
      <c r="AR129" s="417"/>
      <c r="AS129" s="417"/>
    </row>
    <row r="130" spans="1:45" ht="11.25" hidden="1" customHeight="1" x14ac:dyDescent="0.25">
      <c r="A130" s="41"/>
      <c r="B130" s="104" t="s">
        <v>18</v>
      </c>
      <c r="C130" s="837" t="s">
        <v>217</v>
      </c>
      <c r="D130" s="727"/>
      <c r="E130" s="711"/>
      <c r="F130" s="686" t="s">
        <v>204</v>
      </c>
      <c r="G130" s="42" t="s">
        <v>218</v>
      </c>
      <c r="H130" s="27">
        <f>VLOOKUP(C130,A!A$1:H$669,8,FALSE)</f>
        <v>2</v>
      </c>
      <c r="I130" s="27"/>
      <c r="J130" s="28">
        <f>IF(VLOOKUP(C130,A!A$1:H$669,4,FALSE)="y",1,0)</f>
        <v>0</v>
      </c>
      <c r="K130" s="28">
        <f>IF(VLOOKUP(C130,A!A$1:H$669,5,FALSE)="y",1,0)</f>
        <v>0</v>
      </c>
      <c r="L130" s="544" t="str">
        <f t="shared" si="28"/>
        <v>Low</v>
      </c>
      <c r="M130" s="27">
        <f>VLOOKUP(C130,A!A$1:H$669,6,FALSE)</f>
        <v>0</v>
      </c>
      <c r="N130" s="44">
        <v>1</v>
      </c>
      <c r="O130" s="533">
        <f>VLOOKUP(C130,A!A$1:G$669,2,FALSE)</f>
        <v>0</v>
      </c>
      <c r="P130" s="533" t="s">
        <v>24</v>
      </c>
      <c r="Q130" s="533" t="str">
        <f>IF(S130=0,"",COUNTIF(Q$12:Q128,"&gt;0")+1)</f>
        <v/>
      </c>
      <c r="R130" s="533" t="str">
        <f>IF(S130=0,"",COUNTIF(R$12:R128,"&gt;0")+1)</f>
        <v/>
      </c>
      <c r="S130" s="533">
        <f t="shared" si="26"/>
        <v>0</v>
      </c>
      <c r="T130" s="533">
        <f>VLOOKUP(C130,A!A$1:AH$669,31,FALSE)</f>
        <v>0</v>
      </c>
      <c r="U130" s="533">
        <v>0.16500000000000001</v>
      </c>
      <c r="V130" s="533"/>
      <c r="W130" s="533" t="str">
        <f t="shared" si="29"/>
        <v/>
      </c>
      <c r="X130" s="533">
        <f>IF(V130&lt;&gt;"",COUNTIF(V$46:V130,V130)-1,0)</f>
        <v>0</v>
      </c>
      <c r="Y130" s="533"/>
      <c r="Z130" s="533" t="str">
        <f t="shared" si="27"/>
        <v/>
      </c>
      <c r="AA130" s="533" t="str">
        <f>IFERROR(RANK(Z130,Z$47:Z$226,0)+COUNTIF(Z$47:Z130,Z130)-1,"")</f>
        <v/>
      </c>
      <c r="AB130" s="533">
        <f t="shared" si="31"/>
        <v>0</v>
      </c>
      <c r="AC130" s="533">
        <f t="shared" si="30"/>
        <v>0</v>
      </c>
      <c r="AD130" s="533"/>
      <c r="AE130" s="533"/>
      <c r="AF130" s="533"/>
      <c r="AG130" s="533"/>
      <c r="AH130" s="533"/>
      <c r="AI130" s="533"/>
      <c r="AJ130" s="533"/>
      <c r="AK130" s="533"/>
      <c r="AL130" s="533"/>
      <c r="AM130" s="533"/>
      <c r="AN130" s="533"/>
      <c r="AO130" s="533"/>
      <c r="AP130" s="417"/>
      <c r="AQ130" s="417"/>
      <c r="AR130" s="417"/>
      <c r="AS130" s="417"/>
    </row>
    <row r="131" spans="1:45" ht="11.25" hidden="1" customHeight="1" x14ac:dyDescent="0.25">
      <c r="A131" s="41"/>
      <c r="B131" s="104" t="s">
        <v>18</v>
      </c>
      <c r="C131" s="837" t="s">
        <v>219</v>
      </c>
      <c r="D131" s="727"/>
      <c r="E131" s="711"/>
      <c r="F131" s="686" t="s">
        <v>204</v>
      </c>
      <c r="G131" s="42" t="s">
        <v>218</v>
      </c>
      <c r="H131" s="27">
        <f>VLOOKUP(C131,A!A$1:H$669,8,FALSE)</f>
        <v>2</v>
      </c>
      <c r="I131" s="27"/>
      <c r="J131" s="28">
        <f>IF(VLOOKUP(C131,A!A$1:H$669,4,FALSE)="y",1,0)</f>
        <v>0</v>
      </c>
      <c r="K131" s="28">
        <f>IF(VLOOKUP(C131,A!A$1:H$669,5,FALSE)="y",1,0)</f>
        <v>0</v>
      </c>
      <c r="L131" s="544" t="str">
        <f t="shared" si="28"/>
        <v>Low</v>
      </c>
      <c r="M131" s="27">
        <f>VLOOKUP(C131,A!A$1:H$669,6,FALSE)</f>
        <v>0</v>
      </c>
      <c r="N131" s="44">
        <v>1</v>
      </c>
      <c r="O131" s="533">
        <f>VLOOKUP(C131,A!A$1:G$669,2,FALSE)</f>
        <v>0</v>
      </c>
      <c r="P131" s="533" t="s">
        <v>24</v>
      </c>
      <c r="Q131" s="533" t="str">
        <f>IF(S131=0,"",COUNTIF(Q$12:Q130,"&gt;0")+1)</f>
        <v/>
      </c>
      <c r="R131" s="533" t="str">
        <f>IF(S131=0,"",COUNTIF(R$12:R130,"&gt;0")+1)</f>
        <v/>
      </c>
      <c r="S131" s="533">
        <f t="shared" si="26"/>
        <v>0</v>
      </c>
      <c r="T131" s="533">
        <f>VLOOKUP(C131,A!A$1:AH$669,31,FALSE)</f>
        <v>0</v>
      </c>
      <c r="U131" s="533">
        <v>0.16500000000000001</v>
      </c>
      <c r="V131" s="533"/>
      <c r="W131" s="533" t="str">
        <f t="shared" si="29"/>
        <v/>
      </c>
      <c r="X131" s="533">
        <f>IF(V131&lt;&gt;"",COUNTIF(V$46:V131,V131)-1,0)</f>
        <v>0</v>
      </c>
      <c r="Y131" s="533"/>
      <c r="Z131" s="533" t="str">
        <f t="shared" si="27"/>
        <v/>
      </c>
      <c r="AA131" s="533" t="str">
        <f>IFERROR(RANK(Z131,Z$47:Z$226,0)+COUNTIF(Z$47:Z131,Z131)-1,"")</f>
        <v/>
      </c>
      <c r="AB131" s="533">
        <f t="shared" si="31"/>
        <v>0</v>
      </c>
      <c r="AC131" s="533">
        <f t="shared" si="30"/>
        <v>0</v>
      </c>
      <c r="AD131" s="533"/>
      <c r="AE131" s="533"/>
      <c r="AF131" s="533"/>
      <c r="AG131" s="533"/>
      <c r="AH131" s="533"/>
      <c r="AI131" s="533"/>
      <c r="AJ131" s="533"/>
      <c r="AK131" s="533"/>
      <c r="AL131" s="533"/>
      <c r="AM131" s="533"/>
      <c r="AN131" s="533"/>
      <c r="AO131" s="533"/>
      <c r="AP131" s="417"/>
      <c r="AQ131" s="417"/>
      <c r="AR131" s="417"/>
      <c r="AS131" s="417"/>
    </row>
    <row r="132" spans="1:45" ht="11.25" hidden="1" customHeight="1" x14ac:dyDescent="0.25">
      <c r="A132" s="41"/>
      <c r="B132" s="104" t="s">
        <v>18</v>
      </c>
      <c r="C132" s="837" t="s">
        <v>220</v>
      </c>
      <c r="D132" s="727"/>
      <c r="E132" s="711"/>
      <c r="F132" s="686" t="s">
        <v>221</v>
      </c>
      <c r="G132" s="42" t="s">
        <v>222</v>
      </c>
      <c r="H132" s="27">
        <f>VLOOKUP(C132,A!A$1:H$669,8,FALSE)</f>
        <v>0</v>
      </c>
      <c r="I132" s="27"/>
      <c r="J132" s="28">
        <f>IF(VLOOKUP(C132,A!A$1:H$669,4,FALSE)="y",1,0)</f>
        <v>0</v>
      </c>
      <c r="K132" s="28">
        <f>IF(VLOOKUP(C132,A!A$1:H$669,5,FALSE)="y",1,0)</f>
        <v>0</v>
      </c>
      <c r="L132" s="544" t="str">
        <f t="shared" si="28"/>
        <v>Low</v>
      </c>
      <c r="M132" s="27">
        <f>VLOOKUP(C132,A!A$1:H$669,6,FALSE)</f>
        <v>0</v>
      </c>
      <c r="N132" s="44">
        <v>2</v>
      </c>
      <c r="O132" s="533">
        <f>VLOOKUP(C132,A!A$1:G$669,2,FALSE)</f>
        <v>0</v>
      </c>
      <c r="P132" s="533" t="s">
        <v>24</v>
      </c>
      <c r="Q132" s="533" t="str">
        <f>IF(S132=0,"",COUNTIF(Q$12:Q131,"&gt;0")+1)</f>
        <v/>
      </c>
      <c r="R132" s="533" t="str">
        <f>IF(S132=0,"",COUNTIF(R$12:R131,"&gt;0")+1)</f>
        <v/>
      </c>
      <c r="S132" s="533">
        <f t="shared" si="26"/>
        <v>0</v>
      </c>
      <c r="T132" s="533">
        <f>VLOOKUP(C132,A!A$1:AH$669,31,FALSE)</f>
        <v>0</v>
      </c>
      <c r="U132" s="533">
        <v>0.16500000000000001</v>
      </c>
      <c r="V132" s="533"/>
      <c r="W132" s="533" t="str">
        <f t="shared" si="29"/>
        <v/>
      </c>
      <c r="X132" s="533">
        <f>IF(V132&lt;&gt;"",COUNTIF(V$46:V132,V132)-1,0)</f>
        <v>0</v>
      </c>
      <c r="Y132" s="533"/>
      <c r="Z132" s="533" t="str">
        <f t="shared" si="27"/>
        <v/>
      </c>
      <c r="AA132" s="533" t="str">
        <f>IFERROR(RANK(Z132,Z$47:Z$226,0)+COUNTIF(Z$47:Z132,Z132)-1,"")</f>
        <v/>
      </c>
      <c r="AB132" s="533">
        <f t="shared" si="31"/>
        <v>0</v>
      </c>
      <c r="AC132" s="533">
        <f t="shared" si="30"/>
        <v>0</v>
      </c>
      <c r="AD132" s="533"/>
      <c r="AE132" s="533"/>
      <c r="AF132" s="533"/>
      <c r="AG132" s="533"/>
      <c r="AH132" s="533"/>
      <c r="AI132" s="533"/>
      <c r="AJ132" s="533"/>
      <c r="AK132" s="533"/>
      <c r="AL132" s="533"/>
      <c r="AM132" s="533"/>
      <c r="AN132" s="533"/>
      <c r="AO132" s="533"/>
      <c r="AP132" s="417"/>
      <c r="AQ132" s="417"/>
      <c r="AR132" s="417"/>
      <c r="AS132" s="417"/>
    </row>
    <row r="133" spans="1:45" ht="13.5" customHeight="1" x14ac:dyDescent="0.25">
      <c r="A133" s="41"/>
      <c r="B133" s="104" t="s">
        <v>18</v>
      </c>
      <c r="C133" s="837" t="s">
        <v>223</v>
      </c>
      <c r="D133" s="727"/>
      <c r="E133" s="828"/>
      <c r="F133" s="686" t="s">
        <v>221</v>
      </c>
      <c r="G133" s="42" t="s">
        <v>224</v>
      </c>
      <c r="H133" s="27">
        <f>VLOOKUP(C133,A!A$1:H$669,8,FALSE)</f>
        <v>1</v>
      </c>
      <c r="I133" s="27"/>
      <c r="J133" s="28">
        <f>IF(VLOOKUP(C133,A!A$1:H$669,4,FALSE)="y",1,0)</f>
        <v>1</v>
      </c>
      <c r="K133" s="28">
        <f>IF(VLOOKUP(C133,A!A$1:H$669,5,FALSE)="y",1,0)</f>
        <v>0</v>
      </c>
      <c r="L133" s="544" t="str">
        <f t="shared" si="28"/>
        <v>Low</v>
      </c>
      <c r="M133" s="27"/>
      <c r="N133" s="44">
        <v>2</v>
      </c>
      <c r="O133" s="533" t="str">
        <f>VLOOKUP(C133,A!A$1:G$669,2,FALSE)</f>
        <v>y</v>
      </c>
      <c r="P133" s="533" t="s">
        <v>24</v>
      </c>
      <c r="Q133" s="533" t="str">
        <f>IF(S133=0,"",COUNTIF(Q$12:Q132,"&gt;0")+1)</f>
        <v/>
      </c>
      <c r="R133" s="533" t="str">
        <f>IF(S133=0,"",COUNTIF(R$12:R132,"&gt;0")+1)</f>
        <v/>
      </c>
      <c r="S133" s="533">
        <f t="shared" si="26"/>
        <v>0</v>
      </c>
      <c r="T133" s="533">
        <f>VLOOKUP(C133,A!A$1:AH$669,31,FALSE)</f>
        <v>30</v>
      </c>
      <c r="U133" s="533">
        <v>0.16500000000000001</v>
      </c>
      <c r="V133" s="533">
        <v>45</v>
      </c>
      <c r="W133" s="533" t="str">
        <f t="shared" si="29"/>
        <v/>
      </c>
      <c r="X133" s="533">
        <f>IF(V133&lt;&gt;"",COUNTIF(V$46:V133,V133)-1,0)</f>
        <v>0</v>
      </c>
      <c r="Y133" s="533"/>
      <c r="Z133" s="533">
        <f t="shared" si="27"/>
        <v>-130</v>
      </c>
      <c r="AA133" s="533">
        <f>IFERROR(RANK(Z133,Z$47:Z$226,0)+COUNTIF(Z$47:Z133,Z133)-1,"")</f>
        <v>4</v>
      </c>
      <c r="AB133" s="533">
        <f t="shared" si="31"/>
        <v>0</v>
      </c>
      <c r="AC133" s="533">
        <f t="shared" si="30"/>
        <v>0</v>
      </c>
      <c r="AD133" s="533"/>
      <c r="AE133" s="533"/>
      <c r="AF133" s="533"/>
      <c r="AG133" s="533"/>
      <c r="AH133" s="533"/>
      <c r="AI133" s="533"/>
      <c r="AJ133" s="533"/>
      <c r="AK133" s="533"/>
      <c r="AL133" s="533"/>
      <c r="AM133" s="533"/>
      <c r="AN133" s="533"/>
      <c r="AO133" s="533"/>
      <c r="AP133" s="417"/>
      <c r="AQ133" s="417"/>
      <c r="AR133" s="417"/>
      <c r="AS133" s="417"/>
    </row>
    <row r="134" spans="1:45" ht="13.5" hidden="1" customHeight="1" x14ac:dyDescent="0.25">
      <c r="A134" s="41"/>
      <c r="B134" s="104" t="s">
        <v>18</v>
      </c>
      <c r="C134" s="837" t="s">
        <v>225</v>
      </c>
      <c r="D134" s="727"/>
      <c r="E134" s="711"/>
      <c r="F134" s="686" t="s">
        <v>221</v>
      </c>
      <c r="G134" s="42" t="s">
        <v>226</v>
      </c>
      <c r="H134" s="27">
        <f>VLOOKUP(C134,A!A$1:H$669,8,FALSE)</f>
        <v>1</v>
      </c>
      <c r="I134" s="27"/>
      <c r="J134" s="28">
        <f>IF(VLOOKUP(C134,A!A$1:H$669,4,FALSE)="y",1,0)</f>
        <v>0</v>
      </c>
      <c r="K134" s="28">
        <f>IF(VLOOKUP(C134,A!A$1:H$669,5,FALSE)="y",1,0)</f>
        <v>0</v>
      </c>
      <c r="L134" s="544" t="str">
        <f t="shared" si="28"/>
        <v>Med</v>
      </c>
      <c r="M134" s="27">
        <f>VLOOKUP(C134,A!A$1:H$669,6,FALSE)</f>
        <v>0</v>
      </c>
      <c r="N134" s="44">
        <v>2</v>
      </c>
      <c r="O134" s="533">
        <f>VLOOKUP(C134,A!A$1:G$669,2,FALSE)</f>
        <v>0</v>
      </c>
      <c r="P134" s="533" t="s">
        <v>24</v>
      </c>
      <c r="Q134" s="533" t="str">
        <f>IF(S134=0,"",COUNTIF(Q$12:Q133,"&gt;0")+1)</f>
        <v/>
      </c>
      <c r="R134" s="533" t="str">
        <f>IF(S134=0,"",COUNTIF(R$12:R133,"&gt;0")+1)</f>
        <v/>
      </c>
      <c r="S134" s="533">
        <f t="shared" si="26"/>
        <v>0</v>
      </c>
      <c r="T134" s="533">
        <v>35</v>
      </c>
      <c r="U134" s="533">
        <v>0.16500000000000001</v>
      </c>
      <c r="V134" s="533"/>
      <c r="W134" s="533" t="str">
        <f t="shared" si="29"/>
        <v/>
      </c>
      <c r="X134" s="533">
        <f>IF(V134&lt;&gt;"",COUNTIF(V$46:V134,V134)-1,0)</f>
        <v>0</v>
      </c>
      <c r="Y134" s="533"/>
      <c r="Z134" s="533" t="str">
        <f t="shared" si="27"/>
        <v/>
      </c>
      <c r="AA134" s="533" t="str">
        <f>IFERROR(RANK(Z134,Z$47:Z$226,0)+COUNTIF(Z$47:Z134,Z134)-1,"")</f>
        <v/>
      </c>
      <c r="AB134" s="533">
        <f t="shared" si="31"/>
        <v>0</v>
      </c>
      <c r="AC134" s="533">
        <f t="shared" si="30"/>
        <v>0</v>
      </c>
      <c r="AD134" s="533"/>
      <c r="AE134" s="533"/>
      <c r="AF134" s="533"/>
      <c r="AG134" s="533"/>
      <c r="AH134" s="533"/>
      <c r="AI134" s="533"/>
      <c r="AJ134" s="533"/>
      <c r="AK134" s="533"/>
      <c r="AL134" s="533"/>
      <c r="AM134" s="533"/>
      <c r="AN134" s="533"/>
      <c r="AO134" s="533"/>
      <c r="AP134" s="417"/>
      <c r="AQ134" s="417"/>
      <c r="AR134" s="417"/>
      <c r="AS134" s="417"/>
    </row>
    <row r="135" spans="1:45" ht="11.25" hidden="1" customHeight="1" x14ac:dyDescent="0.25">
      <c r="A135" s="41"/>
      <c r="B135" s="104" t="s">
        <v>18</v>
      </c>
      <c r="C135" s="837" t="s">
        <v>227</v>
      </c>
      <c r="D135" s="727"/>
      <c r="E135" s="711"/>
      <c r="F135" s="686" t="s">
        <v>221</v>
      </c>
      <c r="G135" s="42" t="s">
        <v>228</v>
      </c>
      <c r="H135" s="27">
        <f>VLOOKUP(C135,A!A$1:H$669,8,FALSE)</f>
        <v>1</v>
      </c>
      <c r="I135" s="27"/>
      <c r="J135" s="28">
        <f>IF(VLOOKUP(C135,A!A$1:H$669,4,FALSE)="y",1,0)</f>
        <v>0</v>
      </c>
      <c r="K135" s="28">
        <f>IF(VLOOKUP(C135,A!A$1:H$669,5,FALSE)="y",1,0)</f>
        <v>0</v>
      </c>
      <c r="L135" s="544" t="str">
        <f t="shared" si="28"/>
        <v>Low</v>
      </c>
      <c r="M135" s="27">
        <f>VLOOKUP(C135,A!A$1:H$669,6,FALSE)</f>
        <v>0</v>
      </c>
      <c r="N135" s="44">
        <v>2</v>
      </c>
      <c r="O135" s="533">
        <f>VLOOKUP(C135,A!A$1:G$669,2,FALSE)</f>
        <v>0</v>
      </c>
      <c r="P135" s="533" t="s">
        <v>24</v>
      </c>
      <c r="Q135" s="533" t="str">
        <f>IF(S135=0,"",COUNTIF(Q$12:Q134,"&gt;0")+1)</f>
        <v/>
      </c>
      <c r="R135" s="533" t="str">
        <f>IF(S135=0,"",COUNTIF(R$12:R134,"&gt;0")+1)</f>
        <v/>
      </c>
      <c r="S135" s="533">
        <f t="shared" si="26"/>
        <v>0</v>
      </c>
      <c r="T135" s="533">
        <f>VLOOKUP(C135,A!A$1:AH$669,31,FALSE)</f>
        <v>0</v>
      </c>
      <c r="U135" s="533">
        <v>0.16500000000000001</v>
      </c>
      <c r="V135" s="533"/>
      <c r="W135" s="533" t="str">
        <f t="shared" si="29"/>
        <v/>
      </c>
      <c r="X135" s="533">
        <f>IF(V135&lt;&gt;"",COUNTIF(V$46:V135,V135)-1,0)</f>
        <v>0</v>
      </c>
      <c r="Y135" s="533"/>
      <c r="Z135" s="533" t="str">
        <f t="shared" si="27"/>
        <v/>
      </c>
      <c r="AA135" s="533" t="str">
        <f>IFERROR(RANK(Z135,Z$47:Z$226,0)+COUNTIF(Z$47:Z135,Z135)-1,"")</f>
        <v/>
      </c>
      <c r="AB135" s="533">
        <f t="shared" si="31"/>
        <v>0</v>
      </c>
      <c r="AC135" s="533">
        <f t="shared" si="30"/>
        <v>0</v>
      </c>
      <c r="AD135" s="533"/>
      <c r="AE135" s="533"/>
      <c r="AF135" s="533"/>
      <c r="AG135" s="533"/>
      <c r="AH135" s="533"/>
      <c r="AI135" s="533"/>
      <c r="AJ135" s="533"/>
      <c r="AK135" s="533"/>
      <c r="AL135" s="533"/>
      <c r="AM135" s="533"/>
      <c r="AN135" s="533"/>
      <c r="AO135" s="533"/>
      <c r="AP135" s="417"/>
      <c r="AQ135" s="417"/>
      <c r="AR135" s="417"/>
      <c r="AS135" s="417"/>
    </row>
    <row r="136" spans="1:45" ht="13.5" hidden="1" customHeight="1" x14ac:dyDescent="0.25">
      <c r="A136" s="41"/>
      <c r="B136" s="104" t="s">
        <v>18</v>
      </c>
      <c r="C136" s="837" t="s">
        <v>229</v>
      </c>
      <c r="D136" s="636"/>
      <c r="E136" s="711"/>
      <c r="F136" s="686" t="s">
        <v>230</v>
      </c>
      <c r="G136" s="42" t="s">
        <v>231</v>
      </c>
      <c r="H136" s="27">
        <v>3</v>
      </c>
      <c r="I136" s="27" t="s">
        <v>30</v>
      </c>
      <c r="J136" s="28">
        <f>IF(VLOOKUP(C136,A!A$1:H$669,4,FALSE)="y",1,0)</f>
        <v>0</v>
      </c>
      <c r="K136" s="28">
        <f>IF(VLOOKUP(C136,A!A$1:H$669,5,FALSE)="y",1,0)</f>
        <v>0</v>
      </c>
      <c r="L136" s="544" t="str">
        <f t="shared" si="28"/>
        <v>Med</v>
      </c>
      <c r="M136" s="27">
        <f>VLOOKUP(C136,A!A$1:H$669,6,FALSE)</f>
        <v>0</v>
      </c>
      <c r="N136" s="44" t="s">
        <v>39</v>
      </c>
      <c r="O136" s="533">
        <f>VLOOKUP(C136,A!A$1:G$669,2,FALSE)</f>
        <v>0</v>
      </c>
      <c r="P136" s="533" t="s">
        <v>24</v>
      </c>
      <c r="Q136" s="533" t="str">
        <f>IF(S136=0,"",COUNTIF(Q$12:Q135,"&gt;0")+1)</f>
        <v/>
      </c>
      <c r="R136" s="533" t="str">
        <f>IF(S136=0,"",COUNTIF(R$12:R135,"&gt;0")+1)</f>
        <v/>
      </c>
      <c r="S136" s="533">
        <f t="shared" si="26"/>
        <v>0</v>
      </c>
      <c r="T136" s="533">
        <f>VLOOKUP(C136,A!A$1:AH$669,31,FALSE)</f>
        <v>35</v>
      </c>
      <c r="U136" s="533">
        <v>0.16500000000000001</v>
      </c>
      <c r="V136" s="533"/>
      <c r="W136" s="533" t="str">
        <f t="shared" si="29"/>
        <v/>
      </c>
      <c r="X136" s="533">
        <f>IF(V136&lt;&gt;"",COUNTIF(V$46:V136,V136)-1,0)</f>
        <v>0</v>
      </c>
      <c r="Y136" s="533"/>
      <c r="Z136" s="533" t="str">
        <f t="shared" si="27"/>
        <v/>
      </c>
      <c r="AA136" s="533" t="str">
        <f>IFERROR(RANK(Z136,Z$47:Z$226,0)+COUNTIF(Z$47:Z136,Z136)-1,"")</f>
        <v/>
      </c>
      <c r="AB136" s="533">
        <f t="shared" si="31"/>
        <v>0</v>
      </c>
      <c r="AC136" s="533">
        <f t="shared" si="30"/>
        <v>0</v>
      </c>
      <c r="AD136" s="533"/>
      <c r="AE136" s="533"/>
      <c r="AF136" s="533"/>
      <c r="AG136" s="533"/>
      <c r="AH136" s="533"/>
      <c r="AI136" s="533"/>
      <c r="AJ136" s="533"/>
      <c r="AK136" s="533"/>
      <c r="AL136" s="533"/>
      <c r="AM136" s="533"/>
      <c r="AN136" s="533"/>
      <c r="AO136" s="533"/>
      <c r="AP136" s="417"/>
      <c r="AQ136" s="417"/>
      <c r="AR136" s="417"/>
      <c r="AS136" s="417"/>
    </row>
    <row r="137" spans="1:45" ht="13.5" customHeight="1" x14ac:dyDescent="0.25">
      <c r="A137" s="41"/>
      <c r="B137" s="104" t="s">
        <v>18</v>
      </c>
      <c r="C137" s="837" t="s">
        <v>232</v>
      </c>
      <c r="D137" s="727"/>
      <c r="E137" s="711"/>
      <c r="F137" s="686" t="s">
        <v>233</v>
      </c>
      <c r="G137" s="42" t="s">
        <v>234</v>
      </c>
      <c r="H137" s="27">
        <f>VLOOKUP(C137,A!A$1:H$669,8,FALSE)</f>
        <v>1</v>
      </c>
      <c r="I137" s="27"/>
      <c r="J137" s="28">
        <f>IF(VLOOKUP(C137,A!A$1:H$669,4,FALSE)="y",1,0)</f>
        <v>1</v>
      </c>
      <c r="K137" s="28">
        <f>IF(VLOOKUP(C137,A!A$1:H$669,5,FALSE)="y",1,0)</f>
        <v>0</v>
      </c>
      <c r="L137" s="544" t="str">
        <f t="shared" si="28"/>
        <v>Med</v>
      </c>
      <c r="M137" s="27">
        <f>VLOOKUP(C137,A!A$1:H$669,6,FALSE)</f>
        <v>0</v>
      </c>
      <c r="N137" s="44" t="s">
        <v>39</v>
      </c>
      <c r="O137" s="533" t="str">
        <f>VLOOKUP(C137,A!A$1:G$669,2,FALSE)</f>
        <v>y</v>
      </c>
      <c r="P137" s="533" t="s">
        <v>24</v>
      </c>
      <c r="Q137" s="533" t="str">
        <f>IF(S137=0,"",COUNTIF(Q$12:Q136,"&gt;0")+1)</f>
        <v/>
      </c>
      <c r="R137" s="533" t="str">
        <f>IF(S137=0,"",COUNTIF(R$12:R136,"&gt;0")+1)</f>
        <v/>
      </c>
      <c r="S137" s="533">
        <f>A137+Y137+AB137+AC137</f>
        <v>0</v>
      </c>
      <c r="T137" s="533">
        <f>VLOOKUP(C137,A!A$1:AH$669,31,FALSE)</f>
        <v>35</v>
      </c>
      <c r="U137" s="533">
        <v>0.16500000000000001</v>
      </c>
      <c r="V137" s="533">
        <v>66</v>
      </c>
      <c r="W137" s="533" t="str">
        <f t="shared" si="29"/>
        <v/>
      </c>
      <c r="X137" s="533">
        <f>IF(V137&lt;&gt;"",COUNTIF(V$46:V137,V137)-1,0)</f>
        <v>0</v>
      </c>
      <c r="Y137" s="533"/>
      <c r="Z137" s="533">
        <f t="shared" si="27"/>
        <v>-135</v>
      </c>
      <c r="AA137" s="533">
        <f>IFERROR(RANK(Z137,Z$47:Z$226,0)+COUNTIF(Z$47:Z137,Z137)-1,"")</f>
        <v>15</v>
      </c>
      <c r="AB137" s="533">
        <f t="shared" si="31"/>
        <v>0</v>
      </c>
      <c r="AC137" s="533">
        <f t="shared" si="30"/>
        <v>0</v>
      </c>
      <c r="AD137" s="533"/>
      <c r="AE137" s="533"/>
      <c r="AF137" s="533"/>
      <c r="AG137" s="533"/>
      <c r="AH137" s="533"/>
      <c r="AI137" s="533"/>
      <c r="AJ137" s="533"/>
      <c r="AK137" s="533"/>
      <c r="AL137" s="533"/>
      <c r="AM137" s="533"/>
      <c r="AN137" s="533"/>
      <c r="AO137" s="533"/>
      <c r="AP137" s="417"/>
      <c r="AQ137" s="417"/>
      <c r="AR137" s="417"/>
      <c r="AS137" s="417"/>
    </row>
    <row r="138" spans="1:45" ht="11.25" hidden="1" customHeight="1" x14ac:dyDescent="0.25">
      <c r="A138" s="41"/>
      <c r="B138" s="104" t="s">
        <v>18</v>
      </c>
      <c r="C138" s="837" t="s">
        <v>235</v>
      </c>
      <c r="D138" s="727"/>
      <c r="E138" s="828"/>
      <c r="F138" s="686" t="s">
        <v>236</v>
      </c>
      <c r="G138" s="42" t="s">
        <v>237</v>
      </c>
      <c r="H138" s="27">
        <f>VLOOKUP(C138,A!A$1:H$669,8,FALSE)</f>
        <v>3</v>
      </c>
      <c r="I138" s="27"/>
      <c r="J138" s="28">
        <f>IF(VLOOKUP(C138,A!A$1:H$669,4,FALSE)="y",1,0)</f>
        <v>0</v>
      </c>
      <c r="K138" s="28">
        <f>IF(VLOOKUP(C138,A!A$1:H$669,5,FALSE)="y",1,0)</f>
        <v>0</v>
      </c>
      <c r="L138" s="544" t="str">
        <f t="shared" si="28"/>
        <v>Low</v>
      </c>
      <c r="M138" s="27">
        <f>VLOOKUP(C138,A!A$1:H$669,6,FALSE)</f>
        <v>0</v>
      </c>
      <c r="N138" s="44" t="s">
        <v>39</v>
      </c>
      <c r="O138" s="533">
        <f>VLOOKUP(C138,A!A$1:G$669,2,FALSE)</f>
        <v>0</v>
      </c>
      <c r="P138" s="533" t="s">
        <v>24</v>
      </c>
      <c r="Q138" s="533" t="str">
        <f>IF(S138=0,"",COUNTIF(Q$12:Q137,"&gt;0")+1)</f>
        <v/>
      </c>
      <c r="R138" s="533" t="str">
        <f>IF(S138=0,"",COUNTIF(R$12:R137,"&gt;0")+1)</f>
        <v/>
      </c>
      <c r="S138" s="533">
        <f t="shared" si="26"/>
        <v>0</v>
      </c>
      <c r="T138" s="533">
        <f>VLOOKUP(C138,A!A$1:AH$669,31,FALSE)</f>
        <v>0</v>
      </c>
      <c r="U138" s="533">
        <v>0.16500000000000001</v>
      </c>
      <c r="V138" s="533"/>
      <c r="W138" s="533" t="str">
        <f t="shared" si="29"/>
        <v/>
      </c>
      <c r="X138" s="533">
        <f>IF(V138&lt;&gt;"",COUNTIF(V$46:V138,V138)-1,0)</f>
        <v>0</v>
      </c>
      <c r="Y138" s="533"/>
      <c r="Z138" s="533" t="str">
        <f t="shared" si="27"/>
        <v/>
      </c>
      <c r="AA138" s="533" t="str">
        <f>IFERROR(RANK(Z138,Z$47:Z$226,0)+COUNTIF(Z$47:Z138,Z138)-1,"")</f>
        <v/>
      </c>
      <c r="AB138" s="533">
        <f t="shared" si="31"/>
        <v>0</v>
      </c>
      <c r="AC138" s="533">
        <f t="shared" si="30"/>
        <v>0</v>
      </c>
      <c r="AD138" s="533"/>
      <c r="AE138" s="533"/>
      <c r="AF138" s="533"/>
      <c r="AG138" s="533"/>
      <c r="AH138" s="533"/>
      <c r="AI138" s="533"/>
      <c r="AJ138" s="533"/>
      <c r="AK138" s="533"/>
      <c r="AL138" s="533"/>
      <c r="AM138" s="533"/>
      <c r="AN138" s="533"/>
      <c r="AO138" s="533"/>
      <c r="AP138" s="417"/>
      <c r="AQ138" s="417"/>
      <c r="AR138" s="417"/>
      <c r="AS138" s="417"/>
    </row>
    <row r="139" spans="1:45" ht="13.5" hidden="1" customHeight="1" x14ac:dyDescent="0.25">
      <c r="A139" s="41"/>
      <c r="B139" s="104" t="s">
        <v>18</v>
      </c>
      <c r="C139" s="837" t="s">
        <v>238</v>
      </c>
      <c r="D139" s="727"/>
      <c r="E139" s="828"/>
      <c r="F139" s="686" t="s">
        <v>239</v>
      </c>
      <c r="G139" s="42" t="s">
        <v>240</v>
      </c>
      <c r="H139" s="27">
        <f>VLOOKUP(C139,A!A$1:H$669,8,FALSE)</f>
        <v>2</v>
      </c>
      <c r="I139" s="27" t="s">
        <v>30</v>
      </c>
      <c r="J139" s="28">
        <f>IF(VLOOKUP(C139,A!A$1:H$669,4,FALSE)="y",1,0)</f>
        <v>0</v>
      </c>
      <c r="K139" s="28">
        <f>IF(VLOOKUP(C139,A!A$1:H$669,5,FALSE)="y",1,0)</f>
        <v>0</v>
      </c>
      <c r="L139" s="544" t="str">
        <f t="shared" si="28"/>
        <v>Med</v>
      </c>
      <c r="M139" s="27">
        <f>VLOOKUP(C139,A!A$1:H$669,6,FALSE)</f>
        <v>0</v>
      </c>
      <c r="N139" s="44" t="s">
        <v>39</v>
      </c>
      <c r="O139" s="533">
        <f>VLOOKUP(C139,A!A$1:G$669,2,FALSE)</f>
        <v>0</v>
      </c>
      <c r="P139" s="533" t="s">
        <v>24</v>
      </c>
      <c r="Q139" s="533" t="str">
        <f>IF(S139=0,"",COUNTIF(Q$12:Q138,"&gt;0")+1)</f>
        <v/>
      </c>
      <c r="R139" s="533" t="str">
        <f>IF(S139=0,"",COUNTIF(R$12:R138,"&gt;0")+1)</f>
        <v/>
      </c>
      <c r="S139" s="533">
        <f t="shared" si="26"/>
        <v>0</v>
      </c>
      <c r="T139" s="533">
        <f>VLOOKUP(C139,A!A$1:AH$669,31,FALSE)</f>
        <v>35</v>
      </c>
      <c r="U139" s="533">
        <v>0.16500000000000001</v>
      </c>
      <c r="V139" s="533"/>
      <c r="W139" s="533" t="str">
        <f t="shared" si="29"/>
        <v/>
      </c>
      <c r="X139" s="533">
        <f>IF(V139&lt;&gt;"",COUNTIF(V$46:V139,V139)-1,0)</f>
        <v>0</v>
      </c>
      <c r="Y139" s="533"/>
      <c r="Z139" s="533" t="str">
        <f t="shared" si="27"/>
        <v/>
      </c>
      <c r="AA139" s="533" t="str">
        <f>IFERROR(RANK(Z139,Z$47:Z$226,0)+COUNTIF(Z$47:Z139,Z139)-1,"")</f>
        <v/>
      </c>
      <c r="AB139" s="533">
        <f t="shared" si="31"/>
        <v>0</v>
      </c>
      <c r="AC139" s="533">
        <f t="shared" si="30"/>
        <v>0</v>
      </c>
      <c r="AD139" s="533"/>
      <c r="AE139" s="533"/>
      <c r="AF139" s="533"/>
      <c r="AG139" s="533"/>
      <c r="AH139" s="533"/>
      <c r="AI139" s="533"/>
      <c r="AJ139" s="533"/>
      <c r="AK139" s="533"/>
      <c r="AL139" s="533"/>
      <c r="AM139" s="533"/>
      <c r="AN139" s="533"/>
      <c r="AO139" s="533"/>
      <c r="AP139" s="417"/>
      <c r="AQ139" s="417"/>
      <c r="AR139" s="417"/>
      <c r="AS139" s="417"/>
    </row>
    <row r="140" spans="1:45" ht="11.25" hidden="1" customHeight="1" x14ac:dyDescent="0.25">
      <c r="A140" s="41"/>
      <c r="B140" s="104" t="s">
        <v>18</v>
      </c>
      <c r="C140" s="837" t="s">
        <v>241</v>
      </c>
      <c r="D140" s="727"/>
      <c r="E140" s="828"/>
      <c r="F140" s="686" t="s">
        <v>242</v>
      </c>
      <c r="G140" s="42" t="s">
        <v>243</v>
      </c>
      <c r="H140" s="27">
        <f>VLOOKUP(C140,A!A$1:H$669,8,FALSE)</f>
        <v>1</v>
      </c>
      <c r="I140" s="27"/>
      <c r="J140" s="28">
        <f>IF(VLOOKUP(C140,A!A$1:H$669,4,FALSE)="y",1,0)</f>
        <v>0</v>
      </c>
      <c r="K140" s="28">
        <f>IF(VLOOKUP(C140,A!A$1:H$669,5,FALSE)="y",1,0)</f>
        <v>0</v>
      </c>
      <c r="L140" s="544" t="str">
        <f t="shared" si="28"/>
        <v>Low</v>
      </c>
      <c r="M140" s="27">
        <f>VLOOKUP(C140,A!A$1:H$669,6,FALSE)</f>
        <v>0</v>
      </c>
      <c r="N140" s="44">
        <v>1</v>
      </c>
      <c r="O140" s="533">
        <f>VLOOKUP(C140,A!A$1:G$669,2,FALSE)</f>
        <v>0</v>
      </c>
      <c r="P140" s="533" t="s">
        <v>24</v>
      </c>
      <c r="Q140" s="533" t="str">
        <f>IF(S140=0,"",COUNTIF(Q$12:Q139,"&gt;0")+1)</f>
        <v/>
      </c>
      <c r="R140" s="533" t="str">
        <f>IF(S140=0,"",COUNTIF(R$12:R139,"&gt;0")+1)</f>
        <v/>
      </c>
      <c r="S140" s="533">
        <f t="shared" si="26"/>
        <v>0</v>
      </c>
      <c r="T140" s="533">
        <f>VLOOKUP(C140,A!A$1:AH$669,31,FALSE)</f>
        <v>0</v>
      </c>
      <c r="U140" s="533">
        <v>0.16500000000000001</v>
      </c>
      <c r="V140" s="533"/>
      <c r="W140" s="533" t="str">
        <f t="shared" si="29"/>
        <v/>
      </c>
      <c r="X140" s="533">
        <f>IF(V140&lt;&gt;"",COUNTIF(V$46:V140,V140)-1,0)</f>
        <v>0</v>
      </c>
      <c r="Y140" s="533"/>
      <c r="Z140" s="533" t="str">
        <f t="shared" si="27"/>
        <v/>
      </c>
      <c r="AA140" s="533" t="str">
        <f>IFERROR(RANK(Z140,Z$47:Z$226,0)+COUNTIF(Z$47:Z140,Z140)-1,"")</f>
        <v/>
      </c>
      <c r="AB140" s="533">
        <f t="shared" si="31"/>
        <v>0</v>
      </c>
      <c r="AC140" s="533">
        <f t="shared" si="30"/>
        <v>0</v>
      </c>
      <c r="AD140" s="533"/>
      <c r="AE140" s="533"/>
      <c r="AF140" s="533"/>
      <c r="AG140" s="533"/>
      <c r="AH140" s="533"/>
      <c r="AI140" s="533"/>
      <c r="AJ140" s="533"/>
      <c r="AK140" s="533"/>
      <c r="AL140" s="533"/>
      <c r="AM140" s="533"/>
      <c r="AN140" s="533"/>
      <c r="AO140" s="533"/>
      <c r="AP140" s="417"/>
      <c r="AQ140" s="417"/>
      <c r="AR140" s="417"/>
      <c r="AS140" s="417"/>
    </row>
    <row r="141" spans="1:45" ht="11.25" hidden="1" customHeight="1" x14ac:dyDescent="0.25">
      <c r="A141" s="41"/>
      <c r="B141" s="104" t="s">
        <v>18</v>
      </c>
      <c r="C141" s="837" t="s">
        <v>1201</v>
      </c>
      <c r="D141" s="727"/>
      <c r="E141" s="828"/>
      <c r="F141" s="686" t="s">
        <v>245</v>
      </c>
      <c r="G141" s="42" t="s">
        <v>246</v>
      </c>
      <c r="H141" s="27">
        <f>VLOOKUP(C141,A!A$1:H$669,8,FALSE)</f>
        <v>1</v>
      </c>
      <c r="I141" s="27"/>
      <c r="J141" s="28">
        <f>IF(VLOOKUP(C141,A!A$1:H$669,4,FALSE)="y",1,0)</f>
        <v>0</v>
      </c>
      <c r="K141" s="28">
        <f>IF(VLOOKUP(C141,A!A$1:H$669,5,FALSE)="y",1,0)</f>
        <v>0</v>
      </c>
      <c r="L141" s="544" t="str">
        <f t="shared" si="28"/>
        <v>Low</v>
      </c>
      <c r="M141" s="27">
        <f>VLOOKUP(C141,A!A$1:H$669,6,FALSE)</f>
        <v>0</v>
      </c>
      <c r="N141" s="44">
        <v>1</v>
      </c>
      <c r="O141" s="533">
        <f>VLOOKUP(C141,A!A$1:G$669,2,FALSE)</f>
        <v>0</v>
      </c>
      <c r="P141" s="533" t="s">
        <v>24</v>
      </c>
      <c r="Q141" s="533" t="str">
        <f>IF(S141=0,"",COUNTIF(Q$12:Q140,"&gt;0")+1)</f>
        <v/>
      </c>
      <c r="R141" s="533" t="str">
        <f>IF(S141=0,"",COUNTIF(R$12:R140,"&gt;0")+1)</f>
        <v/>
      </c>
      <c r="S141" s="533">
        <f t="shared" si="26"/>
        <v>0</v>
      </c>
      <c r="T141" s="533">
        <f>VLOOKUP(C141,A!A$1:AH$669,31,FALSE)</f>
        <v>0</v>
      </c>
      <c r="U141" s="533">
        <v>0.16500000000000001</v>
      </c>
      <c r="V141" s="533"/>
      <c r="W141" s="533" t="str">
        <f t="shared" si="29"/>
        <v/>
      </c>
      <c r="X141" s="533">
        <f>IF(V141&lt;&gt;"",COUNTIF(V$46:V141,V141)-1,0)</f>
        <v>0</v>
      </c>
      <c r="Y141" s="533"/>
      <c r="Z141" s="533" t="str">
        <f t="shared" si="27"/>
        <v/>
      </c>
      <c r="AA141" s="533" t="str">
        <f>IFERROR(RANK(Z141,Z$47:Z$226,0)+COUNTIF(Z$47:Z141,Z141)-1,"")</f>
        <v/>
      </c>
      <c r="AB141" s="533">
        <f t="shared" si="31"/>
        <v>0</v>
      </c>
      <c r="AC141" s="533">
        <f t="shared" si="30"/>
        <v>0</v>
      </c>
      <c r="AD141" s="533"/>
      <c r="AE141" s="533"/>
      <c r="AF141" s="533"/>
      <c r="AG141" s="533"/>
      <c r="AH141" s="533"/>
      <c r="AI141" s="533"/>
      <c r="AJ141" s="533"/>
      <c r="AK141" s="533"/>
      <c r="AL141" s="533"/>
      <c r="AM141" s="533"/>
      <c r="AN141" s="533"/>
      <c r="AO141" s="533"/>
      <c r="AP141" s="417"/>
      <c r="AQ141" s="417"/>
      <c r="AR141" s="417"/>
      <c r="AS141" s="417"/>
    </row>
    <row r="142" spans="1:45" ht="11.25" hidden="1" customHeight="1" x14ac:dyDescent="0.25">
      <c r="A142" s="41"/>
      <c r="B142" s="104" t="s">
        <v>18</v>
      </c>
      <c r="C142" s="837" t="s">
        <v>247</v>
      </c>
      <c r="D142" s="727"/>
      <c r="E142" s="828"/>
      <c r="F142" s="686" t="s">
        <v>242</v>
      </c>
      <c r="G142" s="42" t="s">
        <v>248</v>
      </c>
      <c r="H142" s="27">
        <f>VLOOKUP(C142,A!A$1:H$669,8,FALSE)</f>
        <v>1</v>
      </c>
      <c r="I142" s="27"/>
      <c r="J142" s="28">
        <f>IF(VLOOKUP(C142,A!A$1:H$669,4,FALSE)="y",1,0)</f>
        <v>0</v>
      </c>
      <c r="K142" s="28">
        <f>IF(VLOOKUP(C142,A!A$1:H$669,5,FALSE)="y",1,0)</f>
        <v>0</v>
      </c>
      <c r="L142" s="544" t="str">
        <f t="shared" si="28"/>
        <v>Low</v>
      </c>
      <c r="M142" s="27">
        <f>VLOOKUP(C142,A!A$1:H$669,6,FALSE)</f>
        <v>0</v>
      </c>
      <c r="N142" s="44">
        <v>1</v>
      </c>
      <c r="O142" s="533">
        <f>VLOOKUP(C142,A!A$1:G$669,2,FALSE)</f>
        <v>0</v>
      </c>
      <c r="P142" s="533" t="s">
        <v>24</v>
      </c>
      <c r="Q142" s="533" t="str">
        <f>IF(S142=0,"",COUNTIF(Q$12:Q141,"&gt;0")+1)</f>
        <v/>
      </c>
      <c r="R142" s="533" t="str">
        <f>IF(S142=0,"",COUNTIF(R$12:R141,"&gt;0")+1)</f>
        <v/>
      </c>
      <c r="S142" s="533">
        <f t="shared" si="26"/>
        <v>0</v>
      </c>
      <c r="T142" s="533">
        <f>VLOOKUP(C142,A!A$1:AH$669,31,FALSE)</f>
        <v>0</v>
      </c>
      <c r="U142" s="533">
        <v>0.16500000000000001</v>
      </c>
      <c r="V142" s="533"/>
      <c r="W142" s="533" t="str">
        <f t="shared" si="29"/>
        <v/>
      </c>
      <c r="X142" s="533">
        <f>IF(V142&lt;&gt;"",COUNTIF(V$46:V142,V142)-1,0)</f>
        <v>0</v>
      </c>
      <c r="Y142" s="533"/>
      <c r="Z142" s="533" t="str">
        <f t="shared" si="27"/>
        <v/>
      </c>
      <c r="AA142" s="533" t="str">
        <f>IFERROR(RANK(Z142,Z$47:Z$226,0)+COUNTIF(Z$47:Z142,Z142)-1,"")</f>
        <v/>
      </c>
      <c r="AB142" s="533">
        <f t="shared" si="31"/>
        <v>0</v>
      </c>
      <c r="AC142" s="533">
        <f t="shared" si="30"/>
        <v>0</v>
      </c>
      <c r="AD142" s="533"/>
      <c r="AE142" s="533"/>
      <c r="AF142" s="533"/>
      <c r="AG142" s="533"/>
      <c r="AH142" s="533"/>
      <c r="AI142" s="533"/>
      <c r="AJ142" s="533"/>
      <c r="AK142" s="533"/>
      <c r="AL142" s="533"/>
      <c r="AM142" s="533"/>
      <c r="AN142" s="533"/>
      <c r="AO142" s="533"/>
      <c r="AP142" s="417"/>
      <c r="AQ142" s="417"/>
      <c r="AR142" s="417"/>
      <c r="AS142" s="417"/>
    </row>
    <row r="143" spans="1:45" ht="13.5" customHeight="1" x14ac:dyDescent="0.25">
      <c r="A143" s="41"/>
      <c r="B143" s="104" t="s">
        <v>18</v>
      </c>
      <c r="C143" s="1057" t="s">
        <v>249</v>
      </c>
      <c r="D143" s="728"/>
      <c r="E143" s="711" t="s">
        <v>1867</v>
      </c>
      <c r="F143" s="686" t="s">
        <v>245</v>
      </c>
      <c r="G143" s="42" t="s">
        <v>250</v>
      </c>
      <c r="H143" s="27">
        <f>VLOOKUP(C143,A!A$1:H$669,8,FALSE)</f>
        <v>1</v>
      </c>
      <c r="I143" s="27"/>
      <c r="J143" s="28">
        <f>IF(VLOOKUP(C143,A!A$1:H$669,4,FALSE)="y",1,0)</f>
        <v>1</v>
      </c>
      <c r="K143" s="28">
        <f>IF(VLOOKUP(C143,A!A$1:H$669,5,FALSE)="y",1,0)</f>
        <v>0</v>
      </c>
      <c r="L143" s="544" t="str">
        <f t="shared" si="28"/>
        <v>Med</v>
      </c>
      <c r="M143" s="27">
        <f>VLOOKUP(C143,A!A$1:H$669,6,FALSE)</f>
        <v>0</v>
      </c>
      <c r="N143" s="44" t="s">
        <v>39</v>
      </c>
      <c r="O143" s="533" t="str">
        <f>VLOOKUP(C143,A!A$1:G$669,2,FALSE)</f>
        <v>y</v>
      </c>
      <c r="P143" s="533" t="s">
        <v>24</v>
      </c>
      <c r="Q143" s="533" t="str">
        <f>IF(S143=0,"",COUNTIF(Q$12:Q142,"&gt;0")+1)</f>
        <v/>
      </c>
      <c r="R143" s="533" t="str">
        <f>IF(S143=0,"",COUNTIF(R$12:R142,"&gt;0")+1)</f>
        <v/>
      </c>
      <c r="S143" s="533">
        <f t="shared" si="26"/>
        <v>0</v>
      </c>
      <c r="T143" s="533">
        <f>VLOOKUP(C143,A!A$1:AH$669,31,FALSE)</f>
        <v>35</v>
      </c>
      <c r="U143" s="533">
        <v>0.16500000000000001</v>
      </c>
      <c r="V143" s="533">
        <v>46</v>
      </c>
      <c r="W143" s="533" t="str">
        <f t="shared" si="29"/>
        <v/>
      </c>
      <c r="X143" s="533">
        <f>IF(V143&lt;&gt;"",COUNTIF(V$46:V143,V143)-1,0)</f>
        <v>0</v>
      </c>
      <c r="Y143" s="533">
        <f>A23</f>
        <v>0</v>
      </c>
      <c r="Z143" s="533">
        <f t="shared" si="27"/>
        <v>-135</v>
      </c>
      <c r="AA143" s="533">
        <f>IFERROR(RANK(Z143,Z$47:Z$226,0)+COUNTIF(Z$47:Z143,Z143)-1,"")</f>
        <v>16</v>
      </c>
      <c r="AB143" s="533">
        <f t="shared" si="31"/>
        <v>0</v>
      </c>
      <c r="AC143" s="533">
        <f t="shared" si="30"/>
        <v>0</v>
      </c>
      <c r="AD143" s="533"/>
      <c r="AE143" s="533"/>
      <c r="AF143" s="533"/>
      <c r="AG143" s="533"/>
      <c r="AH143" s="533"/>
      <c r="AI143" s="533"/>
      <c r="AJ143" s="533"/>
      <c r="AK143" s="533"/>
      <c r="AL143" s="533"/>
      <c r="AM143" s="533"/>
      <c r="AN143" s="533"/>
      <c r="AO143" s="533"/>
      <c r="AP143" s="417"/>
      <c r="AQ143" s="417"/>
      <c r="AR143" s="417"/>
      <c r="AS143" s="417"/>
    </row>
    <row r="144" spans="1:45" ht="11.25" hidden="1" customHeight="1" x14ac:dyDescent="0.25">
      <c r="A144" s="41"/>
      <c r="B144" s="104" t="s">
        <v>18</v>
      </c>
      <c r="C144" s="1057" t="s">
        <v>1201</v>
      </c>
      <c r="D144" s="728"/>
      <c r="E144" s="711"/>
      <c r="F144" s="686" t="s">
        <v>251</v>
      </c>
      <c r="G144" s="42" t="s">
        <v>252</v>
      </c>
      <c r="H144" s="27">
        <f>VLOOKUP(C144,A!A$1:H$669,8,FALSE)</f>
        <v>1</v>
      </c>
      <c r="I144" s="27"/>
      <c r="J144" s="28">
        <f>IF(VLOOKUP(C144,A!A$1:H$669,4,FALSE)="y",1,0)</f>
        <v>0</v>
      </c>
      <c r="K144" s="28">
        <f>IF(VLOOKUP(C144,A!A$1:H$669,5,FALSE)="y",1,0)</f>
        <v>0</v>
      </c>
      <c r="L144" s="544" t="str">
        <f t="shared" si="28"/>
        <v>Low</v>
      </c>
      <c r="M144" s="27">
        <f>VLOOKUP(C144,A!A$1:H$669,6,FALSE)</f>
        <v>0</v>
      </c>
      <c r="N144" s="44">
        <v>1</v>
      </c>
      <c r="O144" s="533">
        <f>VLOOKUP(C144,A!A$1:G$669,2,FALSE)</f>
        <v>0</v>
      </c>
      <c r="P144" s="533" t="s">
        <v>24</v>
      </c>
      <c r="Q144" s="533" t="str">
        <f>IF(S144=0,"",COUNTIF(Q$12:Q143,"&gt;0")+1)</f>
        <v/>
      </c>
      <c r="R144" s="533" t="str">
        <f>IF(S144=0,"",COUNTIF(R$12:R143,"&gt;0")+1)</f>
        <v/>
      </c>
      <c r="S144" s="533">
        <f t="shared" si="26"/>
        <v>0</v>
      </c>
      <c r="T144" s="533">
        <f>VLOOKUP(C144,A!A$1:AH$669,31,FALSE)</f>
        <v>0</v>
      </c>
      <c r="U144" s="533">
        <v>0.16500000000000001</v>
      </c>
      <c r="V144" s="533"/>
      <c r="W144" s="533" t="str">
        <f t="shared" si="29"/>
        <v/>
      </c>
      <c r="X144" s="533">
        <f>IF(V144&lt;&gt;"",COUNTIF(V$46:V144,V144)-1,0)</f>
        <v>0</v>
      </c>
      <c r="Y144" s="533"/>
      <c r="Z144" s="533" t="str">
        <f t="shared" si="27"/>
        <v/>
      </c>
      <c r="AA144" s="533" t="str">
        <f>IFERROR(RANK(Z144,Z$47:Z$226,0)+COUNTIF(Z$47:Z144,Z144)-1,"")</f>
        <v/>
      </c>
      <c r="AB144" s="533">
        <f t="shared" si="31"/>
        <v>0</v>
      </c>
      <c r="AC144" s="533">
        <f t="shared" si="30"/>
        <v>0</v>
      </c>
      <c r="AD144" s="533"/>
      <c r="AE144" s="533"/>
      <c r="AF144" s="533"/>
      <c r="AG144" s="533"/>
      <c r="AH144" s="533"/>
      <c r="AI144" s="533"/>
      <c r="AJ144" s="533"/>
      <c r="AK144" s="533"/>
      <c r="AL144" s="533"/>
      <c r="AM144" s="533"/>
      <c r="AN144" s="533"/>
      <c r="AO144" s="533"/>
      <c r="AP144" s="417"/>
      <c r="AQ144" s="417"/>
      <c r="AR144" s="417"/>
      <c r="AS144" s="417"/>
    </row>
    <row r="145" spans="1:45" ht="11.25" hidden="1" customHeight="1" x14ac:dyDescent="0.25">
      <c r="A145" s="41"/>
      <c r="B145" s="104" t="s">
        <v>18</v>
      </c>
      <c r="C145" s="1057" t="s">
        <v>1202</v>
      </c>
      <c r="D145" s="728"/>
      <c r="E145" s="711"/>
      <c r="F145" s="686" t="s">
        <v>251</v>
      </c>
      <c r="G145" s="42" t="s">
        <v>1204</v>
      </c>
      <c r="H145" s="27">
        <f>VLOOKUP(C145,A!A$1:H$669,8,FALSE)</f>
        <v>2</v>
      </c>
      <c r="I145" s="27"/>
      <c r="J145" s="28">
        <f>IF(VLOOKUP(C145,A!A$1:H$669,4,FALSE)="y",1,0)</f>
        <v>0</v>
      </c>
      <c r="K145" s="28">
        <f>IF(VLOOKUP(C145,A!A$1:H$669,5,FALSE)="y",1,0)</f>
        <v>0</v>
      </c>
      <c r="L145" s="544" t="str">
        <f t="shared" si="28"/>
        <v>Low</v>
      </c>
      <c r="M145" s="27">
        <f>VLOOKUP(C145,A!A$1:H$669,6,FALSE)</f>
        <v>0</v>
      </c>
      <c r="N145" s="44">
        <v>2</v>
      </c>
      <c r="O145" s="533">
        <f>VLOOKUP(C145,A!A$1:G$669,2,FALSE)</f>
        <v>0</v>
      </c>
      <c r="P145" s="533" t="s">
        <v>24</v>
      </c>
      <c r="Q145" s="533" t="str">
        <f>IF(S145=0,"",COUNTIF(Q$12:Q144,"&gt;0")+1)</f>
        <v/>
      </c>
      <c r="R145" s="533" t="str">
        <f>IF(S145=0,"",COUNTIF(R$12:R144,"&gt;0")+1)</f>
        <v/>
      </c>
      <c r="S145" s="533">
        <f t="shared" si="26"/>
        <v>0</v>
      </c>
      <c r="T145" s="533">
        <f>VLOOKUP(C145,A!A$1:AH$669,31,FALSE)</f>
        <v>0</v>
      </c>
      <c r="U145" s="533">
        <v>0.16500000000000001</v>
      </c>
      <c r="V145" s="533"/>
      <c r="W145" s="533" t="str">
        <f t="shared" si="29"/>
        <v/>
      </c>
      <c r="X145" s="533">
        <f>IF(V145&lt;&gt;"",COUNTIF(V$46:V145,V145)-1,0)</f>
        <v>0</v>
      </c>
      <c r="Y145" s="533"/>
      <c r="Z145" s="533" t="str">
        <f t="shared" si="27"/>
        <v/>
      </c>
      <c r="AA145" s="533" t="str">
        <f>IFERROR(RANK(Z145,Z$47:Z$226,0)+COUNTIF(Z$47:Z145,Z145)-1,"")</f>
        <v/>
      </c>
      <c r="AB145" s="533">
        <f t="shared" si="31"/>
        <v>0</v>
      </c>
      <c r="AC145" s="533">
        <f t="shared" si="30"/>
        <v>0</v>
      </c>
      <c r="AD145" s="533"/>
      <c r="AE145" s="533"/>
      <c r="AF145" s="533"/>
      <c r="AG145" s="533"/>
      <c r="AH145" s="533"/>
      <c r="AI145" s="533"/>
      <c r="AJ145" s="533"/>
      <c r="AK145" s="533"/>
      <c r="AL145" s="533"/>
      <c r="AM145" s="533"/>
      <c r="AN145" s="533"/>
      <c r="AO145" s="533"/>
      <c r="AP145" s="417"/>
      <c r="AQ145" s="417"/>
      <c r="AR145" s="417"/>
      <c r="AS145" s="417"/>
    </row>
    <row r="146" spans="1:45" ht="11.25" hidden="1" customHeight="1" x14ac:dyDescent="0.25">
      <c r="A146" s="41"/>
      <c r="B146" s="104" t="s">
        <v>18</v>
      </c>
      <c r="C146" s="1057" t="s">
        <v>1203</v>
      </c>
      <c r="D146" s="728"/>
      <c r="E146" s="711"/>
      <c r="F146" s="686" t="s">
        <v>251</v>
      </c>
      <c r="G146" s="42" t="s">
        <v>1205</v>
      </c>
      <c r="H146" s="27">
        <f>VLOOKUP(C146,A!A$1:H$669,8,FALSE)</f>
        <v>2</v>
      </c>
      <c r="I146" s="27"/>
      <c r="J146" s="28">
        <f>IF(VLOOKUP(C146,A!A$1:H$669,4,FALSE)="y",1,0)</f>
        <v>0</v>
      </c>
      <c r="K146" s="28">
        <f>IF(VLOOKUP(C146,A!A$1:H$669,5,FALSE)="y",1,0)</f>
        <v>0</v>
      </c>
      <c r="L146" s="544" t="str">
        <f>IF(T146&lt;35,"Low",IF(T146&gt;40,"High","Med"))</f>
        <v>Low</v>
      </c>
      <c r="M146" s="27">
        <f>VLOOKUP(C146,A!A$1:H$669,6,FALSE)</f>
        <v>0</v>
      </c>
      <c r="N146" s="44">
        <v>3</v>
      </c>
      <c r="O146" s="533">
        <f>VLOOKUP(C146,A!A$1:G$669,2,FALSE)</f>
        <v>0</v>
      </c>
      <c r="P146" s="533" t="s">
        <v>24</v>
      </c>
      <c r="Q146" s="533" t="str">
        <f>IF(S146=0,"",COUNTIF(Q$12:Q145,"&gt;0")+1)</f>
        <v/>
      </c>
      <c r="R146" s="533" t="str">
        <f>IF(S146=0,"",COUNTIF(R$12:R145,"&gt;0")+1)</f>
        <v/>
      </c>
      <c r="S146" s="533">
        <f t="shared" si="26"/>
        <v>0</v>
      </c>
      <c r="T146" s="533">
        <f>VLOOKUP(C146,A!A$1:AH$669,31,FALSE)</f>
        <v>0</v>
      </c>
      <c r="U146" s="533">
        <v>0.16500000000000001</v>
      </c>
      <c r="V146" s="533"/>
      <c r="W146" s="533" t="str">
        <f t="shared" si="29"/>
        <v/>
      </c>
      <c r="X146" s="533">
        <f>IF(V146&lt;&gt;"",COUNTIF(V$46:V146,V146)-1,0)</f>
        <v>0</v>
      </c>
      <c r="Y146" s="533"/>
      <c r="Z146" s="533" t="str">
        <f>IFERROR(IF(AND(O146="y",IF(AND(A146&lt;&gt;"",A146=0),0,1)),H146*-100-A146*1000-T146,""),"")</f>
        <v/>
      </c>
      <c r="AA146" s="533" t="str">
        <f>IFERROR(RANK(Z146,Z$47:Z$226,0)+COUNTIF(Z$47:Z146,Z146)-1,"")</f>
        <v/>
      </c>
      <c r="AB146" s="533">
        <f t="shared" si="31"/>
        <v>0</v>
      </c>
      <c r="AC146" s="533">
        <f>IF(AA146&lt;=AC$46,1,0)</f>
        <v>0</v>
      </c>
      <c r="AD146" s="533"/>
      <c r="AE146" s="533"/>
      <c r="AF146" s="533"/>
      <c r="AG146" s="533"/>
      <c r="AH146" s="533"/>
      <c r="AI146" s="533"/>
      <c r="AJ146" s="533"/>
      <c r="AK146" s="533"/>
      <c r="AL146" s="533"/>
      <c r="AM146" s="533"/>
      <c r="AN146" s="533"/>
      <c r="AO146" s="533"/>
      <c r="AP146" s="417"/>
      <c r="AQ146" s="417"/>
      <c r="AR146" s="417"/>
      <c r="AS146" s="417"/>
    </row>
    <row r="147" spans="1:45" ht="13.5" customHeight="1" x14ac:dyDescent="0.25">
      <c r="A147" s="41"/>
      <c r="B147" s="104" t="s">
        <v>18</v>
      </c>
      <c r="C147" s="1057" t="s">
        <v>1211</v>
      </c>
      <c r="D147" s="728"/>
      <c r="E147" s="711" t="s">
        <v>1867</v>
      </c>
      <c r="F147" s="686" t="s">
        <v>251</v>
      </c>
      <c r="G147" s="42" t="s">
        <v>1213</v>
      </c>
      <c r="H147" s="27">
        <f>VLOOKUP(C147,A!A$1:H$669,8,FALSE)</f>
        <v>1</v>
      </c>
      <c r="I147" s="27"/>
      <c r="J147" s="28">
        <f>IF(VLOOKUP(C147,A!A$1:H$669,4,FALSE)="y",1,0)</f>
        <v>1</v>
      </c>
      <c r="K147" s="28">
        <f>IF(VLOOKUP(C147,A!A$1:H$669,5,FALSE)="y",1,0)</f>
        <v>0</v>
      </c>
      <c r="L147" s="544" t="str">
        <f>IF(T147&lt;35,"Low",IF(T147&gt;40,"High","Med"))</f>
        <v>Med</v>
      </c>
      <c r="M147" s="27">
        <f>VLOOKUP(C147,A!A$1:H$669,6,FALSE)</f>
        <v>0</v>
      </c>
      <c r="N147" s="44">
        <v>4</v>
      </c>
      <c r="O147" s="533" t="str">
        <f>VLOOKUP(C147,A!A$1:G$669,2,FALSE)</f>
        <v>y</v>
      </c>
      <c r="P147" s="533" t="s">
        <v>24</v>
      </c>
      <c r="Q147" s="533" t="str">
        <f>IF(S147=0,"",COUNTIF(Q$12:Q146,"&gt;0")+1)</f>
        <v/>
      </c>
      <c r="R147" s="533" t="str">
        <f>IF(S147=0,"",COUNTIF(R$12:R146,"&gt;0")+1)</f>
        <v/>
      </c>
      <c r="S147" s="533">
        <f>A147+Y147+AB147+AC147</f>
        <v>0</v>
      </c>
      <c r="T147" s="533">
        <f>VLOOKUP(C147,A!A$1:AH$669,31,FALSE)</f>
        <v>35</v>
      </c>
      <c r="U147" s="533">
        <v>0.16500000000000001</v>
      </c>
      <c r="V147" s="533">
        <v>65</v>
      </c>
      <c r="W147" s="533" t="str">
        <f>IF(AND(V147&lt;&gt;"",O147=0),"Check",IF(AND(V147=0,O147="Y"),"Check",""))</f>
        <v/>
      </c>
      <c r="X147" s="533">
        <f>IF(V147&lt;&gt;"",COUNTIF(V$46:V147,V147)-1,0)</f>
        <v>0</v>
      </c>
      <c r="Y147" s="533"/>
      <c r="Z147" s="533">
        <f>IFERROR(IF(AND(O147="y",IF(AND(A147&lt;&gt;"",A147=0),0,1)),H147*-100-A147*1000-T147,""),"")</f>
        <v>-135</v>
      </c>
      <c r="AA147" s="533">
        <f>IFERROR(RANK(Z147,Z$47:Z$226,0)+COUNTIF(Z$47:Z147,Z147)-1,"")</f>
        <v>17</v>
      </c>
      <c r="AB147" s="533">
        <f>IF(AA147&lt;=AB$46,1,0)</f>
        <v>0</v>
      </c>
      <c r="AC147" s="533">
        <f>IF(AA147&lt;=AC$46,1,0)</f>
        <v>0</v>
      </c>
      <c r="AD147" s="533"/>
      <c r="AE147" s="533"/>
      <c r="AF147" s="533"/>
      <c r="AG147" s="533"/>
      <c r="AH147" s="533"/>
      <c r="AI147" s="533"/>
      <c r="AJ147" s="533"/>
      <c r="AK147" s="533"/>
      <c r="AL147" s="533"/>
      <c r="AM147" s="533"/>
      <c r="AN147" s="533"/>
      <c r="AO147" s="533"/>
      <c r="AP147" s="417"/>
      <c r="AQ147" s="417"/>
      <c r="AR147" s="417"/>
      <c r="AS147" s="417"/>
    </row>
    <row r="148" spans="1:45" ht="13.5" customHeight="1" x14ac:dyDescent="0.25">
      <c r="A148" s="41"/>
      <c r="B148" s="104" t="s">
        <v>18</v>
      </c>
      <c r="C148" s="1057" t="s">
        <v>253</v>
      </c>
      <c r="D148" s="728"/>
      <c r="E148" s="711" t="s">
        <v>1867</v>
      </c>
      <c r="F148" s="686" t="s">
        <v>254</v>
      </c>
      <c r="G148" s="42" t="s">
        <v>255</v>
      </c>
      <c r="H148" s="27">
        <f>VLOOKUP(C148,A!A$1:H$669,8,FALSE)</f>
        <v>2</v>
      </c>
      <c r="I148" s="27"/>
      <c r="J148" s="28">
        <f>IF(VLOOKUP(C148,A!A$1:H$669,4,FALSE)="y",1,0)</f>
        <v>1</v>
      </c>
      <c r="K148" s="28">
        <f>IF(VLOOKUP(C148,A!A$1:H$669,5,FALSE)="y",1,0)</f>
        <v>0</v>
      </c>
      <c r="L148" s="544" t="str">
        <f t="shared" si="28"/>
        <v>Med</v>
      </c>
      <c r="M148" s="27">
        <f>VLOOKUP(C148,A!A$1:H$669,6,FALSE)</f>
        <v>0</v>
      </c>
      <c r="N148" s="44">
        <v>3</v>
      </c>
      <c r="O148" s="533" t="str">
        <f>VLOOKUP(C148,A!A$1:G$669,2,FALSE)</f>
        <v>y</v>
      </c>
      <c r="P148" s="533" t="s">
        <v>24</v>
      </c>
      <c r="Q148" s="533" t="str">
        <f>IF(S148=0,"",COUNTIF(Q$12:Q147,"&gt;0")+1)</f>
        <v/>
      </c>
      <c r="R148" s="533" t="str">
        <f>IF(S148=0,"",COUNTIF(R$12:R147,"&gt;0")+1)</f>
        <v/>
      </c>
      <c r="S148" s="533">
        <f t="shared" si="26"/>
        <v>0</v>
      </c>
      <c r="T148" s="533">
        <f>VLOOKUP(C148,A!A$1:AH$669,31,FALSE)</f>
        <v>35</v>
      </c>
      <c r="U148" s="533">
        <v>0.16500000000000001</v>
      </c>
      <c r="V148" s="533">
        <v>47</v>
      </c>
      <c r="W148" s="533" t="str">
        <f t="shared" si="29"/>
        <v/>
      </c>
      <c r="X148" s="533">
        <f>IF(V148&lt;&gt;"",COUNTIF(V$46:V148,V148)-1,0)</f>
        <v>0</v>
      </c>
      <c r="Y148" s="533"/>
      <c r="Z148" s="533">
        <f t="shared" ref="Z148:Z179" si="37">IFERROR(IF(AND(O148="y",IF(AND(A148&lt;&gt;"",A148=0),0,1)),H148*-100-A148*1000-T148,""),"")</f>
        <v>-235</v>
      </c>
      <c r="AA148" s="533">
        <f>IFERROR(RANK(Z148,Z$47:Z$226,0)+COUNTIF(Z$47:Z148,Z148)-1,"")</f>
        <v>35</v>
      </c>
      <c r="AB148" s="533">
        <f t="shared" si="31"/>
        <v>0</v>
      </c>
      <c r="AC148" s="533">
        <f t="shared" si="30"/>
        <v>0</v>
      </c>
      <c r="AD148" s="533"/>
      <c r="AE148" s="533"/>
      <c r="AF148" s="533"/>
      <c r="AG148" s="533"/>
      <c r="AH148" s="533"/>
      <c r="AI148" s="533"/>
      <c r="AJ148" s="533"/>
      <c r="AK148" s="533"/>
      <c r="AL148" s="533"/>
      <c r="AM148" s="533"/>
      <c r="AN148" s="533"/>
      <c r="AO148" s="533"/>
      <c r="AP148" s="417"/>
      <c r="AQ148" s="417"/>
      <c r="AR148" s="417"/>
      <c r="AS148" s="417"/>
    </row>
    <row r="149" spans="1:45" ht="13.5" customHeight="1" x14ac:dyDescent="0.25">
      <c r="A149" s="41"/>
      <c r="B149" s="104" t="s">
        <v>18</v>
      </c>
      <c r="C149" s="1057" t="s">
        <v>256</v>
      </c>
      <c r="D149" s="728"/>
      <c r="E149" s="711" t="s">
        <v>1867</v>
      </c>
      <c r="F149" s="686" t="s">
        <v>257</v>
      </c>
      <c r="G149" s="42" t="s">
        <v>258</v>
      </c>
      <c r="H149" s="27">
        <f>VLOOKUP(C149,A!A$1:H$669,8,FALSE)</f>
        <v>1</v>
      </c>
      <c r="I149" s="27"/>
      <c r="J149" s="28">
        <f>IF(VLOOKUP(C149,A!A$1:H$669,4,FALSE)="y",1,0)</f>
        <v>1</v>
      </c>
      <c r="K149" s="28">
        <f>IF(VLOOKUP(C149,A!A$1:H$669,5,FALSE)="y",1,0)</f>
        <v>0</v>
      </c>
      <c r="L149" s="544" t="str">
        <f t="shared" si="28"/>
        <v>Med</v>
      </c>
      <c r="M149" s="27">
        <f>VLOOKUP(C149,A!A$1:H$669,6,FALSE)</f>
        <v>0</v>
      </c>
      <c r="N149" s="44" t="s">
        <v>39</v>
      </c>
      <c r="O149" s="533" t="str">
        <f>VLOOKUP(C149,A!A$1:G$669,2,FALSE)</f>
        <v>y</v>
      </c>
      <c r="P149" s="533" t="s">
        <v>24</v>
      </c>
      <c r="Q149" s="533" t="str">
        <f>IF(S149=0,"",COUNTIF(Q$12:Q148,"&gt;0")+1)</f>
        <v/>
      </c>
      <c r="R149" s="533" t="str">
        <f>IF(S149=0,"",COUNTIF(R$12:R148,"&gt;0")+1)</f>
        <v/>
      </c>
      <c r="S149" s="533">
        <f t="shared" si="26"/>
        <v>0</v>
      </c>
      <c r="T149" s="533">
        <f>VLOOKUP(C149,A!A$1:AH$669,31,FALSE)</f>
        <v>35</v>
      </c>
      <c r="U149" s="533">
        <v>0.16500000000000001</v>
      </c>
      <c r="V149" s="533">
        <v>64</v>
      </c>
      <c r="W149" s="533" t="str">
        <f t="shared" si="29"/>
        <v/>
      </c>
      <c r="X149" s="533">
        <f>IF(V149&lt;&gt;"",COUNTIF(V$46:V149,V149)-1,0)</f>
        <v>0</v>
      </c>
      <c r="Y149" s="533"/>
      <c r="Z149" s="533">
        <f t="shared" si="37"/>
        <v>-135</v>
      </c>
      <c r="AA149" s="533">
        <f>IFERROR(RANK(Z149,Z$47:Z$226,0)+COUNTIF(Z$47:Z149,Z149)-1,"")</f>
        <v>18</v>
      </c>
      <c r="AB149" s="533">
        <f t="shared" si="31"/>
        <v>0</v>
      </c>
      <c r="AC149" s="533">
        <f t="shared" si="30"/>
        <v>0</v>
      </c>
      <c r="AD149" s="533"/>
      <c r="AE149" s="533"/>
      <c r="AF149" s="533"/>
      <c r="AG149" s="533"/>
      <c r="AH149" s="533"/>
      <c r="AI149" s="533"/>
      <c r="AJ149" s="533"/>
      <c r="AK149" s="533"/>
      <c r="AL149" s="533"/>
      <c r="AM149" s="533"/>
      <c r="AN149" s="533"/>
      <c r="AO149" s="533"/>
    </row>
    <row r="150" spans="1:45" ht="11.25" hidden="1" customHeight="1" x14ac:dyDescent="0.25">
      <c r="A150" s="41"/>
      <c r="B150" s="104" t="s">
        <v>18</v>
      </c>
      <c r="C150" s="837" t="s">
        <v>259</v>
      </c>
      <c r="D150" s="727"/>
      <c r="E150" s="828"/>
      <c r="F150" s="686" t="s">
        <v>260</v>
      </c>
      <c r="G150" s="42" t="s">
        <v>261</v>
      </c>
      <c r="H150" s="27">
        <f>VLOOKUP(C150,A!A$1:H$669,8,FALSE)</f>
        <v>1</v>
      </c>
      <c r="I150" s="27"/>
      <c r="J150" s="28">
        <f>IF(VLOOKUP(C150,A!A$1:H$669,4,FALSE)="y",1,0)</f>
        <v>0</v>
      </c>
      <c r="K150" s="28">
        <f>IF(VLOOKUP(C150,A!A$1:H$669,5,FALSE)="y",1,0)</f>
        <v>0</v>
      </c>
      <c r="L150" s="544" t="str">
        <f t="shared" si="28"/>
        <v>Low</v>
      </c>
      <c r="M150" s="27">
        <f>VLOOKUP(C150,A!A$1:H$669,6,FALSE)</f>
        <v>0</v>
      </c>
      <c r="N150" s="44" t="s">
        <v>39</v>
      </c>
      <c r="O150" s="533">
        <f>VLOOKUP(C150,A!A$1:G$669,2,FALSE)</f>
        <v>0</v>
      </c>
      <c r="P150" s="533" t="s">
        <v>24</v>
      </c>
      <c r="Q150" s="533" t="str">
        <f>IF(S150=0,"",COUNTIF(Q$12:Q149,"&gt;0")+1)</f>
        <v/>
      </c>
      <c r="R150" s="533" t="str">
        <f>IF(S150=0,"",COUNTIF(R$12:R149,"&gt;0")+1)</f>
        <v/>
      </c>
      <c r="S150" s="533">
        <f t="shared" si="26"/>
        <v>0</v>
      </c>
      <c r="T150" s="533">
        <f>VLOOKUP(C150,A!A$1:AH$669,31,FALSE)</f>
        <v>0</v>
      </c>
      <c r="U150" s="533">
        <v>0.16500000000000001</v>
      </c>
      <c r="V150" s="533"/>
      <c r="W150" s="533" t="str">
        <f t="shared" si="29"/>
        <v/>
      </c>
      <c r="X150" s="533">
        <f>IF(V150&lt;&gt;"",COUNTIF(V$46:V150,V150)-1,0)</f>
        <v>0</v>
      </c>
      <c r="Y150" s="533"/>
      <c r="Z150" s="533" t="str">
        <f t="shared" si="37"/>
        <v/>
      </c>
      <c r="AA150" s="533" t="str">
        <f>IFERROR(RANK(Z150,Z$47:Z$226,0)+COUNTIF(Z$47:Z150,Z150)-1,"")</f>
        <v/>
      </c>
      <c r="AB150" s="533">
        <f t="shared" si="31"/>
        <v>0</v>
      </c>
      <c r="AC150" s="533">
        <f t="shared" si="30"/>
        <v>0</v>
      </c>
      <c r="AD150" s="533"/>
      <c r="AE150" s="533"/>
      <c r="AF150" s="533"/>
      <c r="AG150" s="533"/>
      <c r="AH150" s="533"/>
      <c r="AI150" s="533"/>
      <c r="AJ150" s="533"/>
      <c r="AK150" s="533"/>
      <c r="AL150" s="533"/>
      <c r="AM150" s="533"/>
      <c r="AN150" s="533"/>
      <c r="AO150" s="533"/>
    </row>
    <row r="151" spans="1:45" ht="13.5" customHeight="1" x14ac:dyDescent="0.25">
      <c r="A151" s="41"/>
      <c r="B151" s="104" t="s">
        <v>18</v>
      </c>
      <c r="C151" s="837" t="s">
        <v>262</v>
      </c>
      <c r="D151" s="727"/>
      <c r="E151" s="828"/>
      <c r="F151" s="686" t="s">
        <v>263</v>
      </c>
      <c r="G151" s="42" t="s">
        <v>264</v>
      </c>
      <c r="H151" s="27">
        <f>VLOOKUP(C151,A!A$1:H$669,8,FALSE)</f>
        <v>3</v>
      </c>
      <c r="I151" s="27"/>
      <c r="J151" s="28">
        <f>IF(VLOOKUP(C151,A!A$1:H$669,4,FALSE)="y",1,0)</f>
        <v>1</v>
      </c>
      <c r="K151" s="28">
        <f>IF(VLOOKUP(C151,A!A$1:H$669,5,FALSE)="y",1,0)</f>
        <v>0</v>
      </c>
      <c r="L151" s="544" t="str">
        <f t="shared" si="28"/>
        <v>Low</v>
      </c>
      <c r="M151" s="27">
        <f>VLOOKUP(C151,A!A$1:H$669,6,FALSE)</f>
        <v>0</v>
      </c>
      <c r="N151" s="44">
        <v>1</v>
      </c>
      <c r="O151" s="533" t="str">
        <f>VLOOKUP(C151,A!A$1:G$669,2,FALSE)</f>
        <v>y</v>
      </c>
      <c r="P151" s="533" t="s">
        <v>24</v>
      </c>
      <c r="Q151" s="533" t="str">
        <f>IF(S151=0,"",COUNTIF(Q$12:Q150,"&gt;0")+1)</f>
        <v/>
      </c>
      <c r="R151" s="533" t="str">
        <f>IF(S151=0,"",COUNTIF(R$12:R150,"&gt;0")+1)</f>
        <v/>
      </c>
      <c r="S151" s="533">
        <f t="shared" si="26"/>
        <v>0</v>
      </c>
      <c r="T151" s="533">
        <f>VLOOKUP(C151,A!A$1:AH$669,31,FALSE)</f>
        <v>30</v>
      </c>
      <c r="U151" s="533">
        <v>0.16500000000000001</v>
      </c>
      <c r="V151" s="533">
        <v>48</v>
      </c>
      <c r="W151" s="533" t="str">
        <f t="shared" si="29"/>
        <v/>
      </c>
      <c r="X151" s="533">
        <f>IF(V151&lt;&gt;"",COUNTIF(V$46:V151,V151)-1,0)</f>
        <v>0</v>
      </c>
      <c r="Y151" s="533"/>
      <c r="Z151" s="533">
        <f t="shared" si="37"/>
        <v>-330</v>
      </c>
      <c r="AA151" s="533">
        <f>IFERROR(RANK(Z151,Z$47:Z$226,0)+COUNTIF(Z$47:Z151,Z151)-1,"")</f>
        <v>41</v>
      </c>
      <c r="AB151" s="533">
        <f t="shared" si="31"/>
        <v>0</v>
      </c>
      <c r="AC151" s="533">
        <f t="shared" si="30"/>
        <v>0</v>
      </c>
      <c r="AD151" s="533"/>
      <c r="AE151" s="533"/>
      <c r="AF151" s="533"/>
      <c r="AG151" s="533"/>
      <c r="AH151" s="533"/>
      <c r="AI151" s="533"/>
      <c r="AJ151" s="533"/>
      <c r="AK151" s="533"/>
      <c r="AL151" s="533"/>
      <c r="AM151" s="533"/>
      <c r="AN151" s="533"/>
      <c r="AO151" s="533"/>
    </row>
    <row r="152" spans="1:45" ht="11.45" hidden="1" customHeight="1" x14ac:dyDescent="0.25">
      <c r="A152" s="41"/>
      <c r="B152" s="104" t="s">
        <v>18</v>
      </c>
      <c r="C152" s="837" t="s">
        <v>265</v>
      </c>
      <c r="D152" s="727"/>
      <c r="E152" s="828"/>
      <c r="F152" s="686" t="s">
        <v>263</v>
      </c>
      <c r="G152" s="42" t="s">
        <v>266</v>
      </c>
      <c r="H152" s="27">
        <f>VLOOKUP(C152,A!A$1:H$669,8,FALSE)</f>
        <v>3</v>
      </c>
      <c r="I152" s="27"/>
      <c r="J152" s="28">
        <f>IF(VLOOKUP(C152,A!A$1:H$669,4,FALSE)="y",1,0)</f>
        <v>0</v>
      </c>
      <c r="K152" s="28">
        <f>IF(VLOOKUP(C152,A!A$1:H$669,5,FALSE)="y",1,0)</f>
        <v>0</v>
      </c>
      <c r="L152" s="544" t="str">
        <f t="shared" si="28"/>
        <v>Low</v>
      </c>
      <c r="M152" s="27">
        <f>VLOOKUP(C152,A!A$1:H$669,6,FALSE)</f>
        <v>0</v>
      </c>
      <c r="N152" s="44">
        <v>1</v>
      </c>
      <c r="O152" s="533">
        <f>VLOOKUP(C152,A!A$1:G$669,2,FALSE)</f>
        <v>0</v>
      </c>
      <c r="P152" s="533" t="s">
        <v>24</v>
      </c>
      <c r="Q152" s="533" t="str">
        <f>IF(S152=0,"",COUNTIF(Q$12:Q151,"&gt;0")+1)</f>
        <v/>
      </c>
      <c r="R152" s="533" t="str">
        <f>IF(S152=0,"",COUNTIF(R$12:R151,"&gt;0")+1)</f>
        <v/>
      </c>
      <c r="S152" s="533">
        <f t="shared" si="26"/>
        <v>0</v>
      </c>
      <c r="T152" s="533">
        <f>VLOOKUP(C152,A!A$1:AH$669,31,FALSE)</f>
        <v>0</v>
      </c>
      <c r="U152" s="533">
        <v>0.16500000000000001</v>
      </c>
      <c r="V152" s="533"/>
      <c r="W152" s="533" t="str">
        <f t="shared" si="29"/>
        <v/>
      </c>
      <c r="X152" s="533">
        <f>IF(V152&lt;&gt;"",COUNTIF(V$46:V152,V152)-1,0)</f>
        <v>0</v>
      </c>
      <c r="Y152" s="533"/>
      <c r="Z152" s="533" t="str">
        <f t="shared" si="37"/>
        <v/>
      </c>
      <c r="AA152" s="533" t="str">
        <f>IFERROR(RANK(Z152,Z$47:Z$226,0)+COUNTIF(Z$47:Z152,Z152)-1,"")</f>
        <v/>
      </c>
      <c r="AB152" s="533">
        <f t="shared" si="31"/>
        <v>0</v>
      </c>
      <c r="AC152" s="533">
        <f t="shared" si="30"/>
        <v>0</v>
      </c>
      <c r="AD152" s="533"/>
      <c r="AE152" s="533"/>
      <c r="AF152" s="533"/>
      <c r="AG152" s="533"/>
      <c r="AH152" s="533"/>
      <c r="AI152" s="533"/>
      <c r="AJ152" s="533"/>
      <c r="AK152" s="533"/>
      <c r="AL152" s="533"/>
      <c r="AM152" s="533"/>
      <c r="AN152" s="533"/>
      <c r="AO152" s="533"/>
    </row>
    <row r="153" spans="1:45" ht="11.25" hidden="1" customHeight="1" x14ac:dyDescent="0.25">
      <c r="A153" s="41"/>
      <c r="B153" s="104" t="s">
        <v>18</v>
      </c>
      <c r="C153" s="837" t="s">
        <v>267</v>
      </c>
      <c r="D153" s="727"/>
      <c r="E153" s="828"/>
      <c r="F153" s="686" t="s">
        <v>268</v>
      </c>
      <c r="G153" s="42" t="s">
        <v>269</v>
      </c>
      <c r="H153" s="27">
        <f>VLOOKUP(C153,A!A$1:H$669,8,FALSE)</f>
        <v>3</v>
      </c>
      <c r="I153" s="27"/>
      <c r="J153" s="28">
        <f>IF(VLOOKUP(C153,A!A$1:H$669,4,FALSE)="y",1,0)</f>
        <v>0</v>
      </c>
      <c r="K153" s="28">
        <f>IF(VLOOKUP(C153,A!A$1:H$669,5,FALSE)="y",1,0)</f>
        <v>0</v>
      </c>
      <c r="L153" s="544" t="str">
        <f t="shared" si="28"/>
        <v>Low</v>
      </c>
      <c r="M153" s="27">
        <f>VLOOKUP(C153,A!A$1:H$669,6,FALSE)</f>
        <v>0</v>
      </c>
      <c r="N153" s="44" t="s">
        <v>39</v>
      </c>
      <c r="O153" s="533">
        <f>VLOOKUP(C153,A!A$1:G$669,2,FALSE)</f>
        <v>0</v>
      </c>
      <c r="P153" s="533" t="s">
        <v>24</v>
      </c>
      <c r="Q153" s="533" t="str">
        <f>IF(S153=0,"",COUNTIF(Q$12:Q152,"&gt;0")+1)</f>
        <v/>
      </c>
      <c r="R153" s="533" t="str">
        <f>IF(S153=0,"",COUNTIF(R$12:R152,"&gt;0")+1)</f>
        <v/>
      </c>
      <c r="S153" s="533">
        <f t="shared" si="26"/>
        <v>0</v>
      </c>
      <c r="T153" s="533">
        <f>VLOOKUP(C153,A!A$1:AH$669,31,FALSE)</f>
        <v>0</v>
      </c>
      <c r="U153" s="533">
        <v>0.16500000000000001</v>
      </c>
      <c r="V153" s="533"/>
      <c r="W153" s="533" t="str">
        <f t="shared" si="29"/>
        <v/>
      </c>
      <c r="X153" s="533">
        <f>IF(V153&lt;&gt;"",COUNTIF(V$46:V153,V153)-1,0)</f>
        <v>0</v>
      </c>
      <c r="Y153" s="533"/>
      <c r="Z153" s="533" t="str">
        <f t="shared" si="37"/>
        <v/>
      </c>
      <c r="AA153" s="533" t="str">
        <f>IFERROR(RANK(Z153,Z$47:Z$226,0)+COUNTIF(Z$47:Z153,Z153)-1,"")</f>
        <v/>
      </c>
      <c r="AB153" s="533">
        <f t="shared" si="31"/>
        <v>0</v>
      </c>
      <c r="AC153" s="533">
        <f t="shared" si="30"/>
        <v>0</v>
      </c>
      <c r="AD153" s="533"/>
      <c r="AE153" s="533"/>
      <c r="AF153" s="533"/>
      <c r="AG153" s="533"/>
      <c r="AH153" s="533"/>
      <c r="AI153" s="533"/>
      <c r="AJ153" s="533"/>
      <c r="AK153" s="533"/>
      <c r="AL153" s="533"/>
      <c r="AM153" s="533"/>
      <c r="AN153" s="533"/>
      <c r="AO153" s="533"/>
    </row>
    <row r="154" spans="1:45" ht="13.5" customHeight="1" x14ac:dyDescent="0.25">
      <c r="A154" s="41"/>
      <c r="B154" s="104" t="s">
        <v>18</v>
      </c>
      <c r="C154" s="1057" t="s">
        <v>270</v>
      </c>
      <c r="D154" s="728"/>
      <c r="E154" s="711" t="s">
        <v>1867</v>
      </c>
      <c r="F154" s="686" t="s">
        <v>271</v>
      </c>
      <c r="G154" s="42" t="s">
        <v>272</v>
      </c>
      <c r="H154" s="27">
        <f>VLOOKUP(C154,A!A$1:H$669,8,FALSE)</f>
        <v>2</v>
      </c>
      <c r="I154" s="27" t="s">
        <v>30</v>
      </c>
      <c r="J154" s="28">
        <f>IF(VLOOKUP(C154,A!A$1:H$669,4,FALSE)="y",1,0)</f>
        <v>1</v>
      </c>
      <c r="K154" s="28">
        <f>IF(VLOOKUP(C154,A!A$1:H$669,5,FALSE)="y",1,0)</f>
        <v>0</v>
      </c>
      <c r="L154" s="544" t="str">
        <f t="shared" si="28"/>
        <v>Low</v>
      </c>
      <c r="M154" s="27">
        <f>VLOOKUP(C154,A!A$1:H$669,6,FALSE)</f>
        <v>0</v>
      </c>
      <c r="N154" s="44" t="s">
        <v>39</v>
      </c>
      <c r="O154" s="533" t="str">
        <f>VLOOKUP(C154,A!A$1:G$669,2,FALSE)</f>
        <v>y</v>
      </c>
      <c r="P154" s="533" t="s">
        <v>24</v>
      </c>
      <c r="Q154" s="533" t="str">
        <f>IF(S154=0,"",COUNTIF(Q$12:Q153,"&gt;0")+1)</f>
        <v/>
      </c>
      <c r="R154" s="533" t="str">
        <f>IF(S154=0,"",COUNTIF(R$12:R153,"&gt;0")+1)</f>
        <v/>
      </c>
      <c r="S154" s="533">
        <f t="shared" si="26"/>
        <v>0</v>
      </c>
      <c r="T154" s="533">
        <f>VLOOKUP(C154,A!A$1:AH$669,31,FALSE)</f>
        <v>30</v>
      </c>
      <c r="U154" s="533">
        <v>0.16500000000000001</v>
      </c>
      <c r="V154" s="533">
        <v>63</v>
      </c>
      <c r="W154" s="533" t="str">
        <f t="shared" si="29"/>
        <v/>
      </c>
      <c r="X154" s="533">
        <f>IF(V154&lt;&gt;"",COUNTIF(V$46:V154,V154)-1,0)</f>
        <v>0</v>
      </c>
      <c r="Y154" s="533"/>
      <c r="Z154" s="533">
        <f t="shared" si="37"/>
        <v>-230</v>
      </c>
      <c r="AA154" s="533">
        <f>IFERROR(RANK(Z154,Z$47:Z$226,0)+COUNTIF(Z$47:Z154,Z154)-1,"")</f>
        <v>20</v>
      </c>
      <c r="AB154" s="533">
        <f t="shared" si="31"/>
        <v>0</v>
      </c>
      <c r="AC154" s="533">
        <f t="shared" si="30"/>
        <v>0</v>
      </c>
      <c r="AD154" s="533"/>
      <c r="AE154" s="533"/>
      <c r="AF154" s="533"/>
      <c r="AG154" s="533"/>
      <c r="AH154" s="533"/>
      <c r="AI154" s="533"/>
      <c r="AJ154" s="533"/>
      <c r="AK154" s="533"/>
      <c r="AL154" s="533"/>
      <c r="AM154" s="533"/>
      <c r="AN154" s="533"/>
      <c r="AO154" s="533"/>
    </row>
    <row r="155" spans="1:45" ht="13.5" customHeight="1" x14ac:dyDescent="0.25">
      <c r="A155" s="41"/>
      <c r="B155" s="104" t="s">
        <v>18</v>
      </c>
      <c r="C155" s="837" t="s">
        <v>273</v>
      </c>
      <c r="D155" s="728"/>
      <c r="E155" s="711"/>
      <c r="F155" s="686" t="s">
        <v>274</v>
      </c>
      <c r="G155" s="42" t="s">
        <v>275</v>
      </c>
      <c r="H155" s="27">
        <f>VLOOKUP(C155,A!A$1:H$669,8,FALSE)</f>
        <v>1</v>
      </c>
      <c r="I155" s="27"/>
      <c r="J155" s="28">
        <f>IF(VLOOKUP(C155,A!A$1:H$669,4,FALSE)="y",1,0)</f>
        <v>1</v>
      </c>
      <c r="K155" s="28">
        <f>IF(VLOOKUP(C155,A!A$1:H$669,5,FALSE)="y",1,0)</f>
        <v>1</v>
      </c>
      <c r="L155" s="544" t="str">
        <f t="shared" si="28"/>
        <v>Low</v>
      </c>
      <c r="M155" s="27">
        <f>VLOOKUP(C155,A!A$1:H$669,6,FALSE)</f>
        <v>0</v>
      </c>
      <c r="N155" s="44" t="s">
        <v>39</v>
      </c>
      <c r="O155" s="533" t="str">
        <f>VLOOKUP(C155,A!A$1:G$669,2,FALSE)</f>
        <v>y</v>
      </c>
      <c r="P155" s="533" t="s">
        <v>24</v>
      </c>
      <c r="Q155" s="533" t="str">
        <f>IF(S155=0,"",COUNTIF(Q$12:Q154,"&gt;0")+1)</f>
        <v/>
      </c>
      <c r="R155" s="533" t="str">
        <f>IF(S155=0,"",COUNTIF(R$12:R154,"&gt;0")+1)</f>
        <v/>
      </c>
      <c r="S155" s="533">
        <f t="shared" si="26"/>
        <v>0</v>
      </c>
      <c r="T155" s="533">
        <f>VLOOKUP(C155,A!A$1:AH$669,31,FALSE)</f>
        <v>30</v>
      </c>
      <c r="U155" s="533">
        <v>0.16500000000000001</v>
      </c>
      <c r="V155" s="533">
        <v>49</v>
      </c>
      <c r="W155" s="533" t="str">
        <f t="shared" si="29"/>
        <v/>
      </c>
      <c r="X155" s="533">
        <f>IF(V155&lt;&gt;"",COUNTIF(V$46:V155,V155)-1,0)</f>
        <v>0</v>
      </c>
      <c r="Y155" s="533"/>
      <c r="Z155" s="533">
        <f t="shared" si="37"/>
        <v>-130</v>
      </c>
      <c r="AA155" s="533">
        <f>IFERROR(RANK(Z155,Z$47:Z$226,0)+COUNTIF(Z$47:Z155,Z155)-1,"")</f>
        <v>5</v>
      </c>
      <c r="AB155" s="533">
        <f t="shared" si="31"/>
        <v>0</v>
      </c>
      <c r="AC155" s="533">
        <f t="shared" si="30"/>
        <v>0</v>
      </c>
      <c r="AD155" s="533"/>
      <c r="AE155" s="533"/>
      <c r="AF155" s="533"/>
      <c r="AG155" s="533"/>
      <c r="AH155" s="533"/>
      <c r="AI155" s="533"/>
      <c r="AJ155" s="533"/>
      <c r="AK155" s="533"/>
      <c r="AL155" s="533"/>
      <c r="AM155" s="533"/>
      <c r="AN155" s="533"/>
      <c r="AO155" s="533"/>
    </row>
    <row r="156" spans="1:45" ht="11.25" hidden="1" customHeight="1" x14ac:dyDescent="0.25">
      <c r="A156" s="41"/>
      <c r="B156" s="104" t="s">
        <v>18</v>
      </c>
      <c r="C156" s="837" t="s">
        <v>1222</v>
      </c>
      <c r="D156" s="727"/>
      <c r="E156" s="828"/>
      <c r="F156" s="686" t="s">
        <v>1227</v>
      </c>
      <c r="G156" s="42" t="s">
        <v>1226</v>
      </c>
      <c r="H156" s="27">
        <f>VLOOKUP(C156,A!A$1:H$669,8,FALSE)</f>
        <v>2</v>
      </c>
      <c r="I156" s="27"/>
      <c r="J156" s="28">
        <f>IF(VLOOKUP(C156,A!A$1:H$669,4,FALSE)="y",1,0)</f>
        <v>0</v>
      </c>
      <c r="K156" s="28">
        <f>IF(VLOOKUP(C156,A!A$1:H$669,5,FALSE)="y",1,0)</f>
        <v>0</v>
      </c>
      <c r="L156" s="544" t="str">
        <f>IF(T156&lt;35,"Low",IF(T156&gt;40,"High","Med"))</f>
        <v>Low</v>
      </c>
      <c r="M156" s="27">
        <f>VLOOKUP(C156,A!A$1:H$669,6,FALSE)</f>
        <v>0</v>
      </c>
      <c r="N156" s="44" t="s">
        <v>326</v>
      </c>
      <c r="O156" s="533">
        <f>VLOOKUP(C156,A!A$1:G$669,2,FALSE)</f>
        <v>0</v>
      </c>
      <c r="P156" s="533" t="s">
        <v>24</v>
      </c>
      <c r="Q156" s="533" t="str">
        <f>IF(S156=0,"",COUNTIF(Q$12:Q155,"&gt;0")+1)</f>
        <v/>
      </c>
      <c r="R156" s="533" t="str">
        <f>IF(S156=0,"",COUNTIF(R$12:R155,"&gt;0")+1)</f>
        <v/>
      </c>
      <c r="S156" s="533">
        <f>A156+Y156+AB156+AC156</f>
        <v>0</v>
      </c>
      <c r="T156" s="533">
        <f>VLOOKUP(C156,A!A$1:AH$669,31,FALSE)</f>
        <v>0</v>
      </c>
      <c r="U156" s="533">
        <v>0.16500000000000001</v>
      </c>
      <c r="V156" s="533"/>
      <c r="W156" s="533" t="str">
        <f>IF(AND(V156&lt;&gt;"",O156=0),"Check",IF(AND(V156=0,O156="Y"),"Check",""))</f>
        <v/>
      </c>
      <c r="X156" s="533">
        <f>IF(V156&lt;&gt;"",COUNTIF(V$46:V156,V156)-1,0)</f>
        <v>0</v>
      </c>
      <c r="Y156" s="533"/>
      <c r="Z156" s="533" t="str">
        <f>IFERROR(IF(AND(O156="y",IF(AND(A156&lt;&gt;"",A156=0),0,1)),H156*-100-A156*1000-T156,""),"")</f>
        <v/>
      </c>
      <c r="AA156" s="533" t="str">
        <f>IFERROR(RANK(Z156,Z$47:Z$226,0)+COUNTIF(Z$47:Z156,Z156)-1,"")</f>
        <v/>
      </c>
      <c r="AB156" s="533">
        <f>IF(AA156&lt;=AB$46,1,0)</f>
        <v>0</v>
      </c>
      <c r="AC156" s="533">
        <f>IF(AA156&lt;=AC$46,1,0)</f>
        <v>0</v>
      </c>
      <c r="AD156" s="533"/>
      <c r="AE156" s="533"/>
      <c r="AF156" s="533"/>
      <c r="AG156" s="533"/>
      <c r="AH156" s="533"/>
      <c r="AI156" s="533"/>
      <c r="AJ156" s="533"/>
      <c r="AK156" s="533"/>
      <c r="AL156" s="533"/>
      <c r="AM156" s="533"/>
      <c r="AN156" s="533"/>
      <c r="AO156" s="533"/>
    </row>
    <row r="157" spans="1:45" ht="13.5" hidden="1" customHeight="1" x14ac:dyDescent="0.25">
      <c r="A157" s="41"/>
      <c r="B157" s="104" t="s">
        <v>18</v>
      </c>
      <c r="C157" s="837" t="s">
        <v>276</v>
      </c>
      <c r="D157" s="727"/>
      <c r="E157" s="828"/>
      <c r="F157" s="686" t="s">
        <v>260</v>
      </c>
      <c r="G157" s="42" t="s">
        <v>277</v>
      </c>
      <c r="H157" s="27">
        <f>VLOOKUP(C157,A!A$1:H$669,8,FALSE)</f>
        <v>2</v>
      </c>
      <c r="I157" s="27" t="s">
        <v>30</v>
      </c>
      <c r="J157" s="28">
        <f>IF(VLOOKUP(C157,A!A$1:H$669,4,FALSE)="y",1,0)</f>
        <v>0</v>
      </c>
      <c r="K157" s="28">
        <f>IF(VLOOKUP(C157,A!A$1:H$669,5,FALSE)="y",1,0)</f>
        <v>0</v>
      </c>
      <c r="L157" s="544" t="str">
        <f t="shared" si="28"/>
        <v>Low</v>
      </c>
      <c r="M157" s="27">
        <f>VLOOKUP(C157,A!A$1:H$669,6,FALSE)</f>
        <v>0</v>
      </c>
      <c r="N157" s="44" t="s">
        <v>39</v>
      </c>
      <c r="O157" s="533">
        <f>VLOOKUP(C157,A!A$1:G$669,2,FALSE)</f>
        <v>0</v>
      </c>
      <c r="P157" s="533" t="s">
        <v>24</v>
      </c>
      <c r="Q157" s="533" t="str">
        <f>IF(S157=0,"",COUNTIF(Q$12:Q156,"&gt;0")+1)</f>
        <v/>
      </c>
      <c r="R157" s="533" t="str">
        <f>IF(S157=0,"",COUNTIF(R$12:R156,"&gt;0")+1)</f>
        <v/>
      </c>
      <c r="S157" s="533">
        <f t="shared" si="26"/>
        <v>0</v>
      </c>
      <c r="T157" s="533">
        <f>VLOOKUP(C157,A!A$1:AH$669,31,FALSE)</f>
        <v>0</v>
      </c>
      <c r="U157" s="533">
        <v>0.16500000000000001</v>
      </c>
      <c r="V157" s="533"/>
      <c r="W157" s="533" t="str">
        <f t="shared" si="29"/>
        <v/>
      </c>
      <c r="X157" s="533">
        <f>IF(V157&lt;&gt;"",COUNTIF(V$46:V157,V157)-1,0)</f>
        <v>0</v>
      </c>
      <c r="Y157" s="533"/>
      <c r="Z157" s="533" t="str">
        <f t="shared" si="37"/>
        <v/>
      </c>
      <c r="AA157" s="533" t="str">
        <f>IFERROR(RANK(Z157,Z$47:Z$226,0)+COUNTIF(Z$47:Z157,Z157)-1,"")</f>
        <v/>
      </c>
      <c r="AB157" s="533">
        <f t="shared" si="31"/>
        <v>0</v>
      </c>
      <c r="AC157" s="533">
        <f t="shared" si="30"/>
        <v>0</v>
      </c>
      <c r="AD157" s="533"/>
      <c r="AE157" s="533"/>
      <c r="AF157" s="533"/>
      <c r="AG157" s="533"/>
      <c r="AH157" s="533"/>
      <c r="AI157" s="533"/>
      <c r="AJ157" s="533"/>
      <c r="AK157" s="533"/>
      <c r="AL157" s="533"/>
      <c r="AM157" s="533"/>
      <c r="AN157" s="533"/>
      <c r="AO157" s="533"/>
    </row>
    <row r="158" spans="1:45" ht="13.5" customHeight="1" x14ac:dyDescent="0.25">
      <c r="A158" s="41"/>
      <c r="B158" s="104" t="s">
        <v>18</v>
      </c>
      <c r="C158" s="837" t="s">
        <v>278</v>
      </c>
      <c r="D158" s="727"/>
      <c r="E158" s="828"/>
      <c r="F158" s="686" t="s">
        <v>279</v>
      </c>
      <c r="G158" s="42" t="s">
        <v>280</v>
      </c>
      <c r="H158" s="27">
        <f>VLOOKUP(C158,A!A$1:H$669,8,FALSE)</f>
        <v>2</v>
      </c>
      <c r="I158" s="27"/>
      <c r="J158" s="28">
        <f>IF(VLOOKUP(C158,A!A$1:H$669,4,FALSE)="y",1,0)</f>
        <v>1</v>
      </c>
      <c r="K158" s="28">
        <f>IF(VLOOKUP(C158,A!A$1:H$669,5,FALSE)="y",1,0)</f>
        <v>1</v>
      </c>
      <c r="L158" s="544" t="str">
        <f t="shared" si="28"/>
        <v>Low</v>
      </c>
      <c r="M158" s="27"/>
      <c r="N158" s="44">
        <v>1</v>
      </c>
      <c r="O158" s="533" t="str">
        <f>VLOOKUP(C158,A!A$1:G$669,2,FALSE)</f>
        <v>y</v>
      </c>
      <c r="P158" s="533" t="s">
        <v>24</v>
      </c>
      <c r="Q158" s="533" t="str">
        <f>IF(S158=0,"",COUNTIF(Q$12:Q157,"&gt;0")+1)</f>
        <v/>
      </c>
      <c r="R158" s="533" t="str">
        <f>IF(S158=0,"",COUNTIF(R$12:R157,"&gt;0")+1)</f>
        <v/>
      </c>
      <c r="S158" s="533">
        <f t="shared" si="26"/>
        <v>0</v>
      </c>
      <c r="T158" s="533">
        <f>VLOOKUP(C158,A!A$1:AH$669,31,FALSE)</f>
        <v>30</v>
      </c>
      <c r="U158" s="533">
        <v>0.16500000000000001</v>
      </c>
      <c r="V158" s="533">
        <v>62</v>
      </c>
      <c r="W158" s="533" t="str">
        <f t="shared" si="29"/>
        <v/>
      </c>
      <c r="X158" s="533">
        <f>IF(V158&lt;&gt;"",COUNTIF(V$46:V158,V158)-1,0)</f>
        <v>0</v>
      </c>
      <c r="Y158" s="533"/>
      <c r="Z158" s="533">
        <f t="shared" si="37"/>
        <v>-230</v>
      </c>
      <c r="AA158" s="533">
        <f>IFERROR(RANK(Z158,Z$47:Z$226,0)+COUNTIF(Z$47:Z158,Z158)-1,"")</f>
        <v>21</v>
      </c>
      <c r="AB158" s="533">
        <f t="shared" si="31"/>
        <v>0</v>
      </c>
      <c r="AC158" s="533">
        <f t="shared" si="30"/>
        <v>0</v>
      </c>
      <c r="AD158" s="533"/>
      <c r="AE158" s="533"/>
      <c r="AF158" s="533"/>
      <c r="AG158" s="533"/>
      <c r="AH158" s="533"/>
      <c r="AI158" s="533"/>
      <c r="AJ158" s="533"/>
      <c r="AK158" s="533"/>
      <c r="AL158" s="533"/>
      <c r="AM158" s="533"/>
      <c r="AN158" s="533"/>
      <c r="AO158" s="533"/>
    </row>
    <row r="159" spans="1:45" ht="13.5" customHeight="1" x14ac:dyDescent="0.25">
      <c r="A159" s="41"/>
      <c r="B159" s="104" t="s">
        <v>18</v>
      </c>
      <c r="C159" s="837" t="s">
        <v>281</v>
      </c>
      <c r="D159" s="728"/>
      <c r="E159" s="711"/>
      <c r="F159" s="686" t="s">
        <v>282</v>
      </c>
      <c r="G159" s="42" t="s">
        <v>283</v>
      </c>
      <c r="H159" s="27">
        <v>2</v>
      </c>
      <c r="I159" s="27"/>
      <c r="J159" s="28">
        <f>IF(VLOOKUP(C159,A!A$1:H$669,4,FALSE)="y",1,0)</f>
        <v>1</v>
      </c>
      <c r="K159" s="28">
        <f>IF(VLOOKUP(C159,A!A$1:H$669,5,FALSE)="y",1,0)</f>
        <v>1</v>
      </c>
      <c r="L159" s="544" t="str">
        <f t="shared" si="28"/>
        <v>Low</v>
      </c>
      <c r="M159" s="27"/>
      <c r="N159" s="44">
        <v>1</v>
      </c>
      <c r="O159" s="533" t="str">
        <f>VLOOKUP(C159,A!A$1:G$669,2,FALSE)</f>
        <v>y</v>
      </c>
      <c r="P159" s="533" t="s">
        <v>24</v>
      </c>
      <c r="Q159" s="533" t="str">
        <f>IF(S159=0,"",COUNTIF(Q$12:Q158,"&gt;0")+1)</f>
        <v/>
      </c>
      <c r="R159" s="533" t="str">
        <f>IF(S159=0,"",COUNTIF(R$12:R158,"&gt;0")+1)</f>
        <v/>
      </c>
      <c r="S159" s="533">
        <f t="shared" si="26"/>
        <v>0</v>
      </c>
      <c r="T159" s="533">
        <f>VLOOKUP(C159,A!A$1:AH$669,31,FALSE)</f>
        <v>30</v>
      </c>
      <c r="U159" s="533">
        <v>0.16500000000000001</v>
      </c>
      <c r="V159" s="533">
        <v>50</v>
      </c>
      <c r="W159" s="533" t="str">
        <f t="shared" si="29"/>
        <v/>
      </c>
      <c r="X159" s="533">
        <f>IF(V159&lt;&gt;"",COUNTIF(V$46:V159,V159)-1,0)</f>
        <v>0</v>
      </c>
      <c r="Y159" s="533"/>
      <c r="Z159" s="533">
        <f t="shared" si="37"/>
        <v>-230</v>
      </c>
      <c r="AA159" s="533">
        <f>IFERROR(RANK(Z159,Z$47:Z$226,0)+COUNTIF(Z$47:Z159,Z159)-1,"")</f>
        <v>22</v>
      </c>
      <c r="AB159" s="533">
        <f t="shared" si="31"/>
        <v>0</v>
      </c>
      <c r="AC159" s="533">
        <f t="shared" si="30"/>
        <v>0</v>
      </c>
      <c r="AD159" s="533"/>
      <c r="AE159" s="533"/>
      <c r="AF159" s="533"/>
      <c r="AG159" s="533"/>
      <c r="AH159" s="533"/>
      <c r="AI159" s="533"/>
      <c r="AJ159" s="533"/>
      <c r="AK159" s="533"/>
      <c r="AL159" s="533"/>
      <c r="AM159" s="533"/>
      <c r="AN159" s="533"/>
      <c r="AO159" s="533"/>
    </row>
    <row r="160" spans="1:45" ht="13.5" customHeight="1" x14ac:dyDescent="0.25">
      <c r="A160" s="41"/>
      <c r="B160" s="104" t="s">
        <v>18</v>
      </c>
      <c r="C160" s="837" t="s">
        <v>284</v>
      </c>
      <c r="D160" s="728"/>
      <c r="E160" s="711"/>
      <c r="F160" s="686" t="s">
        <v>285</v>
      </c>
      <c r="G160" s="42" t="s">
        <v>286</v>
      </c>
      <c r="H160" s="27">
        <v>2</v>
      </c>
      <c r="I160" s="27" t="s">
        <v>30</v>
      </c>
      <c r="J160" s="28">
        <f>IF(VLOOKUP(C160,A!A$1:H$669,4,FALSE)="y",1,0)</f>
        <v>1</v>
      </c>
      <c r="K160" s="28">
        <f>IF(VLOOKUP(C160,A!A$1:H$669,5,FALSE)="y",1,0)</f>
        <v>0</v>
      </c>
      <c r="L160" s="544" t="str">
        <f t="shared" si="28"/>
        <v>Low</v>
      </c>
      <c r="M160" s="27">
        <f>VLOOKUP(C160,A!A$1:H$669,6,FALSE)</f>
        <v>0</v>
      </c>
      <c r="N160" s="44" t="s">
        <v>39</v>
      </c>
      <c r="O160" s="533" t="str">
        <f>VLOOKUP(C160,A!A$1:G$669,2,FALSE)</f>
        <v>y</v>
      </c>
      <c r="P160" s="533" t="s">
        <v>24</v>
      </c>
      <c r="Q160" s="533" t="str">
        <f>IF(S160=0,"",COUNTIF(Q$12:Q159,"&gt;0")+1)</f>
        <v/>
      </c>
      <c r="R160" s="533" t="str">
        <f>IF(S160=0,"",COUNTIF(R$12:R159,"&gt;0")+1)</f>
        <v/>
      </c>
      <c r="S160" s="533">
        <f>A160+Y160+AB160+AC160</f>
        <v>0</v>
      </c>
      <c r="T160" s="533">
        <f>VLOOKUP(C160,A!A$1:AH$669,31,FALSE)</f>
        <v>30</v>
      </c>
      <c r="U160" s="533">
        <v>0.16500000000000001</v>
      </c>
      <c r="V160" s="533">
        <v>61</v>
      </c>
      <c r="W160" s="533" t="str">
        <f t="shared" si="29"/>
        <v/>
      </c>
      <c r="X160" s="533">
        <f>IF(V160&lt;&gt;"",COUNTIF(V$46:V160,V160)-1,0)</f>
        <v>0</v>
      </c>
      <c r="Y160" s="533"/>
      <c r="Z160" s="533">
        <f t="shared" si="37"/>
        <v>-230</v>
      </c>
      <c r="AA160" s="533">
        <f>IFERROR(RANK(Z160,Z$47:Z$226,0)+COUNTIF(Z$47:Z160,Z160)-1,"")</f>
        <v>23</v>
      </c>
      <c r="AB160" s="533">
        <f t="shared" si="31"/>
        <v>0</v>
      </c>
      <c r="AC160" s="533">
        <f t="shared" si="30"/>
        <v>0</v>
      </c>
      <c r="AD160" s="533"/>
      <c r="AE160" s="533"/>
      <c r="AF160" s="533"/>
      <c r="AG160" s="533"/>
      <c r="AH160" s="533"/>
      <c r="AI160" s="533"/>
      <c r="AJ160" s="533"/>
      <c r="AK160" s="533"/>
      <c r="AL160" s="533"/>
      <c r="AM160" s="533"/>
      <c r="AN160" s="533"/>
      <c r="AO160" s="533"/>
    </row>
    <row r="161" spans="1:41" ht="13.5" hidden="1" customHeight="1" x14ac:dyDescent="0.25">
      <c r="A161" s="41"/>
      <c r="B161" s="104" t="s">
        <v>18</v>
      </c>
      <c r="C161" s="837" t="s">
        <v>287</v>
      </c>
      <c r="D161" s="728"/>
      <c r="E161" s="711"/>
      <c r="F161" s="686" t="s">
        <v>288</v>
      </c>
      <c r="G161" s="42" t="s">
        <v>289</v>
      </c>
      <c r="H161" s="27">
        <f>VLOOKUP(C161,A!A$1:H$669,8,FALSE)</f>
        <v>2</v>
      </c>
      <c r="I161" s="27" t="s">
        <v>30</v>
      </c>
      <c r="J161" s="28">
        <f>IF(VLOOKUP(C161,A!A$1:H$669,4,FALSE)="y",1,0)</f>
        <v>0</v>
      </c>
      <c r="K161" s="28">
        <f>IF(VLOOKUP(C161,A!A$1:H$669,5,FALSE)="y",1,0)</f>
        <v>0</v>
      </c>
      <c r="L161" s="544" t="str">
        <f t="shared" si="28"/>
        <v>Low</v>
      </c>
      <c r="M161" s="27">
        <f>VLOOKUP(C161,A!A$1:H$669,6,FALSE)</f>
        <v>0</v>
      </c>
      <c r="N161" s="44" t="s">
        <v>39</v>
      </c>
      <c r="O161" s="533">
        <f>VLOOKUP(C161,A!A$1:G$669,2,FALSE)</f>
        <v>0</v>
      </c>
      <c r="P161" s="533" t="s">
        <v>24</v>
      </c>
      <c r="Q161" s="533" t="str">
        <f>IF(S161=0,"",COUNTIF(Q$12:Q160,"&gt;0")+1)</f>
        <v/>
      </c>
      <c r="R161" s="533" t="str">
        <f>IF(S161=0,"",COUNTIF(R$12:R160,"&gt;0")+1)</f>
        <v/>
      </c>
      <c r="S161" s="533">
        <f t="shared" ref="S161" si="38">A161+Y161+AB161+AC161</f>
        <v>0</v>
      </c>
      <c r="T161" s="533">
        <f>VLOOKUP(C161,A!A$1:AH$669,31,FALSE)</f>
        <v>30</v>
      </c>
      <c r="U161" s="533">
        <v>0.16500000000000001</v>
      </c>
      <c r="V161" s="533"/>
      <c r="W161" s="533" t="str">
        <f t="shared" si="29"/>
        <v/>
      </c>
      <c r="X161" s="533">
        <f>IF(V161&lt;&gt;"",COUNTIF(V$46:V161,V161)-1,0)</f>
        <v>0</v>
      </c>
      <c r="Y161" s="533"/>
      <c r="Z161" s="533" t="str">
        <f t="shared" si="37"/>
        <v/>
      </c>
      <c r="AA161" s="533" t="str">
        <f>IFERROR(RANK(Z161,Z$47:Z$226,0)+COUNTIF(Z$47:Z161,Z161)-1,"")</f>
        <v/>
      </c>
      <c r="AB161" s="533">
        <f t="shared" si="31"/>
        <v>0</v>
      </c>
      <c r="AC161" s="533">
        <f t="shared" si="30"/>
        <v>0</v>
      </c>
      <c r="AD161" s="533"/>
      <c r="AE161" s="533"/>
      <c r="AF161" s="533"/>
      <c r="AG161" s="533"/>
      <c r="AH161" s="533"/>
      <c r="AI161" s="533"/>
      <c r="AJ161" s="533"/>
      <c r="AK161" s="533"/>
      <c r="AL161" s="533"/>
      <c r="AM161" s="533"/>
      <c r="AN161" s="533"/>
      <c r="AO161" s="533"/>
    </row>
    <row r="162" spans="1:41" ht="13.5" hidden="1" customHeight="1" x14ac:dyDescent="0.25">
      <c r="A162" s="41"/>
      <c r="B162" s="104" t="s">
        <v>18</v>
      </c>
      <c r="C162" s="837" t="s">
        <v>290</v>
      </c>
      <c r="D162" s="728"/>
      <c r="E162" s="711"/>
      <c r="F162" s="686" t="s">
        <v>291</v>
      </c>
      <c r="G162" s="42" t="s">
        <v>292</v>
      </c>
      <c r="H162" s="27">
        <f>VLOOKUP(C162,A!A$1:H$669,8,FALSE)</f>
        <v>2</v>
      </c>
      <c r="I162" s="27" t="s">
        <v>30</v>
      </c>
      <c r="J162" s="28">
        <f>IF(VLOOKUP(C162,A!A$1:H$669,4,FALSE)="y",1,0)</f>
        <v>0</v>
      </c>
      <c r="K162" s="28">
        <f>IF(VLOOKUP(C162,A!A$1:H$669,5,FALSE)="y",1,0)</f>
        <v>0</v>
      </c>
      <c r="L162" s="544" t="str">
        <f t="shared" si="28"/>
        <v>Low</v>
      </c>
      <c r="M162" s="27">
        <f>VLOOKUP(C162,A!A$1:H$669,6,FALSE)</f>
        <v>0</v>
      </c>
      <c r="N162" s="44" t="s">
        <v>31</v>
      </c>
      <c r="O162" s="533">
        <f>VLOOKUP(C162,A!A$1:G$669,2,FALSE)</f>
        <v>0</v>
      </c>
      <c r="P162" s="533" t="s">
        <v>24</v>
      </c>
      <c r="Q162" s="533" t="str">
        <f>IF(S162=0,"",COUNTIF(Q$12:Q161,"&gt;0")+1)</f>
        <v/>
      </c>
      <c r="R162" s="533" t="str">
        <f>IF(S162=0,"",COUNTIF(R$12:R161,"&gt;0")+1)</f>
        <v/>
      </c>
      <c r="S162" s="533">
        <f t="shared" si="26"/>
        <v>0</v>
      </c>
      <c r="T162" s="533">
        <f>VLOOKUP(C162,A!A$1:AH$669,31,FALSE)</f>
        <v>0</v>
      </c>
      <c r="U162" s="533">
        <v>0.16500000000000001</v>
      </c>
      <c r="V162" s="533"/>
      <c r="W162" s="533" t="str">
        <f t="shared" si="29"/>
        <v/>
      </c>
      <c r="X162" s="533">
        <f>IF(V162&lt;&gt;"",COUNTIF(V$46:V162,V162)-1,0)</f>
        <v>0</v>
      </c>
      <c r="Y162" s="533"/>
      <c r="Z162" s="533" t="str">
        <f t="shared" si="37"/>
        <v/>
      </c>
      <c r="AA162" s="533" t="str">
        <f>IFERROR(RANK(Z162,Z$47:Z$226,0)+COUNTIF(Z$47:Z162,Z162)-1,"")</f>
        <v/>
      </c>
      <c r="AB162" s="533">
        <f t="shared" si="31"/>
        <v>0</v>
      </c>
      <c r="AC162" s="533">
        <f t="shared" si="30"/>
        <v>0</v>
      </c>
      <c r="AD162" s="533"/>
      <c r="AE162" s="533"/>
      <c r="AF162" s="533"/>
      <c r="AG162" s="533"/>
      <c r="AH162" s="533"/>
      <c r="AI162" s="533"/>
      <c r="AJ162" s="533"/>
      <c r="AK162" s="533"/>
      <c r="AL162" s="533"/>
      <c r="AM162" s="533"/>
      <c r="AN162" s="533"/>
      <c r="AO162" s="533"/>
    </row>
    <row r="163" spans="1:41" ht="11.25" hidden="1" customHeight="1" x14ac:dyDescent="0.25">
      <c r="A163" s="41"/>
      <c r="B163" s="104" t="s">
        <v>18</v>
      </c>
      <c r="C163" s="837" t="s">
        <v>293</v>
      </c>
      <c r="D163" s="728"/>
      <c r="E163" s="711"/>
      <c r="F163" s="686" t="s">
        <v>294</v>
      </c>
      <c r="G163" s="42" t="s">
        <v>295</v>
      </c>
      <c r="H163" s="27">
        <f>VLOOKUP(C163,A!A$1:H$669,8,FALSE)</f>
        <v>1</v>
      </c>
      <c r="I163" s="27"/>
      <c r="J163" s="28">
        <f>IF(VLOOKUP(C163,A!A$1:H$669,4,FALSE)="y",1,0)</f>
        <v>0</v>
      </c>
      <c r="K163" s="28">
        <f>IF(VLOOKUP(C163,A!A$1:H$669,5,FALSE)="y",1,0)</f>
        <v>0</v>
      </c>
      <c r="L163" s="544" t="str">
        <f t="shared" si="28"/>
        <v>Low</v>
      </c>
      <c r="M163" s="27">
        <f>VLOOKUP(C163,A!A$1:H$669,6,FALSE)</f>
        <v>0</v>
      </c>
      <c r="N163" s="44" t="s">
        <v>39</v>
      </c>
      <c r="O163" s="533">
        <f>VLOOKUP(C163,A!A$1:G$669,2,FALSE)</f>
        <v>0</v>
      </c>
      <c r="P163" s="533" t="s">
        <v>24</v>
      </c>
      <c r="Q163" s="533" t="str">
        <f>IF(S163=0,"",COUNTIF(Q$12:Q162,"&gt;0")+1)</f>
        <v/>
      </c>
      <c r="R163" s="533" t="str">
        <f>IF(S163=0,"",COUNTIF(R$12:R162,"&gt;0")+1)</f>
        <v/>
      </c>
      <c r="S163" s="533">
        <f t="shared" si="26"/>
        <v>0</v>
      </c>
      <c r="T163" s="533">
        <f>VLOOKUP(C163,A!A$1:AH$669,31,FALSE)</f>
        <v>0</v>
      </c>
      <c r="U163" s="533">
        <v>0.16500000000000001</v>
      </c>
      <c r="V163" s="533"/>
      <c r="W163" s="533" t="str">
        <f t="shared" si="29"/>
        <v/>
      </c>
      <c r="X163" s="533">
        <f>IF(V163&lt;&gt;"",COUNTIF(V$46:V163,V163)-1,0)</f>
        <v>0</v>
      </c>
      <c r="Y163" s="533"/>
      <c r="Z163" s="533" t="str">
        <f t="shared" si="37"/>
        <v/>
      </c>
      <c r="AA163" s="533" t="str">
        <f>IFERROR(RANK(Z163,Z$47:Z$226,0)+COUNTIF(Z$47:Z163,Z163)-1,"")</f>
        <v/>
      </c>
      <c r="AB163" s="533">
        <f t="shared" si="31"/>
        <v>0</v>
      </c>
      <c r="AC163" s="533">
        <f t="shared" si="30"/>
        <v>0</v>
      </c>
      <c r="AD163" s="533"/>
      <c r="AE163" s="533"/>
      <c r="AF163" s="533"/>
      <c r="AG163" s="533"/>
      <c r="AH163" s="533"/>
      <c r="AI163" s="533"/>
      <c r="AJ163" s="533"/>
      <c r="AK163" s="533"/>
      <c r="AL163" s="533"/>
      <c r="AM163" s="533"/>
      <c r="AN163" s="533"/>
      <c r="AO163" s="533"/>
    </row>
    <row r="164" spans="1:41" ht="13.5" hidden="1" customHeight="1" x14ac:dyDescent="0.25">
      <c r="A164" s="41"/>
      <c r="B164" s="104" t="s">
        <v>18</v>
      </c>
      <c r="C164" s="837" t="s">
        <v>296</v>
      </c>
      <c r="D164" s="728"/>
      <c r="E164" s="711"/>
      <c r="F164" s="686" t="s">
        <v>297</v>
      </c>
      <c r="G164" s="42" t="s">
        <v>298</v>
      </c>
      <c r="H164" s="27">
        <v>2</v>
      </c>
      <c r="I164" s="27"/>
      <c r="J164" s="28">
        <f>IF(VLOOKUP(C164,A!A$1:H$669,4,FALSE)="y",1,0)</f>
        <v>0</v>
      </c>
      <c r="K164" s="28">
        <f>IF(VLOOKUP(C164,A!A$1:H$669,5,FALSE)="y",1,0)</f>
        <v>0</v>
      </c>
      <c r="L164" s="544" t="str">
        <f t="shared" si="28"/>
        <v>Low</v>
      </c>
      <c r="M164" s="27">
        <f>VLOOKUP(C164,A!A$1:H$669,6,FALSE)</f>
        <v>0</v>
      </c>
      <c r="N164" s="44" t="s">
        <v>39</v>
      </c>
      <c r="O164" s="533">
        <f>VLOOKUP(C164,A!A$1:G$669,2,FALSE)</f>
        <v>0</v>
      </c>
      <c r="P164" s="533" t="s">
        <v>24</v>
      </c>
      <c r="Q164" s="533" t="str">
        <f>IF(S164=0,"",COUNTIF(Q$12:Q163,"&gt;0")+1)</f>
        <v/>
      </c>
      <c r="R164" s="533" t="str">
        <f>IF(S164=0,"",COUNTIF(R$12:R163,"&gt;0")+1)</f>
        <v/>
      </c>
      <c r="S164" s="533">
        <f t="shared" si="26"/>
        <v>0</v>
      </c>
      <c r="T164" s="533">
        <f>VLOOKUP(C164,A!A$1:AH$669,31,FALSE)</f>
        <v>0</v>
      </c>
      <c r="U164" s="533">
        <v>0.16500000000000001</v>
      </c>
      <c r="V164" s="533"/>
      <c r="W164" s="533" t="str">
        <f t="shared" si="29"/>
        <v/>
      </c>
      <c r="X164" s="533">
        <f>IF(V164&lt;&gt;"",COUNTIF(V$46:V164,V164)-1,0)</f>
        <v>0</v>
      </c>
      <c r="Y164" s="533"/>
      <c r="Z164" s="533" t="str">
        <f t="shared" si="37"/>
        <v/>
      </c>
      <c r="AA164" s="533" t="str">
        <f>IFERROR(RANK(Z164,Z$47:Z$226,0)+COUNTIF(Z$47:Z164,Z164)-1,"")</f>
        <v/>
      </c>
      <c r="AB164" s="533">
        <f t="shared" si="31"/>
        <v>0</v>
      </c>
      <c r="AC164" s="533">
        <f t="shared" si="30"/>
        <v>0</v>
      </c>
      <c r="AD164" s="533"/>
      <c r="AE164" s="533"/>
      <c r="AF164" s="533"/>
      <c r="AG164" s="533"/>
      <c r="AH164" s="533"/>
      <c r="AI164" s="533"/>
      <c r="AJ164" s="533"/>
      <c r="AK164" s="533"/>
      <c r="AL164" s="533"/>
      <c r="AM164" s="533"/>
      <c r="AN164" s="533"/>
      <c r="AO164" s="533"/>
    </row>
    <row r="165" spans="1:41" ht="11.25" hidden="1" customHeight="1" x14ac:dyDescent="0.25">
      <c r="A165" s="41"/>
      <c r="B165" s="104" t="s">
        <v>18</v>
      </c>
      <c r="C165" s="837" t="s">
        <v>299</v>
      </c>
      <c r="D165" s="728"/>
      <c r="E165" s="711"/>
      <c r="F165" s="686" t="s">
        <v>300</v>
      </c>
      <c r="G165" s="42" t="s">
        <v>301</v>
      </c>
      <c r="H165" s="27">
        <f>VLOOKUP(C165,A!A$1:H$669,8,FALSE)</f>
        <v>1</v>
      </c>
      <c r="I165" s="27"/>
      <c r="J165" s="28">
        <f>IF(VLOOKUP(C165,A!A$1:H$669,4,FALSE)="y",1,0)</f>
        <v>0</v>
      </c>
      <c r="K165" s="28">
        <f>IF(VLOOKUP(C165,A!A$1:H$669,5,FALSE)="y",1,0)</f>
        <v>0</v>
      </c>
      <c r="L165" s="544" t="str">
        <f t="shared" si="28"/>
        <v>Low</v>
      </c>
      <c r="M165" s="27">
        <f>VLOOKUP(C165,A!A$1:H$669,6,FALSE)</f>
        <v>0</v>
      </c>
      <c r="N165" s="44" t="s">
        <v>39</v>
      </c>
      <c r="O165" s="533">
        <f>VLOOKUP(C165,A!A$1:G$669,2,FALSE)</f>
        <v>0</v>
      </c>
      <c r="P165" s="533" t="s">
        <v>24</v>
      </c>
      <c r="Q165" s="533" t="str">
        <f>IF(S165=0,"",COUNTIF(Q$12:Q164,"&gt;0")+1)</f>
        <v/>
      </c>
      <c r="R165" s="533" t="str">
        <f>IF(S165=0,"",COUNTIF(R$12:R164,"&gt;0")+1)</f>
        <v/>
      </c>
      <c r="S165" s="533">
        <f t="shared" si="26"/>
        <v>0</v>
      </c>
      <c r="T165" s="533">
        <f>VLOOKUP(C165,A!A$1:AH$669,31,FALSE)</f>
        <v>0</v>
      </c>
      <c r="U165" s="533">
        <v>0.16500000000000001</v>
      </c>
      <c r="V165" s="533"/>
      <c r="W165" s="533" t="str">
        <f t="shared" si="29"/>
        <v/>
      </c>
      <c r="X165" s="533">
        <f>IF(V165&lt;&gt;"",COUNTIF(V$46:V165,V165)-1,0)</f>
        <v>0</v>
      </c>
      <c r="Y165" s="533"/>
      <c r="Z165" s="533" t="str">
        <f t="shared" si="37"/>
        <v/>
      </c>
      <c r="AA165" s="533" t="str">
        <f>IFERROR(RANK(Z165,Z$47:Z$226,0)+COUNTIF(Z$47:Z165,Z165)-1,"")</f>
        <v/>
      </c>
      <c r="AB165" s="533">
        <f t="shared" si="31"/>
        <v>0</v>
      </c>
      <c r="AC165" s="533">
        <f t="shared" si="30"/>
        <v>0</v>
      </c>
      <c r="AD165" s="533"/>
      <c r="AE165" s="533"/>
      <c r="AF165" s="533"/>
      <c r="AG165" s="533"/>
      <c r="AH165" s="533"/>
      <c r="AI165" s="533"/>
      <c r="AJ165" s="533"/>
      <c r="AK165" s="533"/>
      <c r="AL165" s="533"/>
      <c r="AM165" s="533"/>
      <c r="AN165" s="533"/>
      <c r="AO165" s="533"/>
    </row>
    <row r="166" spans="1:41" ht="13.5" customHeight="1" x14ac:dyDescent="0.25">
      <c r="A166" s="41"/>
      <c r="B166" s="104" t="s">
        <v>18</v>
      </c>
      <c r="C166" s="837" t="s">
        <v>302</v>
      </c>
      <c r="D166" s="728"/>
      <c r="E166" s="711"/>
      <c r="F166" s="686" t="s">
        <v>303</v>
      </c>
      <c r="G166" s="42" t="s">
        <v>304</v>
      </c>
      <c r="H166" s="27">
        <v>2</v>
      </c>
      <c r="I166" s="27"/>
      <c r="J166" s="28">
        <f>IF(VLOOKUP(C166,A!A$1:H$669,4,FALSE)="y",1,0)</f>
        <v>1</v>
      </c>
      <c r="K166" s="28">
        <f>IF(VLOOKUP(C166,A!A$1:H$669,5,FALSE)="y",1,0)</f>
        <v>0</v>
      </c>
      <c r="L166" s="544" t="str">
        <f t="shared" si="28"/>
        <v>Low</v>
      </c>
      <c r="M166" s="27">
        <f>VLOOKUP(C166,A!A$1:H$669,6,FALSE)</f>
        <v>0</v>
      </c>
      <c r="N166" s="44" t="s">
        <v>39</v>
      </c>
      <c r="O166" s="533" t="str">
        <f>VLOOKUP(C166,A!A$1:G$669,2,FALSE)</f>
        <v>y</v>
      </c>
      <c r="P166" s="533" t="s">
        <v>24</v>
      </c>
      <c r="Q166" s="533" t="str">
        <f>IF(S166=0,"",COUNTIF(Q$12:Q165,"&gt;0")+1)</f>
        <v/>
      </c>
      <c r="R166" s="533" t="str">
        <f>IF(S166=0,"",COUNTIF(R$12:R165,"&gt;0")+1)</f>
        <v/>
      </c>
      <c r="S166" s="533">
        <f t="shared" si="26"/>
        <v>0</v>
      </c>
      <c r="T166" s="533">
        <f>VLOOKUP(C166,A!A$1:AH$669,31,FALSE)</f>
        <v>30</v>
      </c>
      <c r="U166" s="533">
        <v>0.16500000000000001</v>
      </c>
      <c r="V166" s="533">
        <v>51</v>
      </c>
      <c r="W166" s="533" t="str">
        <f t="shared" si="29"/>
        <v/>
      </c>
      <c r="X166" s="533">
        <f>IF(V166&lt;&gt;"",COUNTIF(V$46:V166,V166)-1,0)</f>
        <v>0</v>
      </c>
      <c r="Y166" s="533"/>
      <c r="Z166" s="533">
        <f t="shared" si="37"/>
        <v>-230</v>
      </c>
      <c r="AA166" s="533">
        <f>IFERROR(RANK(Z166,Z$47:Z$226,0)+COUNTIF(Z$47:Z166,Z166)-1,"")</f>
        <v>24</v>
      </c>
      <c r="AB166" s="533">
        <f t="shared" si="31"/>
        <v>0</v>
      </c>
      <c r="AC166" s="533">
        <f t="shared" si="30"/>
        <v>0</v>
      </c>
      <c r="AD166" s="533"/>
      <c r="AE166" s="533"/>
      <c r="AF166" s="533"/>
      <c r="AG166" s="533"/>
      <c r="AH166" s="533"/>
      <c r="AI166" s="533"/>
      <c r="AJ166" s="533"/>
      <c r="AK166" s="533"/>
      <c r="AL166" s="533"/>
      <c r="AM166" s="533"/>
      <c r="AN166" s="533"/>
      <c r="AO166" s="533"/>
    </row>
    <row r="167" spans="1:41" ht="13.5" customHeight="1" x14ac:dyDescent="0.25">
      <c r="A167" s="41"/>
      <c r="B167" s="104" t="s">
        <v>18</v>
      </c>
      <c r="C167" s="837" t="s">
        <v>305</v>
      </c>
      <c r="D167" s="728"/>
      <c r="E167" s="711"/>
      <c r="F167" s="686" t="s">
        <v>306</v>
      </c>
      <c r="G167" s="42" t="s">
        <v>307</v>
      </c>
      <c r="H167" s="27">
        <f>VLOOKUP(C167,A!A$1:H$669,8,FALSE)</f>
        <v>1</v>
      </c>
      <c r="I167" s="27" t="s">
        <v>30</v>
      </c>
      <c r="J167" s="28">
        <f>IF(VLOOKUP(C167,A!A$1:H$669,4,FALSE)="y",1,0)</f>
        <v>1</v>
      </c>
      <c r="K167" s="28">
        <f>IF(VLOOKUP(C167,A!A$1:H$669,5,FALSE)="y",1,0)</f>
        <v>0</v>
      </c>
      <c r="L167" s="544" t="str">
        <f t="shared" si="28"/>
        <v>Low</v>
      </c>
      <c r="M167" s="27">
        <f>VLOOKUP(C167,A!A$1:H$669,6,FALSE)</f>
        <v>0</v>
      </c>
      <c r="N167" s="44">
        <v>2</v>
      </c>
      <c r="O167" s="533" t="str">
        <f>VLOOKUP(C167,A!A$1:G$669,2,FALSE)</f>
        <v>y</v>
      </c>
      <c r="P167" s="533" t="s">
        <v>24</v>
      </c>
      <c r="Q167" s="533" t="str">
        <f>IF(S167=0,"",COUNTIF(Q$12:Q166,"&gt;0")+1)</f>
        <v/>
      </c>
      <c r="R167" s="533" t="str">
        <f>IF(S167=0,"",COUNTIF(R$12:R166,"&gt;0")+1)</f>
        <v/>
      </c>
      <c r="S167" s="533">
        <f t="shared" si="26"/>
        <v>0</v>
      </c>
      <c r="T167" s="533">
        <f>VLOOKUP(C167,A!A$1:AH$669,31,FALSE)</f>
        <v>30</v>
      </c>
      <c r="U167" s="533">
        <v>0.16500000000000001</v>
      </c>
      <c r="V167" s="533">
        <v>60</v>
      </c>
      <c r="W167" s="533" t="str">
        <f t="shared" si="29"/>
        <v/>
      </c>
      <c r="X167" s="533">
        <f>IF(V167&lt;&gt;"",COUNTIF(V$46:V167,V167)-1,0)</f>
        <v>0</v>
      </c>
      <c r="Y167" s="533">
        <f>A23</f>
        <v>0</v>
      </c>
      <c r="Z167" s="533">
        <f t="shared" si="37"/>
        <v>-130</v>
      </c>
      <c r="AA167" s="533">
        <f>IFERROR(RANK(Z167,Z$47:Z$226,0)+COUNTIF(Z$47:Z167,Z167)-1,"")</f>
        <v>6</v>
      </c>
      <c r="AB167" s="533">
        <f t="shared" si="31"/>
        <v>0</v>
      </c>
      <c r="AC167" s="533">
        <f t="shared" si="30"/>
        <v>0</v>
      </c>
      <c r="AD167" s="533"/>
      <c r="AE167" s="533"/>
      <c r="AF167" s="533"/>
      <c r="AG167" s="533"/>
      <c r="AH167" s="533"/>
      <c r="AI167" s="533"/>
      <c r="AJ167" s="533"/>
      <c r="AK167" s="533"/>
      <c r="AL167" s="533"/>
      <c r="AM167" s="533"/>
      <c r="AN167" s="533"/>
      <c r="AO167" s="533"/>
    </row>
    <row r="168" spans="1:41" ht="13.5" hidden="1" customHeight="1" x14ac:dyDescent="0.25">
      <c r="A168" s="41"/>
      <c r="B168" s="104" t="s">
        <v>18</v>
      </c>
      <c r="C168" s="837" t="s">
        <v>308</v>
      </c>
      <c r="D168" s="728"/>
      <c r="E168" s="711"/>
      <c r="F168" s="686" t="s">
        <v>1860</v>
      </c>
      <c r="G168" s="42" t="s">
        <v>1861</v>
      </c>
      <c r="H168" s="27">
        <f>VLOOKUP(C168,A!A$1:H$669,8,FALSE)</f>
        <v>2</v>
      </c>
      <c r="I168" s="27"/>
      <c r="J168" s="28">
        <f>IF(VLOOKUP(C168,A!A$1:H$669,4,FALSE)="y",1,0)</f>
        <v>1</v>
      </c>
      <c r="K168" s="28">
        <f>IF(VLOOKUP(C168,A!A$1:H$669,5,FALSE)="y",1,0)</f>
        <v>0</v>
      </c>
      <c r="L168" s="544" t="str">
        <f t="shared" si="28"/>
        <v>Low</v>
      </c>
      <c r="M168" s="27">
        <f>VLOOKUP(C168,A!A$1:H$669,6,FALSE)</f>
        <v>0</v>
      </c>
      <c r="N168" s="44">
        <v>2</v>
      </c>
      <c r="O168" s="533">
        <f>VLOOKUP(C168,A!A$1:G$669,2,FALSE)</f>
        <v>0</v>
      </c>
      <c r="P168" s="533" t="s">
        <v>24</v>
      </c>
      <c r="Q168" s="533" t="str">
        <f>IF(S168=0,"",COUNTIF(Q$12:Q167,"&gt;0")+1)</f>
        <v/>
      </c>
      <c r="R168" s="533" t="str">
        <f>IF(S168=0,"",COUNTIF(R$12:R167,"&gt;0")+1)</f>
        <v/>
      </c>
      <c r="S168" s="533">
        <f t="shared" ref="S168" si="39">A168+Y168+AB168+AC168</f>
        <v>0</v>
      </c>
      <c r="T168" s="533">
        <f>VLOOKUP(C168,A!A$1:AH$669,31,FALSE)</f>
        <v>30</v>
      </c>
      <c r="U168" s="533">
        <v>0.16500000000000001</v>
      </c>
      <c r="V168" s="533"/>
      <c r="W168" s="533" t="str">
        <f t="shared" ref="W168" si="40">IF(AND(V168&lt;&gt;"",O168=0),"Check",IF(AND(V168=0,O168="Y"),"Check",""))</f>
        <v/>
      </c>
      <c r="X168" s="533">
        <f>IF(V168&lt;&gt;"",COUNTIF(V$46:V168,V168)-1,0)</f>
        <v>0</v>
      </c>
      <c r="Y168" s="533">
        <f>A24</f>
        <v>0</v>
      </c>
      <c r="Z168" s="533" t="str">
        <f t="shared" ref="Z168" si="41">IFERROR(IF(AND(O168="y",IF(AND(A168&lt;&gt;"",A168=0),0,1)),H168*-100-A168*1000-T168,""),"")</f>
        <v/>
      </c>
      <c r="AA168" s="533" t="str">
        <f>IFERROR(RANK(Z168,Z$47:Z$226,0)+COUNTIF(Z$47:Z168,Z168)-1,"")</f>
        <v/>
      </c>
      <c r="AB168" s="533">
        <f t="shared" ref="AB168" si="42">IF(AA168&lt;=AB$46,1,0)</f>
        <v>0</v>
      </c>
      <c r="AC168" s="533">
        <f t="shared" ref="AC168" si="43">IF(AA168&lt;=AC$46,1,0)</f>
        <v>0</v>
      </c>
      <c r="AD168" s="533"/>
      <c r="AE168" s="533"/>
      <c r="AF168" s="533"/>
      <c r="AG168" s="533"/>
      <c r="AH168" s="533"/>
      <c r="AI168" s="533"/>
      <c r="AJ168" s="533"/>
      <c r="AK168" s="533"/>
      <c r="AL168" s="533"/>
      <c r="AM168" s="533"/>
      <c r="AN168" s="533"/>
      <c r="AO168" s="533"/>
    </row>
    <row r="169" spans="1:41" ht="13.5" hidden="1" customHeight="1" x14ac:dyDescent="0.25">
      <c r="A169" s="41"/>
      <c r="B169" s="104" t="s">
        <v>18</v>
      </c>
      <c r="C169" s="837" t="s">
        <v>313</v>
      </c>
      <c r="D169" s="728"/>
      <c r="E169" s="711"/>
      <c r="F169" s="686" t="s">
        <v>314</v>
      </c>
      <c r="G169" s="42" t="s">
        <v>315</v>
      </c>
      <c r="H169" s="27">
        <f>VLOOKUP(C169,A!A$1:H$669,8,FALSE)</f>
        <v>2</v>
      </c>
      <c r="I169" s="27"/>
      <c r="J169" s="28">
        <f>IF(VLOOKUP(C169,A!A$1:H$669,4,FALSE)="y",1,0)</f>
        <v>0</v>
      </c>
      <c r="K169" s="28">
        <f>IF(VLOOKUP(C169,A!A$1:H$669,5,FALSE)="y",1,0)</f>
        <v>0</v>
      </c>
      <c r="L169" s="544" t="str">
        <f t="shared" si="28"/>
        <v>Low</v>
      </c>
      <c r="M169" s="27">
        <f>VLOOKUP(C169,A!A$1:H$669,6,FALSE)</f>
        <v>0</v>
      </c>
      <c r="N169" s="44">
        <v>2</v>
      </c>
      <c r="O169" s="533">
        <f>VLOOKUP(C169,A!A$1:G$669,2,FALSE)</f>
        <v>0</v>
      </c>
      <c r="P169" s="533" t="s">
        <v>24</v>
      </c>
      <c r="Q169" s="533" t="str">
        <f>IF(S169=0,"",COUNTIF(Q$12:Q167,"&gt;0")+1)</f>
        <v/>
      </c>
      <c r="R169" s="533" t="str">
        <f>IF(S169=0,"",COUNTIF(R$12:R167,"&gt;0")+1)</f>
        <v/>
      </c>
      <c r="S169" s="533">
        <f t="shared" si="26"/>
        <v>0</v>
      </c>
      <c r="T169" s="533">
        <f>VLOOKUP(C169,A!A$1:AH$669,31,FALSE)</f>
        <v>0</v>
      </c>
      <c r="U169" s="533">
        <v>0.16500000000000001</v>
      </c>
      <c r="V169" s="533"/>
      <c r="W169" s="533" t="str">
        <f t="shared" si="29"/>
        <v/>
      </c>
      <c r="X169" s="533">
        <f>IF(V169&lt;&gt;"",COUNTIF(V$46:V169,V169)-1,0)</f>
        <v>0</v>
      </c>
      <c r="Y169" s="533"/>
      <c r="Z169" s="533" t="str">
        <f t="shared" si="37"/>
        <v/>
      </c>
      <c r="AA169" s="533" t="str">
        <f>IFERROR(RANK(Z169,Z$47:Z$226,0)+COUNTIF(Z$47:Z169,Z169)-1,"")</f>
        <v/>
      </c>
      <c r="AB169" s="533">
        <f t="shared" si="31"/>
        <v>0</v>
      </c>
      <c r="AC169" s="533">
        <f t="shared" si="30"/>
        <v>0</v>
      </c>
      <c r="AD169" s="533"/>
      <c r="AE169" s="533"/>
      <c r="AF169" s="533"/>
      <c r="AG169" s="533"/>
      <c r="AH169" s="533"/>
      <c r="AI169" s="533"/>
      <c r="AJ169" s="533"/>
      <c r="AK169" s="533"/>
      <c r="AL169" s="533"/>
      <c r="AM169" s="533"/>
      <c r="AN169" s="533"/>
      <c r="AO169" s="533"/>
    </row>
    <row r="170" spans="1:41" ht="11.25" hidden="1" customHeight="1" x14ac:dyDescent="0.25">
      <c r="A170" s="41"/>
      <c r="B170" s="104" t="s">
        <v>18</v>
      </c>
      <c r="C170" s="837" t="s">
        <v>316</v>
      </c>
      <c r="D170" s="727"/>
      <c r="E170" s="828"/>
      <c r="F170" s="686" t="s">
        <v>317</v>
      </c>
      <c r="G170" s="42" t="s">
        <v>318</v>
      </c>
      <c r="H170" s="27">
        <f>VLOOKUP(C170,A!A$1:H$669,8,FALSE)</f>
        <v>3</v>
      </c>
      <c r="I170" s="27"/>
      <c r="J170" s="28">
        <f>IF(VLOOKUP(C170,A!A$1:H$669,4,FALSE)="y",1,0)</f>
        <v>0</v>
      </c>
      <c r="K170" s="28">
        <f>IF(VLOOKUP(C170,A!A$1:H$669,5,FALSE)="y",1,0)</f>
        <v>0</v>
      </c>
      <c r="L170" s="544" t="str">
        <f t="shared" si="28"/>
        <v>Low</v>
      </c>
      <c r="M170" s="27">
        <f>VLOOKUP(C170,A!A$1:H$669,6,FALSE)</f>
        <v>0</v>
      </c>
      <c r="N170" s="44" t="s">
        <v>39</v>
      </c>
      <c r="O170" s="533">
        <f>VLOOKUP(C170,A!A$1:G$669,2,FALSE)</f>
        <v>0</v>
      </c>
      <c r="P170" s="533" t="s">
        <v>24</v>
      </c>
      <c r="Q170" s="533" t="str">
        <f>IF(S170=0,"",COUNTIF(Q$12:Q169,"&gt;0")+1)</f>
        <v/>
      </c>
      <c r="R170" s="533" t="str">
        <f>IF(S170=0,"",COUNTIF(R$12:R169,"&gt;0")+1)</f>
        <v/>
      </c>
      <c r="S170" s="533">
        <f t="shared" si="26"/>
        <v>0</v>
      </c>
      <c r="T170" s="533">
        <f>VLOOKUP(C170,A!A$1:AH$669,31,FALSE)</f>
        <v>0</v>
      </c>
      <c r="U170" s="533">
        <v>0.16500000000000001</v>
      </c>
      <c r="V170" s="533"/>
      <c r="W170" s="533" t="str">
        <f t="shared" si="29"/>
        <v/>
      </c>
      <c r="X170" s="533">
        <f>IF(V170&lt;&gt;"",COUNTIF(V$46:V170,V170)-1,0)</f>
        <v>0</v>
      </c>
      <c r="Y170" s="533"/>
      <c r="Z170" s="533" t="str">
        <f t="shared" si="37"/>
        <v/>
      </c>
      <c r="AA170" s="533" t="str">
        <f>IFERROR(RANK(Z170,Z$47:Z$226,0)+COUNTIF(Z$47:Z170,Z170)-1,"")</f>
        <v/>
      </c>
      <c r="AB170" s="533">
        <f t="shared" si="31"/>
        <v>0</v>
      </c>
      <c r="AC170" s="533">
        <f t="shared" si="30"/>
        <v>0</v>
      </c>
      <c r="AD170" s="533"/>
      <c r="AE170" s="533"/>
      <c r="AF170" s="533"/>
      <c r="AG170" s="533"/>
      <c r="AH170" s="533"/>
      <c r="AI170" s="533"/>
      <c r="AJ170" s="533"/>
      <c r="AK170" s="533"/>
      <c r="AL170" s="533"/>
      <c r="AM170" s="533"/>
      <c r="AN170" s="533"/>
      <c r="AO170" s="533"/>
    </row>
    <row r="171" spans="1:41" ht="13.5" customHeight="1" x14ac:dyDescent="0.25">
      <c r="A171" s="41"/>
      <c r="B171" s="104" t="s">
        <v>18</v>
      </c>
      <c r="C171" s="837" t="s">
        <v>319</v>
      </c>
      <c r="D171" s="727"/>
      <c r="E171" s="828"/>
      <c r="F171" s="686" t="s">
        <v>320</v>
      </c>
      <c r="G171" s="42" t="s">
        <v>321</v>
      </c>
      <c r="H171" s="27">
        <f>VLOOKUP(C171,A!A$1:H$669,8,FALSE)</f>
        <v>1</v>
      </c>
      <c r="I171" s="27"/>
      <c r="J171" s="28">
        <f>IF(VLOOKUP(C171,A!A$1:H$669,4,FALSE)="y",1,0)</f>
        <v>1</v>
      </c>
      <c r="K171" s="28">
        <f>IF(VLOOKUP(C171,A!A$1:H$669,5,FALSE)="y",1,0)</f>
        <v>0</v>
      </c>
      <c r="L171" s="544" t="str">
        <f t="shared" si="28"/>
        <v>Low</v>
      </c>
      <c r="M171" s="27">
        <f>VLOOKUP(C171,A!A$1:H$669,6,FALSE)</f>
        <v>0</v>
      </c>
      <c r="N171" s="44" t="s">
        <v>39</v>
      </c>
      <c r="O171" s="533" t="str">
        <f>VLOOKUP(C171,A!A$1:G$669,2,FALSE)</f>
        <v>y</v>
      </c>
      <c r="P171" s="533" t="s">
        <v>24</v>
      </c>
      <c r="Q171" s="533" t="str">
        <f>IF(S171=0,"",COUNTIF(Q$12:Q170,"&gt;0")+1)</f>
        <v/>
      </c>
      <c r="R171" s="533" t="str">
        <f>IF(S171=0,"",COUNTIF(R$12:R170,"&gt;0")+1)</f>
        <v/>
      </c>
      <c r="S171" s="533">
        <f>A171+Y171+AB171+AC171</f>
        <v>0</v>
      </c>
      <c r="T171" s="533">
        <f>VLOOKUP(C171,A!A$1:AH$669,31,FALSE)</f>
        <v>30</v>
      </c>
      <c r="U171" s="533">
        <v>0.16500000000000001</v>
      </c>
      <c r="V171" s="533">
        <v>52</v>
      </c>
      <c r="W171" s="533" t="str">
        <f t="shared" si="29"/>
        <v/>
      </c>
      <c r="X171" s="533">
        <f>IF(V171&lt;&gt;"",COUNTIF(V$46:V171,V171)-1,0)</f>
        <v>0</v>
      </c>
      <c r="Y171" s="533">
        <f>A23</f>
        <v>0</v>
      </c>
      <c r="Z171" s="533">
        <f t="shared" si="37"/>
        <v>-130</v>
      </c>
      <c r="AA171" s="533">
        <f>IFERROR(RANK(Z171,Z$47:Z$226,0)+COUNTIF(Z$47:Z171,Z171)-1,"")</f>
        <v>7</v>
      </c>
      <c r="AB171" s="533">
        <f t="shared" si="31"/>
        <v>0</v>
      </c>
      <c r="AC171" s="533">
        <f t="shared" si="30"/>
        <v>0</v>
      </c>
      <c r="AD171" s="533"/>
      <c r="AE171" s="533"/>
      <c r="AF171" s="533"/>
      <c r="AG171" s="533"/>
      <c r="AH171" s="533"/>
      <c r="AI171" s="533"/>
      <c r="AJ171" s="533"/>
      <c r="AK171" s="533"/>
      <c r="AL171" s="533"/>
      <c r="AM171" s="533"/>
      <c r="AN171" s="533"/>
      <c r="AO171" s="533"/>
    </row>
    <row r="172" spans="1:41" ht="13.5" hidden="1" customHeight="1" x14ac:dyDescent="0.25">
      <c r="A172" s="41"/>
      <c r="B172" s="104" t="s">
        <v>18</v>
      </c>
      <c r="C172" s="837" t="s">
        <v>322</v>
      </c>
      <c r="D172" s="727"/>
      <c r="E172" s="711"/>
      <c r="F172" s="686" t="s">
        <v>323</v>
      </c>
      <c r="G172" s="42" t="s">
        <v>324</v>
      </c>
      <c r="H172" s="27">
        <f>VLOOKUP(C172,A!A$1:H$669,8,FALSE)</f>
        <v>2</v>
      </c>
      <c r="I172" s="27"/>
      <c r="J172" s="28">
        <f>IF(VLOOKUP(C172,A!A$1:H$669,4,FALSE)="y",1,0)</f>
        <v>0</v>
      </c>
      <c r="K172" s="28">
        <f>IF(VLOOKUP(C172,A!A$1:H$669,5,FALSE)="y",1,0)</f>
        <v>0</v>
      </c>
      <c r="L172" s="544" t="str">
        <f t="shared" si="28"/>
        <v>Low</v>
      </c>
      <c r="M172" s="27">
        <f>VLOOKUP(C172,A!A$1:H$669,6,FALSE)</f>
        <v>0</v>
      </c>
      <c r="N172" s="44" t="s">
        <v>39</v>
      </c>
      <c r="O172" s="533">
        <f>VLOOKUP(C172,A!A$1:G$669,2,FALSE)</f>
        <v>0</v>
      </c>
      <c r="P172" s="533" t="s">
        <v>24</v>
      </c>
      <c r="Q172" s="533" t="str">
        <f>IF(S172=0,"",COUNTIF(Q$12:Q171,"&gt;0")+1)</f>
        <v/>
      </c>
      <c r="R172" s="533" t="str">
        <f>IF(S172=0,"",COUNTIF(R$12:R171,"&gt;0")+1)</f>
        <v/>
      </c>
      <c r="S172" s="533">
        <f>A172+Y172+AB172+AC172</f>
        <v>0</v>
      </c>
      <c r="T172" s="533">
        <f>VLOOKUP(C172,A!A$1:AH$669,31,FALSE)</f>
        <v>0</v>
      </c>
      <c r="U172" s="533">
        <v>0.16500000000000001</v>
      </c>
      <c r="V172" s="533"/>
      <c r="W172" s="533" t="str">
        <f t="shared" si="29"/>
        <v/>
      </c>
      <c r="X172" s="533">
        <f>IF(V172&lt;&gt;"",COUNTIF(V$46:V172,V172)-1,0)</f>
        <v>0</v>
      </c>
      <c r="Y172" s="533"/>
      <c r="Z172" s="533" t="str">
        <f t="shared" si="37"/>
        <v/>
      </c>
      <c r="AA172" s="533" t="str">
        <f>IFERROR(RANK(Z172,Z$47:Z$226,0)+COUNTIF(Z$47:Z172,Z172)-1,"")</f>
        <v/>
      </c>
      <c r="AB172" s="533">
        <f t="shared" si="31"/>
        <v>0</v>
      </c>
      <c r="AC172" s="533">
        <f t="shared" si="30"/>
        <v>0</v>
      </c>
      <c r="AD172" s="533"/>
      <c r="AE172" s="533"/>
      <c r="AF172" s="533"/>
      <c r="AG172" s="533"/>
      <c r="AH172" s="533"/>
      <c r="AI172" s="533"/>
      <c r="AJ172" s="533"/>
      <c r="AK172" s="533"/>
      <c r="AL172" s="533"/>
      <c r="AM172" s="533"/>
      <c r="AN172" s="533"/>
      <c r="AO172" s="533"/>
    </row>
    <row r="173" spans="1:41" ht="11.25" hidden="1" customHeight="1" x14ac:dyDescent="0.25">
      <c r="A173" s="41"/>
      <c r="B173" s="104" t="s">
        <v>18</v>
      </c>
      <c r="C173" s="837" t="s">
        <v>325</v>
      </c>
      <c r="D173" s="727"/>
      <c r="E173" s="828"/>
      <c r="F173" s="686" t="s">
        <v>323</v>
      </c>
      <c r="G173" s="42" t="s">
        <v>324</v>
      </c>
      <c r="H173" s="27">
        <f>VLOOKUP(C173,A!A$1:H$669,8,FALSE)</f>
        <v>2</v>
      </c>
      <c r="I173" s="27"/>
      <c r="J173" s="28">
        <f>IF(VLOOKUP(C173,A!A$1:H$669,4,FALSE)="y",1,0)</f>
        <v>0</v>
      </c>
      <c r="K173" s="28">
        <f>IF(VLOOKUP(C173,A!A$1:H$669,5,FALSE)="y",1,0)</f>
        <v>0</v>
      </c>
      <c r="L173" s="544" t="str">
        <f t="shared" si="28"/>
        <v>Low</v>
      </c>
      <c r="M173" s="27">
        <f>VLOOKUP(C173,A!A$1:H$669,6,FALSE)</f>
        <v>0</v>
      </c>
      <c r="N173" s="44" t="s">
        <v>326</v>
      </c>
      <c r="O173" s="533">
        <f>VLOOKUP(C173,A!A$1:G$669,2,FALSE)</f>
        <v>0</v>
      </c>
      <c r="P173" s="533" t="s">
        <v>24</v>
      </c>
      <c r="Q173" s="533" t="str">
        <f>IF(S173=0,"",COUNTIF(Q$12:Q172,"&gt;0")+1)</f>
        <v/>
      </c>
      <c r="R173" s="533" t="str">
        <f>IF(S173=0,"",COUNTIF(R$12:R172,"&gt;0")+1)</f>
        <v/>
      </c>
      <c r="S173" s="533">
        <f t="shared" si="26"/>
        <v>0</v>
      </c>
      <c r="T173" s="533">
        <f>VLOOKUP(C173,A!A$1:AH$669,31,FALSE)</f>
        <v>0</v>
      </c>
      <c r="U173" s="533">
        <v>0.16500000000000001</v>
      </c>
      <c r="V173" s="533"/>
      <c r="W173" s="533" t="str">
        <f t="shared" si="29"/>
        <v/>
      </c>
      <c r="X173" s="533">
        <f>IF(V173&lt;&gt;"",COUNTIF(V$46:V173,V173)-1,0)</f>
        <v>0</v>
      </c>
      <c r="Y173" s="533"/>
      <c r="Z173" s="533" t="str">
        <f t="shared" si="37"/>
        <v/>
      </c>
      <c r="AA173" s="533" t="str">
        <f>IFERROR(RANK(Z173,Z$47:Z$226,0)+COUNTIF(Z$47:Z173,Z173)-1,"")</f>
        <v/>
      </c>
      <c r="AB173" s="533">
        <f t="shared" si="31"/>
        <v>0</v>
      </c>
      <c r="AC173" s="533">
        <f t="shared" si="30"/>
        <v>0</v>
      </c>
      <c r="AD173" s="533"/>
      <c r="AE173" s="533"/>
      <c r="AF173" s="533"/>
      <c r="AG173" s="533"/>
      <c r="AH173" s="533"/>
      <c r="AI173" s="533"/>
      <c r="AJ173" s="533"/>
      <c r="AK173" s="533"/>
      <c r="AL173" s="533"/>
      <c r="AM173" s="533"/>
      <c r="AN173" s="533"/>
      <c r="AO173" s="533"/>
    </row>
    <row r="174" spans="1:41" ht="11.25" hidden="1" customHeight="1" x14ac:dyDescent="0.25">
      <c r="A174" s="41"/>
      <c r="B174" s="104" t="s">
        <v>18</v>
      </c>
      <c r="C174" s="837" t="s">
        <v>327</v>
      </c>
      <c r="D174" s="727"/>
      <c r="E174" s="828"/>
      <c r="F174" s="686" t="s">
        <v>323</v>
      </c>
      <c r="G174" s="42" t="s">
        <v>324</v>
      </c>
      <c r="H174" s="27">
        <f>VLOOKUP(C174,A!A$1:H$669,8,FALSE)</f>
        <v>2</v>
      </c>
      <c r="I174" s="27"/>
      <c r="J174" s="28">
        <f>IF(VLOOKUP(C174,A!A$1:H$669,4,FALSE)="y",1,0)</f>
        <v>0</v>
      </c>
      <c r="K174" s="28">
        <f>IF(VLOOKUP(C174,A!A$1:H$669,5,FALSE)="y",1,0)</f>
        <v>0</v>
      </c>
      <c r="L174" s="544" t="str">
        <f t="shared" si="28"/>
        <v>Low</v>
      </c>
      <c r="M174" s="27">
        <f>VLOOKUP(C174,A!A$1:H$669,6,FALSE)</f>
        <v>0</v>
      </c>
      <c r="N174" s="44" t="s">
        <v>328</v>
      </c>
      <c r="O174" s="533">
        <f>VLOOKUP(C174,A!A$1:G$669,2,FALSE)</f>
        <v>0</v>
      </c>
      <c r="P174" s="533" t="s">
        <v>24</v>
      </c>
      <c r="Q174" s="533" t="str">
        <f>IF(S174=0,"",COUNTIF(Q$12:Q173,"&gt;0")+1)</f>
        <v/>
      </c>
      <c r="R174" s="533" t="str">
        <f>IF(S174=0,"",COUNTIF(R$12:R173,"&gt;0")+1)</f>
        <v/>
      </c>
      <c r="S174" s="533">
        <f t="shared" si="26"/>
        <v>0</v>
      </c>
      <c r="T174" s="533">
        <f>VLOOKUP(C174,A!A$1:AH$669,31,FALSE)</f>
        <v>0</v>
      </c>
      <c r="U174" s="533">
        <v>0.16500000000000001</v>
      </c>
      <c r="V174" s="533"/>
      <c r="W174" s="533" t="str">
        <f t="shared" si="29"/>
        <v/>
      </c>
      <c r="X174" s="533">
        <f>IF(V174&lt;&gt;"",COUNTIF(V$46:V174,V174)-1,0)</f>
        <v>0</v>
      </c>
      <c r="Y174" s="533"/>
      <c r="Z174" s="533" t="str">
        <f t="shared" si="37"/>
        <v/>
      </c>
      <c r="AA174" s="533" t="str">
        <f>IFERROR(RANK(Z174,Z$47:Z$226,0)+COUNTIF(Z$47:Z174,Z174)-1,"")</f>
        <v/>
      </c>
      <c r="AB174" s="533">
        <f t="shared" si="31"/>
        <v>0</v>
      </c>
      <c r="AC174" s="533">
        <f t="shared" si="30"/>
        <v>0</v>
      </c>
      <c r="AD174" s="533"/>
      <c r="AE174" s="533"/>
      <c r="AF174" s="533"/>
      <c r="AG174" s="533"/>
      <c r="AH174" s="533"/>
      <c r="AI174" s="533"/>
      <c r="AJ174" s="533"/>
      <c r="AK174" s="533"/>
      <c r="AL174" s="533"/>
      <c r="AM174" s="533"/>
      <c r="AN174" s="533"/>
      <c r="AO174" s="533"/>
    </row>
    <row r="175" spans="1:41" ht="11.25" hidden="1" customHeight="1" x14ac:dyDescent="0.25">
      <c r="A175" s="41"/>
      <c r="B175" s="104" t="s">
        <v>18</v>
      </c>
      <c r="C175" s="837" t="s">
        <v>329</v>
      </c>
      <c r="D175" s="727"/>
      <c r="E175" s="828"/>
      <c r="F175" s="686" t="s">
        <v>330</v>
      </c>
      <c r="G175" s="42" t="s">
        <v>331</v>
      </c>
      <c r="H175" s="27">
        <f>VLOOKUP(C175,A!A$1:H$669,8,FALSE)</f>
        <v>1</v>
      </c>
      <c r="I175" s="27"/>
      <c r="J175" s="28">
        <f>IF(VLOOKUP(C175,A!A$1:H$669,4,FALSE)="y",1,0)</f>
        <v>0</v>
      </c>
      <c r="K175" s="28">
        <f>IF(VLOOKUP(C175,A!A$1:H$669,5,FALSE)="y",1,0)</f>
        <v>0</v>
      </c>
      <c r="L175" s="544" t="str">
        <f t="shared" si="28"/>
        <v>Low</v>
      </c>
      <c r="M175" s="27">
        <f>VLOOKUP(C175,A!A$1:H$669,6,FALSE)</f>
        <v>0</v>
      </c>
      <c r="N175" s="44">
        <v>1</v>
      </c>
      <c r="O175" s="533">
        <f>VLOOKUP(C175,A!A$1:G$669,2,FALSE)</f>
        <v>0</v>
      </c>
      <c r="P175" s="533" t="s">
        <v>24</v>
      </c>
      <c r="Q175" s="533" t="str">
        <f>IF(S175=0,"",COUNTIF(Q$12:Q174,"&gt;0")+1)</f>
        <v/>
      </c>
      <c r="R175" s="533" t="str">
        <f>IF(S175=0,"",COUNTIF(R$12:R174,"&gt;0")+1)</f>
        <v/>
      </c>
      <c r="S175" s="533">
        <f t="shared" si="26"/>
        <v>0</v>
      </c>
      <c r="T175" s="533">
        <f>VLOOKUP(C175,A!A$1:AH$669,31,FALSE)</f>
        <v>0</v>
      </c>
      <c r="U175" s="533">
        <v>0.16500000000000001</v>
      </c>
      <c r="V175" s="533"/>
      <c r="W175" s="533" t="str">
        <f t="shared" si="29"/>
        <v/>
      </c>
      <c r="X175" s="533">
        <f>IF(V175&lt;&gt;"",COUNTIF(V$46:V175,V175)-1,0)</f>
        <v>0</v>
      </c>
      <c r="Y175" s="533"/>
      <c r="Z175" s="533" t="str">
        <f t="shared" si="37"/>
        <v/>
      </c>
      <c r="AA175" s="533" t="str">
        <f>IFERROR(RANK(Z175,Z$47:Z$226,0)+COUNTIF(Z$47:Z175,Z175)-1,"")</f>
        <v/>
      </c>
      <c r="AB175" s="533">
        <f t="shared" si="31"/>
        <v>0</v>
      </c>
      <c r="AC175" s="533">
        <f t="shared" si="30"/>
        <v>0</v>
      </c>
      <c r="AD175" s="533"/>
      <c r="AE175" s="533"/>
      <c r="AF175" s="533"/>
      <c r="AG175" s="533"/>
      <c r="AH175" s="533"/>
      <c r="AI175" s="533"/>
      <c r="AJ175" s="533"/>
      <c r="AK175" s="533"/>
      <c r="AL175" s="533"/>
      <c r="AM175" s="533"/>
      <c r="AN175" s="533"/>
      <c r="AO175" s="533"/>
    </row>
    <row r="176" spans="1:41" ht="13.5" hidden="1" customHeight="1" x14ac:dyDescent="0.25">
      <c r="A176" s="41"/>
      <c r="B176" s="104" t="s">
        <v>18</v>
      </c>
      <c r="C176" s="837" t="s">
        <v>332</v>
      </c>
      <c r="D176" s="728"/>
      <c r="E176" s="711"/>
      <c r="F176" s="686" t="s">
        <v>333</v>
      </c>
      <c r="G176" s="42" t="s">
        <v>334</v>
      </c>
      <c r="H176" s="27">
        <f>VLOOKUP(C176,A!A$1:H$669,8,FALSE)</f>
        <v>1</v>
      </c>
      <c r="I176" s="27"/>
      <c r="J176" s="28">
        <f>IF(VLOOKUP(C176,A!A$1:H$669,4,FALSE)="y",1,0)</f>
        <v>0</v>
      </c>
      <c r="K176" s="28">
        <f>IF(VLOOKUP(C176,A!A$1:H$669,5,FALSE)="y",1,0)</f>
        <v>0</v>
      </c>
      <c r="L176" s="544" t="str">
        <f t="shared" si="28"/>
        <v>Low</v>
      </c>
      <c r="M176" s="27"/>
      <c r="N176" s="44" t="s">
        <v>39</v>
      </c>
      <c r="O176" s="533">
        <f>VLOOKUP(C176,A!A$1:G$669,2,FALSE)</f>
        <v>0</v>
      </c>
      <c r="P176" s="533" t="s">
        <v>24</v>
      </c>
      <c r="Q176" s="533" t="str">
        <f>IF(S176=0,"",COUNTIF(Q$12:Q175,"&gt;0")+1)</f>
        <v/>
      </c>
      <c r="R176" s="533" t="str">
        <f>IF(S176=0,"",COUNTIF(R$12:R175,"&gt;0")+1)</f>
        <v/>
      </c>
      <c r="S176" s="533">
        <f t="shared" si="26"/>
        <v>0</v>
      </c>
      <c r="T176" s="533">
        <f>VLOOKUP(C176,A!A$1:AH$669,31,FALSE)</f>
        <v>0</v>
      </c>
      <c r="U176" s="533">
        <v>0.16500000000000001</v>
      </c>
      <c r="V176" s="533"/>
      <c r="W176" s="533" t="str">
        <f t="shared" si="29"/>
        <v/>
      </c>
      <c r="X176" s="533">
        <f>IF(V176&lt;&gt;"",COUNTIF(V$46:V176,V176)-1,0)</f>
        <v>0</v>
      </c>
      <c r="Y176" s="533"/>
      <c r="Z176" s="533" t="str">
        <f t="shared" si="37"/>
        <v/>
      </c>
      <c r="AA176" s="533" t="str">
        <f>IFERROR(RANK(Z176,Z$47:Z$226,0)+COUNTIF(Z$47:Z176,Z176)-1,"")</f>
        <v/>
      </c>
      <c r="AB176" s="533">
        <f t="shared" si="31"/>
        <v>0</v>
      </c>
      <c r="AC176" s="533">
        <f t="shared" si="30"/>
        <v>0</v>
      </c>
      <c r="AD176" s="533"/>
      <c r="AE176" s="533"/>
      <c r="AF176" s="533"/>
      <c r="AG176" s="533"/>
      <c r="AH176" s="533"/>
      <c r="AI176" s="533"/>
      <c r="AJ176" s="533"/>
      <c r="AK176" s="533"/>
      <c r="AL176" s="533"/>
      <c r="AM176" s="533"/>
      <c r="AN176" s="533"/>
      <c r="AO176" s="533"/>
    </row>
    <row r="177" spans="1:41" ht="11.25" hidden="1" customHeight="1" x14ac:dyDescent="0.25">
      <c r="A177" s="41"/>
      <c r="B177" s="104" t="s">
        <v>18</v>
      </c>
      <c r="C177" s="837" t="s">
        <v>335</v>
      </c>
      <c r="D177" s="727"/>
      <c r="E177" s="828"/>
      <c r="F177" s="686" t="s">
        <v>333</v>
      </c>
      <c r="G177" s="42" t="s">
        <v>336</v>
      </c>
      <c r="H177" s="27">
        <f>VLOOKUP(C177,A!A$1:H$669,8,FALSE)</f>
        <v>1</v>
      </c>
      <c r="I177" s="27"/>
      <c r="J177" s="28">
        <f>IF(VLOOKUP(C177,A!A$1:H$669,4,FALSE)="y",1,0)</f>
        <v>0</v>
      </c>
      <c r="K177" s="28">
        <f>IF(VLOOKUP(C177,A!A$1:H$669,5,FALSE)="y",1,0)</f>
        <v>0</v>
      </c>
      <c r="L177" s="544" t="str">
        <f t="shared" si="28"/>
        <v>Low</v>
      </c>
      <c r="M177" s="27">
        <f>VLOOKUP(C177,A!A$1:H$669,6,FALSE)</f>
        <v>0</v>
      </c>
      <c r="N177" s="44" t="s">
        <v>337</v>
      </c>
      <c r="O177" s="533">
        <f>VLOOKUP(C177,A!A$1:G$669,2,FALSE)</f>
        <v>0</v>
      </c>
      <c r="P177" s="533" t="s">
        <v>24</v>
      </c>
      <c r="Q177" s="533" t="str">
        <f>IF(S177=0,"",COUNTIF(Q$12:Q176,"&gt;0")+1)</f>
        <v/>
      </c>
      <c r="R177" s="533" t="str">
        <f>IF(S177=0,"",COUNTIF(R$12:R176,"&gt;0")+1)</f>
        <v/>
      </c>
      <c r="S177" s="533">
        <f t="shared" si="26"/>
        <v>0</v>
      </c>
      <c r="T177" s="533">
        <f>VLOOKUP(C177,A!A$1:AH$669,31,FALSE)</f>
        <v>0</v>
      </c>
      <c r="U177" s="533">
        <v>0.16500000000000001</v>
      </c>
      <c r="V177" s="533"/>
      <c r="W177" s="533" t="str">
        <f t="shared" si="29"/>
        <v/>
      </c>
      <c r="X177" s="533">
        <f>IF(V177&lt;&gt;"",COUNTIF(V$46:V177,V177)-1,0)</f>
        <v>0</v>
      </c>
      <c r="Y177" s="533"/>
      <c r="Z177" s="533" t="str">
        <f t="shared" si="37"/>
        <v/>
      </c>
      <c r="AA177" s="533" t="str">
        <f>IFERROR(RANK(Z177,Z$47:Z$226,0)+COUNTIF(Z$47:Z177,Z177)-1,"")</f>
        <v/>
      </c>
      <c r="AB177" s="533">
        <f t="shared" si="31"/>
        <v>0</v>
      </c>
      <c r="AC177" s="533">
        <f t="shared" si="30"/>
        <v>0</v>
      </c>
      <c r="AD177" s="533"/>
      <c r="AE177" s="533"/>
      <c r="AF177" s="533"/>
      <c r="AG177" s="533"/>
      <c r="AH177" s="533"/>
      <c r="AI177" s="533"/>
      <c r="AJ177" s="533"/>
      <c r="AK177" s="533"/>
      <c r="AL177" s="533"/>
      <c r="AM177" s="533"/>
      <c r="AN177" s="533"/>
      <c r="AO177" s="533"/>
    </row>
    <row r="178" spans="1:41" ht="11.25" hidden="1" customHeight="1" x14ac:dyDescent="0.25">
      <c r="A178" s="41"/>
      <c r="B178" s="104" t="s">
        <v>18</v>
      </c>
      <c r="C178" s="837" t="s">
        <v>338</v>
      </c>
      <c r="D178" s="727"/>
      <c r="E178" s="828"/>
      <c r="F178" s="686" t="s">
        <v>333</v>
      </c>
      <c r="G178" s="42" t="s">
        <v>339</v>
      </c>
      <c r="H178" s="27">
        <f>VLOOKUP(C178,A!A$1:H$669,8,FALSE)</f>
        <v>1</v>
      </c>
      <c r="I178" s="27"/>
      <c r="J178" s="28">
        <f>IF(VLOOKUP(C178,A!A$1:H$669,4,FALSE)="y",1,0)</f>
        <v>0</v>
      </c>
      <c r="K178" s="28">
        <f>IF(VLOOKUP(C178,A!A$1:H$669,5,FALSE)="y",1,0)</f>
        <v>0</v>
      </c>
      <c r="L178" s="544" t="str">
        <f t="shared" si="28"/>
        <v>Low</v>
      </c>
      <c r="M178" s="27">
        <f>VLOOKUP(C178,A!A$1:H$669,6,FALSE)</f>
        <v>0</v>
      </c>
      <c r="N178" s="44" t="s">
        <v>39</v>
      </c>
      <c r="O178" s="533">
        <f>VLOOKUP(C178,A!A$1:G$669,2,FALSE)</f>
        <v>0</v>
      </c>
      <c r="P178" s="533" t="s">
        <v>24</v>
      </c>
      <c r="Q178" s="533" t="str">
        <f>IF(S178=0,"",COUNTIF(Q$12:Q177,"&gt;0")+1)</f>
        <v/>
      </c>
      <c r="R178" s="533" t="str">
        <f>IF(S178=0,"",COUNTIF(R$12:R177,"&gt;0")+1)</f>
        <v/>
      </c>
      <c r="S178" s="533">
        <f t="shared" si="26"/>
        <v>0</v>
      </c>
      <c r="T178" s="533">
        <f>VLOOKUP(C178,A!A$1:AH$669,31,FALSE)</f>
        <v>0</v>
      </c>
      <c r="U178" s="533">
        <v>0.16500000000000001</v>
      </c>
      <c r="V178" s="533"/>
      <c r="W178" s="533" t="str">
        <f t="shared" si="29"/>
        <v/>
      </c>
      <c r="X178" s="533">
        <f>IF(V178&lt;&gt;"",COUNTIF(V$46:V178,V178)-1,0)</f>
        <v>0</v>
      </c>
      <c r="Y178" s="533"/>
      <c r="Z178" s="533" t="str">
        <f t="shared" si="37"/>
        <v/>
      </c>
      <c r="AA178" s="533" t="str">
        <f>IFERROR(RANK(Z178,Z$47:Z$226,0)+COUNTIF(Z$47:Z178,Z178)-1,"")</f>
        <v/>
      </c>
      <c r="AB178" s="533">
        <f t="shared" si="31"/>
        <v>0</v>
      </c>
      <c r="AC178" s="533">
        <f t="shared" si="30"/>
        <v>0</v>
      </c>
      <c r="AD178" s="533"/>
      <c r="AE178" s="533"/>
      <c r="AF178" s="533"/>
      <c r="AG178" s="533"/>
      <c r="AH178" s="533"/>
      <c r="AI178" s="533"/>
      <c r="AJ178" s="533"/>
      <c r="AK178" s="533"/>
      <c r="AL178" s="533"/>
      <c r="AM178" s="533"/>
      <c r="AN178" s="533"/>
      <c r="AO178" s="533"/>
    </row>
    <row r="179" spans="1:41" ht="13.5" customHeight="1" x14ac:dyDescent="0.25">
      <c r="A179" s="41"/>
      <c r="B179" s="104" t="s">
        <v>18</v>
      </c>
      <c r="C179" s="837" t="s">
        <v>340</v>
      </c>
      <c r="D179" s="727"/>
      <c r="E179" s="828"/>
      <c r="F179" s="686" t="s">
        <v>341</v>
      </c>
      <c r="G179" s="42" t="s">
        <v>342</v>
      </c>
      <c r="H179" s="27">
        <f>VLOOKUP(C179,A!A$1:H$669,8,FALSE)</f>
        <v>3</v>
      </c>
      <c r="I179" s="27"/>
      <c r="J179" s="28">
        <f>IF(VLOOKUP(C179,A!A$1:H$669,4,FALSE)="y",1,0)</f>
        <v>1</v>
      </c>
      <c r="K179" s="28">
        <f>IF(VLOOKUP(C179,A!A$1:H$669,5,FALSE)="y",1,0)</f>
        <v>0</v>
      </c>
      <c r="L179" s="544" t="str">
        <f t="shared" si="28"/>
        <v>Low</v>
      </c>
      <c r="M179" s="27">
        <f>VLOOKUP(C179,A!A$1:H$669,6,FALSE)</f>
        <v>0</v>
      </c>
      <c r="N179" s="44">
        <v>2</v>
      </c>
      <c r="O179" s="533" t="str">
        <f>VLOOKUP(C179,A!A$1:G$669,2,FALSE)</f>
        <v>y</v>
      </c>
      <c r="P179" s="533" t="s">
        <v>24</v>
      </c>
      <c r="Q179" s="533" t="str">
        <f>IF(S179=0,"",COUNTIF(Q$12:Q178,"&gt;0")+1)</f>
        <v/>
      </c>
      <c r="R179" s="533" t="str">
        <f>IF(S179=0,"",COUNTIF(R$12:R178,"&gt;0")+1)</f>
        <v/>
      </c>
      <c r="S179" s="533">
        <f>A179+Y179+AB179+AC179+A23</f>
        <v>0</v>
      </c>
      <c r="T179" s="533">
        <f>VLOOKUP(C179,A!A$1:AH$669,31,FALSE)</f>
        <v>30</v>
      </c>
      <c r="U179" s="533">
        <v>0.16500000000000001</v>
      </c>
      <c r="V179" s="533">
        <v>59</v>
      </c>
      <c r="W179" s="533" t="str">
        <f t="shared" ref="W179:W218" si="44">IF(AND(V179&lt;&gt;"",O179=0),"Check",IF(AND(V179=0,O179="Y"),"Check",""))</f>
        <v/>
      </c>
      <c r="X179" s="533">
        <f>IF(V179&lt;&gt;"",COUNTIF(V$46:V179,V179)-1,0)</f>
        <v>0</v>
      </c>
      <c r="Y179" s="533"/>
      <c r="Z179" s="533">
        <f t="shared" si="37"/>
        <v>-330</v>
      </c>
      <c r="AA179" s="533">
        <f>IFERROR(RANK(Z179,Z$47:Z$226,0)+COUNTIF(Z$47:Z179,Z179)-1,"")</f>
        <v>42</v>
      </c>
      <c r="AB179" s="533">
        <f t="shared" si="31"/>
        <v>0</v>
      </c>
      <c r="AC179" s="533">
        <f t="shared" si="30"/>
        <v>0</v>
      </c>
      <c r="AD179" s="533"/>
      <c r="AE179" s="533"/>
      <c r="AF179" s="533"/>
      <c r="AG179" s="533"/>
      <c r="AH179" s="533"/>
      <c r="AI179" s="533"/>
      <c r="AJ179" s="533"/>
      <c r="AK179" s="533"/>
      <c r="AL179" s="533"/>
      <c r="AM179" s="533"/>
      <c r="AN179" s="533"/>
      <c r="AO179" s="533"/>
    </row>
    <row r="180" spans="1:41" ht="13.5" customHeight="1" x14ac:dyDescent="0.25">
      <c r="A180" s="41"/>
      <c r="B180" s="104" t="s">
        <v>18</v>
      </c>
      <c r="C180" s="837" t="s">
        <v>343</v>
      </c>
      <c r="D180" s="727"/>
      <c r="E180" s="828"/>
      <c r="F180" s="686" t="s">
        <v>341</v>
      </c>
      <c r="G180" s="42" t="s">
        <v>342</v>
      </c>
      <c r="H180" s="27">
        <f>VLOOKUP(C180,A!A$1:H$669,8,FALSE)</f>
        <v>3</v>
      </c>
      <c r="I180" s="27"/>
      <c r="J180" s="28">
        <f>IF(VLOOKUP(C180,A!A$1:H$669,4,FALSE)="y",1,0)</f>
        <v>1</v>
      </c>
      <c r="K180" s="28">
        <f>IF(VLOOKUP(C180,A!A$1:H$669,5,FALSE)="y",1,0)</f>
        <v>0</v>
      </c>
      <c r="L180" s="544" t="str">
        <f t="shared" si="28"/>
        <v>Low</v>
      </c>
      <c r="M180" s="27">
        <f>VLOOKUP(C180,A!A$1:H$669,6,FALSE)</f>
        <v>0</v>
      </c>
      <c r="N180" s="44">
        <v>2</v>
      </c>
      <c r="O180" s="533" t="str">
        <f>VLOOKUP(C180,A!A$1:G$669,2,FALSE)</f>
        <v>y</v>
      </c>
      <c r="P180" s="533" t="s">
        <v>24</v>
      </c>
      <c r="Q180" s="533" t="str">
        <f>IF(S180=0,"",COUNTIF(Q$12:Q179,"&gt;0")+1)</f>
        <v/>
      </c>
      <c r="R180" s="533" t="str">
        <f>IF(S180=0,"",COUNTIF(R$12:R179,"&gt;0")+1)</f>
        <v/>
      </c>
      <c r="S180" s="533">
        <f t="shared" ref="S180:S226" si="45">A180+Y180+AB180+AC180</f>
        <v>0</v>
      </c>
      <c r="T180" s="533">
        <f>VLOOKUP(C180,A!A$1:AH$669,31,FALSE)</f>
        <v>30</v>
      </c>
      <c r="U180" s="533">
        <v>0.16500000000000001</v>
      </c>
      <c r="V180" s="533">
        <v>53</v>
      </c>
      <c r="W180" s="533" t="str">
        <f t="shared" si="44"/>
        <v/>
      </c>
      <c r="X180" s="533">
        <f>IF(V180&lt;&gt;"",COUNTIF(V$46:V180,V180)-1,0)</f>
        <v>0</v>
      </c>
      <c r="Y180" s="533"/>
      <c r="Z180" s="533">
        <f t="shared" ref="Z180:Z213" si="46">IFERROR(IF(AND(O180="y",IF(AND(A180&lt;&gt;"",A180=0),0,1)),H180*-100-A180*1000-T180,""),"")</f>
        <v>-330</v>
      </c>
      <c r="AA180" s="533">
        <f>IFERROR(RANK(Z180,Z$47:Z$226,0)+COUNTIF(Z$47:Z180,Z180)-1,"")</f>
        <v>43</v>
      </c>
      <c r="AB180" s="533">
        <f t="shared" si="31"/>
        <v>0</v>
      </c>
      <c r="AC180" s="533">
        <f t="shared" si="30"/>
        <v>0</v>
      </c>
      <c r="AD180" s="533"/>
      <c r="AE180" s="533"/>
      <c r="AF180" s="533"/>
      <c r="AG180" s="533"/>
      <c r="AH180" s="533"/>
      <c r="AI180" s="533"/>
      <c r="AJ180" s="533"/>
      <c r="AK180" s="533"/>
      <c r="AL180" s="533"/>
      <c r="AM180" s="533"/>
      <c r="AN180" s="533"/>
      <c r="AO180" s="533"/>
    </row>
    <row r="181" spans="1:41" ht="11.25" hidden="1" customHeight="1" x14ac:dyDescent="0.25">
      <c r="A181" s="41"/>
      <c r="B181" s="104" t="s">
        <v>18</v>
      </c>
      <c r="C181" s="837" t="s">
        <v>344</v>
      </c>
      <c r="D181" s="727"/>
      <c r="E181" s="828"/>
      <c r="F181" s="686" t="s">
        <v>345</v>
      </c>
      <c r="G181" s="42" t="s">
        <v>346</v>
      </c>
      <c r="H181" s="27">
        <f>VLOOKUP(C181,A!A$1:H$669,8,FALSE)</f>
        <v>2</v>
      </c>
      <c r="I181" s="27"/>
      <c r="J181" s="28">
        <f>IF(VLOOKUP(C181,A!A$1:H$669,4,FALSE)="y",1,0)</f>
        <v>0</v>
      </c>
      <c r="K181" s="28">
        <f>IF(VLOOKUP(C181,A!A$1:H$669,5,FALSE)="y",1,0)</f>
        <v>0</v>
      </c>
      <c r="L181" s="544" t="str">
        <f t="shared" ref="L181:L226" si="47">IF(T181&lt;35,"Low",IF(T181&gt;40,"High","Med"))</f>
        <v>Low</v>
      </c>
      <c r="M181" s="27">
        <f>VLOOKUP(C181,A!A$1:H$669,6,FALSE)</f>
        <v>0</v>
      </c>
      <c r="N181" s="44">
        <v>1</v>
      </c>
      <c r="O181" s="533">
        <f>VLOOKUP(C181,A!A$1:G$669,2,FALSE)</f>
        <v>0</v>
      </c>
      <c r="P181" s="533" t="s">
        <v>24</v>
      </c>
      <c r="Q181" s="533" t="str">
        <f>IF(S181=0,"",COUNTIF(Q$12:Q180,"&gt;0")+1)</f>
        <v/>
      </c>
      <c r="R181" s="533" t="str">
        <f>IF(S181=0,"",COUNTIF(R$12:R180,"&gt;0")+1)</f>
        <v/>
      </c>
      <c r="S181" s="533">
        <f t="shared" si="45"/>
        <v>0</v>
      </c>
      <c r="T181" s="533">
        <f>VLOOKUP(C181,A!A$1:AH$669,31,FALSE)</f>
        <v>0</v>
      </c>
      <c r="U181" s="533">
        <v>0.16500000000000001</v>
      </c>
      <c r="V181" s="533"/>
      <c r="W181" s="533" t="str">
        <f t="shared" si="44"/>
        <v/>
      </c>
      <c r="X181" s="533">
        <f>IF(V181&lt;&gt;"",COUNTIF(V$46:V181,V181)-1,0)</f>
        <v>0</v>
      </c>
      <c r="Y181" s="533"/>
      <c r="Z181" s="533" t="str">
        <f t="shared" si="46"/>
        <v/>
      </c>
      <c r="AA181" s="533" t="str">
        <f>IFERROR(RANK(Z181,Z$47:Z$226,0)+COUNTIF(Z$47:Z181,Z181)-1,"")</f>
        <v/>
      </c>
      <c r="AB181" s="533">
        <f t="shared" si="31"/>
        <v>0</v>
      </c>
      <c r="AC181" s="533">
        <f t="shared" ref="AC181:AC226" si="48">IF(AA181&lt;=AC$46,1,0)</f>
        <v>0</v>
      </c>
      <c r="AD181" s="533"/>
      <c r="AE181" s="533"/>
      <c r="AF181" s="533"/>
      <c r="AG181" s="533"/>
      <c r="AH181" s="533"/>
      <c r="AI181" s="533"/>
      <c r="AJ181" s="533"/>
      <c r="AK181" s="533"/>
      <c r="AL181" s="533"/>
      <c r="AM181" s="533"/>
      <c r="AN181" s="533"/>
      <c r="AO181" s="533"/>
    </row>
    <row r="182" spans="1:41" ht="13.5" hidden="1" customHeight="1" x14ac:dyDescent="0.25">
      <c r="A182" s="41"/>
      <c r="B182" s="104" t="s">
        <v>18</v>
      </c>
      <c r="C182" s="837" t="s">
        <v>347</v>
      </c>
      <c r="D182" s="728"/>
      <c r="E182" s="711"/>
      <c r="F182" s="686" t="s">
        <v>348</v>
      </c>
      <c r="G182" s="42" t="s">
        <v>349</v>
      </c>
      <c r="H182" s="27">
        <f>VLOOKUP(C182,A!A$1:H$669,8,FALSE)</f>
        <v>2</v>
      </c>
      <c r="I182" s="27"/>
      <c r="J182" s="28">
        <f>IF(VLOOKUP(C182,A!A$1:H$669,4,FALSE)="y",1,0)</f>
        <v>0</v>
      </c>
      <c r="K182" s="28">
        <f>IF(VLOOKUP(C182,A!A$1:H$669,5,FALSE)="y",1,0)</f>
        <v>0</v>
      </c>
      <c r="L182" s="544" t="str">
        <f t="shared" si="47"/>
        <v>Low</v>
      </c>
      <c r="M182" s="27">
        <f>VLOOKUP(C182,A!A$1:H$669,6,FALSE)</f>
        <v>0</v>
      </c>
      <c r="N182" s="44">
        <v>1</v>
      </c>
      <c r="O182" s="533">
        <f>VLOOKUP(C182,A!A$1:G$669,2,FALSE)</f>
        <v>0</v>
      </c>
      <c r="P182" s="533" t="s">
        <v>24</v>
      </c>
      <c r="Q182" s="533" t="str">
        <f>IF(S182=0,"",COUNTIF(Q$12:Q181,"&gt;0")+1)</f>
        <v/>
      </c>
      <c r="R182" s="533" t="str">
        <f>IF(S182=0,"",COUNTIF(R$12:R181,"&gt;0")+1)</f>
        <v/>
      </c>
      <c r="S182" s="533">
        <f t="shared" si="45"/>
        <v>0</v>
      </c>
      <c r="T182" s="533">
        <f>VLOOKUP(C182,A!A$1:AH$669,31,FALSE)</f>
        <v>0</v>
      </c>
      <c r="U182" s="533">
        <v>0.16500000000000001</v>
      </c>
      <c r="V182" s="533"/>
      <c r="W182" s="533" t="str">
        <f t="shared" si="44"/>
        <v/>
      </c>
      <c r="X182" s="533">
        <f>IF(V182&lt;&gt;"",COUNTIF(V$46:V182,V182)-1,0)</f>
        <v>0</v>
      </c>
      <c r="Y182" s="533"/>
      <c r="Z182" s="533" t="str">
        <f t="shared" si="46"/>
        <v/>
      </c>
      <c r="AA182" s="533" t="str">
        <f>IFERROR(RANK(Z182,Z$47:Z$226,0)+COUNTIF(Z$47:Z182,Z182)-1,"")</f>
        <v/>
      </c>
      <c r="AB182" s="533">
        <f t="shared" si="31"/>
        <v>0</v>
      </c>
      <c r="AC182" s="533">
        <f t="shared" si="48"/>
        <v>0</v>
      </c>
      <c r="AD182" s="533"/>
      <c r="AE182" s="533"/>
      <c r="AF182" s="533"/>
      <c r="AG182" s="533"/>
      <c r="AH182" s="533"/>
      <c r="AI182" s="533"/>
      <c r="AJ182" s="533"/>
      <c r="AK182" s="533"/>
      <c r="AL182" s="533"/>
      <c r="AM182" s="533"/>
      <c r="AN182" s="533"/>
      <c r="AO182" s="533"/>
    </row>
    <row r="183" spans="1:41" ht="13.5" customHeight="1" x14ac:dyDescent="0.25">
      <c r="A183" s="41"/>
      <c r="B183" s="104" t="s">
        <v>18</v>
      </c>
      <c r="C183" s="1057" t="s">
        <v>350</v>
      </c>
      <c r="D183" s="728"/>
      <c r="E183" s="711" t="s">
        <v>1867</v>
      </c>
      <c r="F183" s="686" t="s">
        <v>351</v>
      </c>
      <c r="G183" s="42" t="s">
        <v>352</v>
      </c>
      <c r="H183" s="27">
        <v>2</v>
      </c>
      <c r="I183" s="27"/>
      <c r="J183" s="28">
        <f>IF(VLOOKUP(C183,A!A$1:H$669,4,FALSE)="y",1,0)</f>
        <v>1</v>
      </c>
      <c r="K183" s="28">
        <f>IF(VLOOKUP(C183,A!A$1:H$669,5,FALSE)="y",1,0)</f>
        <v>1</v>
      </c>
      <c r="L183" s="544" t="str">
        <f t="shared" si="47"/>
        <v>Med</v>
      </c>
      <c r="M183" s="27" t="str">
        <f>VLOOKUP(C183,A!A$1:H$669,6,FALSE)</f>
        <v>y</v>
      </c>
      <c r="N183" s="44">
        <v>1</v>
      </c>
      <c r="O183" s="533" t="str">
        <f>VLOOKUP(C183,A!A$1:G$669,2,FALSE)</f>
        <v>y</v>
      </c>
      <c r="P183" s="533" t="s">
        <v>24</v>
      </c>
      <c r="Q183" s="533" t="str">
        <f>IF(S183=0,"",COUNTIF(Q$12:Q182,"&gt;0")+1)</f>
        <v/>
      </c>
      <c r="R183" s="533" t="str">
        <f>IF(S183=0,"",COUNTIF(R$12:R182,"&gt;0")+1)</f>
        <v/>
      </c>
      <c r="S183" s="533">
        <f>A183+Y183+AB183+AC183</f>
        <v>0</v>
      </c>
      <c r="T183" s="533">
        <f>VLOOKUP(C183,A!A$1:AH$669,31,FALSE)</f>
        <v>40</v>
      </c>
      <c r="U183" s="533">
        <v>0.16500000000000001</v>
      </c>
      <c r="V183" s="533">
        <v>58</v>
      </c>
      <c r="W183" s="533" t="str">
        <f t="shared" si="44"/>
        <v/>
      </c>
      <c r="X183" s="533">
        <f>IF(V183&lt;&gt;"",COUNTIF(V$46:V183,V183)-1,0)</f>
        <v>0</v>
      </c>
      <c r="Y183" s="533"/>
      <c r="Z183" s="533">
        <f t="shared" ref="Z183:Z196" si="49">IFERROR(IF(AND(O183="y",IF(AND(A183&lt;&gt;"",A183=0),0,1)),H183*-100-A183*1000-T183,""),"")</f>
        <v>-240</v>
      </c>
      <c r="AA183" s="533">
        <f>IFERROR(RANK(Z183,Z$47:Z$226,0)+COUNTIF(Z$47:Z183,Z183)-1,"")</f>
        <v>39</v>
      </c>
      <c r="AB183" s="533">
        <f t="shared" si="31"/>
        <v>0</v>
      </c>
      <c r="AC183" s="533">
        <f t="shared" si="48"/>
        <v>0</v>
      </c>
      <c r="AD183" s="533"/>
      <c r="AE183" s="533"/>
      <c r="AF183" s="533"/>
      <c r="AG183" s="533"/>
      <c r="AH183" s="533"/>
      <c r="AI183" s="533"/>
      <c r="AJ183" s="533"/>
      <c r="AK183" s="533"/>
      <c r="AL183" s="533"/>
      <c r="AM183" s="533"/>
      <c r="AN183" s="533"/>
      <c r="AO183" s="533"/>
    </row>
    <row r="184" spans="1:41" ht="13.5" hidden="1" customHeight="1" x14ac:dyDescent="0.25">
      <c r="A184" s="41"/>
      <c r="B184" s="104" t="s">
        <v>18</v>
      </c>
      <c r="C184" s="1057" t="s">
        <v>1763</v>
      </c>
      <c r="D184" s="728"/>
      <c r="E184" s="711"/>
      <c r="F184" s="686" t="s">
        <v>351</v>
      </c>
      <c r="G184" s="42" t="s">
        <v>352</v>
      </c>
      <c r="H184" s="27">
        <v>2</v>
      </c>
      <c r="I184" s="27"/>
      <c r="J184" s="28">
        <f>IF(VLOOKUP(C184,A!A$1:H$669,4,FALSE)="y",1,0)</f>
        <v>0</v>
      </c>
      <c r="K184" s="28">
        <f>IF(VLOOKUP(C184,A!A$1:H$669,5,FALSE)="y",1,0)</f>
        <v>0</v>
      </c>
      <c r="L184" s="544" t="str">
        <f>IF(T184&lt;35,"Low",IF(T184&gt;40,"High","Med"))</f>
        <v>Med</v>
      </c>
      <c r="M184" s="27">
        <f>VLOOKUP(C184,A!A$1:H$669,6,FALSE)</f>
        <v>0</v>
      </c>
      <c r="N184" s="44">
        <v>1</v>
      </c>
      <c r="O184" s="533">
        <f>VLOOKUP(C184,A!A$1:G$669,2,FALSE)</f>
        <v>0</v>
      </c>
      <c r="P184" s="533" t="s">
        <v>24</v>
      </c>
      <c r="Q184" s="533" t="str">
        <f>IF(S184=0,"",COUNTIF(Q$12:Q183,"&gt;0")+1)</f>
        <v/>
      </c>
      <c r="R184" s="533" t="str">
        <f>IF(S184=0,"",COUNTIF(R$12:R183,"&gt;0")+1)</f>
        <v/>
      </c>
      <c r="S184" s="533">
        <f t="shared" si="45"/>
        <v>0</v>
      </c>
      <c r="T184" s="533">
        <v>35</v>
      </c>
      <c r="U184" s="533">
        <v>0.16500000000000001</v>
      </c>
      <c r="V184" s="533"/>
      <c r="W184" s="533" t="str">
        <f t="shared" si="44"/>
        <v/>
      </c>
      <c r="X184" s="533">
        <f>IF(V184&lt;&gt;"",COUNTIF(V$46:V184,V184)-1,0)</f>
        <v>0</v>
      </c>
      <c r="Y184" s="533"/>
      <c r="Z184" s="533" t="str">
        <f t="shared" si="49"/>
        <v/>
      </c>
      <c r="AA184" s="533" t="str">
        <f>IFERROR(RANK(Z184,Z$47:Z$226,0)+COUNTIF(Z$47:Z184,Z184)-1,"")</f>
        <v/>
      </c>
      <c r="AB184" s="533">
        <f t="shared" si="31"/>
        <v>0</v>
      </c>
      <c r="AC184" s="533">
        <f t="shared" si="48"/>
        <v>0</v>
      </c>
      <c r="AD184" s="533"/>
      <c r="AE184" s="533"/>
      <c r="AF184" s="533"/>
      <c r="AG184" s="533"/>
      <c r="AH184" s="533"/>
      <c r="AI184" s="533"/>
      <c r="AJ184" s="533"/>
      <c r="AK184" s="533"/>
      <c r="AL184" s="533"/>
      <c r="AM184" s="533"/>
      <c r="AN184" s="533"/>
      <c r="AO184" s="533"/>
    </row>
    <row r="185" spans="1:41" ht="13.5" customHeight="1" x14ac:dyDescent="0.25">
      <c r="A185" s="41"/>
      <c r="B185" s="104" t="s">
        <v>18</v>
      </c>
      <c r="C185" s="1057" t="s">
        <v>353</v>
      </c>
      <c r="D185" s="728"/>
      <c r="E185" s="711" t="s">
        <v>1867</v>
      </c>
      <c r="F185" s="686" t="s">
        <v>354</v>
      </c>
      <c r="G185" s="42" t="s">
        <v>355</v>
      </c>
      <c r="H185" s="27">
        <v>2</v>
      </c>
      <c r="I185" s="27"/>
      <c r="J185" s="28">
        <f>IF(VLOOKUP(C185,A!A$1:H$669,4,FALSE)="y",1,0)</f>
        <v>1</v>
      </c>
      <c r="K185" s="28">
        <f>IF(VLOOKUP(C185,A!A$1:H$669,5,FALSE)="y",1,0)</f>
        <v>1</v>
      </c>
      <c r="L185" s="544" t="str">
        <f t="shared" si="47"/>
        <v>Med</v>
      </c>
      <c r="M185" s="27" t="str">
        <f>VLOOKUP(C185,A!A$1:H$669,6,FALSE)</f>
        <v>y</v>
      </c>
      <c r="N185" s="44">
        <v>1</v>
      </c>
      <c r="O185" s="533" t="str">
        <f>VLOOKUP(C185,A!A$1:G$669,2,FALSE)</f>
        <v>y</v>
      </c>
      <c r="P185" s="533" t="s">
        <v>24</v>
      </c>
      <c r="Q185" s="533" t="str">
        <f>IF(S185=0,"",COUNTIF(Q$12:Q184,"&gt;0")+1)</f>
        <v/>
      </c>
      <c r="R185" s="533" t="str">
        <f>IF(S185=0,"",COUNTIF(R$12:R184,"&gt;0")+1)</f>
        <v/>
      </c>
      <c r="S185" s="533">
        <f>A185+Y185+AB185+AC185</f>
        <v>0</v>
      </c>
      <c r="T185" s="533">
        <f>VLOOKUP(C185,A!A$1:AH$669,31,FALSE)</f>
        <v>35</v>
      </c>
      <c r="U185" s="533">
        <v>0.16500000000000001</v>
      </c>
      <c r="V185" s="533">
        <v>87</v>
      </c>
      <c r="W185" s="533" t="str">
        <f t="shared" si="44"/>
        <v/>
      </c>
      <c r="X185" s="533">
        <f>IF(V185&lt;&gt;"",COUNTIF(V$46:V185,V185)-1,0)</f>
        <v>0</v>
      </c>
      <c r="Y185" s="533"/>
      <c r="Z185" s="533">
        <f t="shared" si="49"/>
        <v>-235</v>
      </c>
      <c r="AA185" s="533">
        <f>IFERROR(RANK(Z185,Z$47:Z$226,0)+COUNTIF(Z$47:Z185,Z185)-1,"")</f>
        <v>36</v>
      </c>
      <c r="AB185" s="533">
        <f t="shared" si="31"/>
        <v>0</v>
      </c>
      <c r="AC185" s="533">
        <f t="shared" si="48"/>
        <v>0</v>
      </c>
      <c r="AD185" s="533"/>
      <c r="AE185" s="533"/>
      <c r="AF185" s="533"/>
      <c r="AG185" s="533"/>
      <c r="AH185" s="533"/>
      <c r="AI185" s="533"/>
      <c r="AJ185" s="533"/>
      <c r="AK185" s="533"/>
      <c r="AL185" s="533"/>
      <c r="AM185" s="533"/>
      <c r="AN185" s="533"/>
      <c r="AO185" s="533"/>
    </row>
    <row r="186" spans="1:41" ht="13.5" hidden="1" customHeight="1" x14ac:dyDescent="0.25">
      <c r="A186" s="41"/>
      <c r="B186" s="104" t="s">
        <v>18</v>
      </c>
      <c r="C186" s="1057" t="s">
        <v>356</v>
      </c>
      <c r="D186" s="728"/>
      <c r="E186" s="711"/>
      <c r="F186" s="686" t="s">
        <v>357</v>
      </c>
      <c r="G186" s="42" t="s">
        <v>358</v>
      </c>
      <c r="H186" s="27">
        <f>VLOOKUP(C186,A!A$1:H$669,8,FALSE)</f>
        <v>2</v>
      </c>
      <c r="I186" s="27"/>
      <c r="J186" s="28">
        <f>IF(VLOOKUP(C186,A!A$1:H$669,4,FALSE)="y",1,0)</f>
        <v>0</v>
      </c>
      <c r="K186" s="28">
        <f>IF(VLOOKUP(C186,A!A$1:H$669,5,FALSE)="y",1,0)</f>
        <v>0</v>
      </c>
      <c r="L186" s="544" t="str">
        <f t="shared" si="47"/>
        <v>High</v>
      </c>
      <c r="M186" s="27">
        <f>VLOOKUP(C186,A!A$1:H$669,6,FALSE)</f>
        <v>0</v>
      </c>
      <c r="N186" s="44">
        <v>1</v>
      </c>
      <c r="O186" s="533">
        <f>VLOOKUP(C186,A!A$1:G$669,2,FALSE)</f>
        <v>0</v>
      </c>
      <c r="P186" s="533" t="s">
        <v>24</v>
      </c>
      <c r="Q186" s="533" t="str">
        <f>IF(S186=0,"",COUNTIF(Q$12:Q185,"&gt;0")+1)</f>
        <v/>
      </c>
      <c r="R186" s="533" t="str">
        <f>IF(S186=0,"",COUNTIF(R$12:R185,"&gt;0")+1)</f>
        <v/>
      </c>
      <c r="S186" s="533">
        <f t="shared" si="45"/>
        <v>0</v>
      </c>
      <c r="T186" s="533">
        <v>45</v>
      </c>
      <c r="U186" s="533">
        <v>0.16500000000000001</v>
      </c>
      <c r="V186" s="533"/>
      <c r="W186" s="533" t="str">
        <f t="shared" si="44"/>
        <v/>
      </c>
      <c r="X186" s="533">
        <f>IF(V186&lt;&gt;"",COUNTIF(V$46:V186,V186)-1,0)</f>
        <v>0</v>
      </c>
      <c r="Y186" s="533"/>
      <c r="Z186" s="533" t="str">
        <f t="shared" si="49"/>
        <v/>
      </c>
      <c r="AA186" s="533" t="str">
        <f>IFERROR(RANK(Z186,Z$47:Z$226,0)+COUNTIF(Z$47:Z186,Z186)-1,"")</f>
        <v/>
      </c>
      <c r="AB186" s="533">
        <f t="shared" ref="AB186:AB226" si="50">IF(AA186&lt;=AB$46,1,0)</f>
        <v>0</v>
      </c>
      <c r="AC186" s="533">
        <f t="shared" si="48"/>
        <v>0</v>
      </c>
      <c r="AD186" s="533"/>
      <c r="AE186" s="533"/>
      <c r="AF186" s="533"/>
      <c r="AG186" s="533"/>
      <c r="AH186" s="533"/>
      <c r="AI186" s="533"/>
      <c r="AJ186" s="533"/>
      <c r="AK186" s="533"/>
      <c r="AL186" s="533"/>
      <c r="AM186" s="533"/>
      <c r="AN186" s="533"/>
      <c r="AO186" s="533"/>
    </row>
    <row r="187" spans="1:41" x14ac:dyDescent="0.25">
      <c r="A187" s="41"/>
      <c r="B187" s="104" t="s">
        <v>18</v>
      </c>
      <c r="C187" s="1057" t="s">
        <v>359</v>
      </c>
      <c r="D187" s="728"/>
      <c r="E187" s="711" t="s">
        <v>1867</v>
      </c>
      <c r="F187" s="686" t="s">
        <v>357</v>
      </c>
      <c r="G187" s="42" t="s">
        <v>360</v>
      </c>
      <c r="H187" s="27">
        <v>2</v>
      </c>
      <c r="I187" s="27"/>
      <c r="J187" s="28">
        <f>IF(VLOOKUP(C187,A!A$1:H$669,4,FALSE)="y",1,0)</f>
        <v>1</v>
      </c>
      <c r="K187" s="28">
        <f>IF(VLOOKUP(C187,A!A$1:H$669,5,FALSE)="y",1,0)</f>
        <v>1</v>
      </c>
      <c r="L187" s="544" t="str">
        <f t="shared" si="47"/>
        <v>Med</v>
      </c>
      <c r="M187" s="27" t="str">
        <f>VLOOKUP(C187,A!A$1:H$669,6,FALSE)</f>
        <v>y</v>
      </c>
      <c r="N187" s="44">
        <v>1</v>
      </c>
      <c r="O187" s="533" t="str">
        <f>VLOOKUP(C187,A!A$1:G$669,2,FALSE)</f>
        <v>y</v>
      </c>
      <c r="P187" s="533" t="s">
        <v>24</v>
      </c>
      <c r="Q187" s="533" t="str">
        <f>IF(S187=0,"",COUNTIF(Q$12:Q186,"&gt;0")+1)</f>
        <v/>
      </c>
      <c r="R187" s="533" t="str">
        <f>IF(S187=0,"",COUNTIF(R$12:R186,"&gt;0")+1)</f>
        <v/>
      </c>
      <c r="S187" s="533">
        <f t="shared" si="45"/>
        <v>0</v>
      </c>
      <c r="T187" s="533">
        <f>VLOOKUP(C187,A!A$1:AH$669,31,FALSE)</f>
        <v>35</v>
      </c>
      <c r="U187" s="533">
        <v>0.16500000000000001</v>
      </c>
      <c r="V187" s="533">
        <v>88</v>
      </c>
      <c r="W187" s="533" t="str">
        <f t="shared" si="44"/>
        <v/>
      </c>
      <c r="X187" s="533">
        <f>IF(V187&lt;&gt;"",COUNTIF(V$46:V187,V187)-1,0)</f>
        <v>0</v>
      </c>
      <c r="Y187" s="533"/>
      <c r="Z187" s="533">
        <f t="shared" si="49"/>
        <v>-235</v>
      </c>
      <c r="AA187" s="533">
        <f>IFERROR(RANK(Z187,Z$47:Z$226,0)+COUNTIF(Z$47:Z187,Z187)-1,"")</f>
        <v>37</v>
      </c>
      <c r="AB187" s="533">
        <f t="shared" si="50"/>
        <v>0</v>
      </c>
      <c r="AC187" s="533">
        <f t="shared" si="48"/>
        <v>0</v>
      </c>
      <c r="AD187" s="533"/>
      <c r="AE187" s="533"/>
      <c r="AF187" s="533"/>
      <c r="AG187" s="533"/>
      <c r="AH187" s="533"/>
      <c r="AI187" s="533"/>
      <c r="AJ187" s="533"/>
      <c r="AK187" s="533"/>
      <c r="AL187" s="533"/>
      <c r="AM187" s="533"/>
      <c r="AN187" s="533"/>
      <c r="AO187" s="533"/>
    </row>
    <row r="188" spans="1:41" ht="13.5" customHeight="1" x14ac:dyDescent="0.25">
      <c r="A188" s="41"/>
      <c r="B188" s="104" t="s">
        <v>18</v>
      </c>
      <c r="C188" s="1057" t="s">
        <v>361</v>
      </c>
      <c r="D188" s="728"/>
      <c r="E188" s="711" t="s">
        <v>1867</v>
      </c>
      <c r="F188" s="686" t="s">
        <v>354</v>
      </c>
      <c r="G188" s="42" t="s">
        <v>362</v>
      </c>
      <c r="H188" s="27">
        <f>VLOOKUP(C188,A!A$1:H$669,8,FALSE)</f>
        <v>1</v>
      </c>
      <c r="I188" s="27"/>
      <c r="J188" s="28">
        <f>IF(VLOOKUP(C188,A!A$1:H$669,4,FALSE)="y",1,0)</f>
        <v>1</v>
      </c>
      <c r="K188" s="28">
        <f>IF(VLOOKUP(C188,A!A$1:H$669,5,FALSE)="y",1,0)</f>
        <v>1</v>
      </c>
      <c r="L188" s="544" t="str">
        <f t="shared" si="47"/>
        <v>Med</v>
      </c>
      <c r="M188" s="27" t="str">
        <f>VLOOKUP(C188,A!A$1:H$669,6,FALSE)</f>
        <v>y</v>
      </c>
      <c r="N188" s="44">
        <v>1</v>
      </c>
      <c r="O188" s="533" t="str">
        <f>VLOOKUP(C188,A!A$1:G$669,2,FALSE)</f>
        <v>y</v>
      </c>
      <c r="P188" s="533" t="s">
        <v>24</v>
      </c>
      <c r="Q188" s="533" t="str">
        <f>IF(S188=0,"",COUNTIF(Q$12:Q187,"&gt;0")+1)</f>
        <v/>
      </c>
      <c r="R188" s="533" t="str">
        <f>IF(S188=0,"",COUNTIF(R$12:R187,"&gt;0")+1)</f>
        <v/>
      </c>
      <c r="S188" s="533">
        <f t="shared" si="45"/>
        <v>0</v>
      </c>
      <c r="T188" s="533">
        <f>VLOOKUP(C188,A!A$1:AH$669,31,FALSE)</f>
        <v>35</v>
      </c>
      <c r="U188" s="533">
        <v>0.16500000000000001</v>
      </c>
      <c r="V188" s="533">
        <v>86</v>
      </c>
      <c r="W188" s="533" t="str">
        <f t="shared" si="44"/>
        <v/>
      </c>
      <c r="X188" s="533">
        <f>IF(V188&lt;&gt;"",COUNTIF(V$46:V188,V188)-1,0)</f>
        <v>0</v>
      </c>
      <c r="Y188" s="533"/>
      <c r="Z188" s="533">
        <f t="shared" si="49"/>
        <v>-135</v>
      </c>
      <c r="AA188" s="533">
        <f>IFERROR(RANK(Z188,Z$47:Z$226,0)+COUNTIF(Z$47:Z188,Z188)-1,"")</f>
        <v>19</v>
      </c>
      <c r="AB188" s="533">
        <f t="shared" si="50"/>
        <v>0</v>
      </c>
      <c r="AC188" s="533">
        <f t="shared" si="48"/>
        <v>0</v>
      </c>
      <c r="AD188" s="533"/>
      <c r="AE188" s="533"/>
      <c r="AF188" s="533"/>
      <c r="AG188" s="533"/>
      <c r="AH188" s="533"/>
      <c r="AI188" s="533"/>
      <c r="AJ188" s="533"/>
      <c r="AK188" s="533"/>
      <c r="AL188" s="533"/>
      <c r="AM188" s="533"/>
      <c r="AN188" s="533"/>
      <c r="AO188" s="533"/>
    </row>
    <row r="189" spans="1:41" hidden="1" x14ac:dyDescent="0.25">
      <c r="A189" s="41"/>
      <c r="B189" s="104" t="s">
        <v>18</v>
      </c>
      <c r="C189" s="837" t="s">
        <v>363</v>
      </c>
      <c r="D189" s="729"/>
      <c r="E189" s="717"/>
      <c r="F189" s="686" t="s">
        <v>364</v>
      </c>
      <c r="G189" s="42" t="s">
        <v>365</v>
      </c>
      <c r="H189" s="27">
        <f>VLOOKUP(C189,A!A$1:H$669,8,FALSE)</f>
        <v>2</v>
      </c>
      <c r="I189" s="27"/>
      <c r="J189" s="28">
        <f>IF(VLOOKUP(C189,A!A$1:H$669,4,FALSE)="y",1,0)</f>
        <v>0</v>
      </c>
      <c r="K189" s="28">
        <f>IF(VLOOKUP(C189,A!A$1:H$669,5,FALSE)="y",1,0)</f>
        <v>0</v>
      </c>
      <c r="L189" s="544" t="str">
        <f t="shared" si="47"/>
        <v>Low</v>
      </c>
      <c r="M189" s="27">
        <f>VLOOKUP(C189,A!A$1:H$669,6,FALSE)</f>
        <v>0</v>
      </c>
      <c r="N189" s="44">
        <v>1</v>
      </c>
      <c r="O189" s="533">
        <f>VLOOKUP(C189,A!A$1:G$669,2,FALSE)</f>
        <v>0</v>
      </c>
      <c r="P189" s="533" t="s">
        <v>24</v>
      </c>
      <c r="Q189" s="533" t="str">
        <f>IF(S189=0,"",COUNTIF(Q$12:Q188,"&gt;0")+1)</f>
        <v/>
      </c>
      <c r="R189" s="533" t="str">
        <f>IF(S189=0,"",COUNTIF(R$12:R188,"&gt;0")+1)</f>
        <v/>
      </c>
      <c r="S189" s="533">
        <f t="shared" si="45"/>
        <v>0</v>
      </c>
      <c r="T189" s="533">
        <f>VLOOKUP(C189,A!A$1:AH$669,31,FALSE)</f>
        <v>0</v>
      </c>
      <c r="U189" s="533">
        <v>0.16500000000000001</v>
      </c>
      <c r="V189" s="533"/>
      <c r="W189" s="533" t="str">
        <f t="shared" si="44"/>
        <v/>
      </c>
      <c r="X189" s="533">
        <f>IF(V189&lt;&gt;"",COUNTIF(V$46:V189,V189)-1,0)</f>
        <v>0</v>
      </c>
      <c r="Y189" s="533"/>
      <c r="Z189" s="533" t="str">
        <f t="shared" si="49"/>
        <v/>
      </c>
      <c r="AA189" s="533" t="str">
        <f>IFERROR(RANK(Z189,Z$47:Z$226,0)+COUNTIF(Z$47:Z189,Z189)-1,"")</f>
        <v/>
      </c>
      <c r="AB189" s="533">
        <f t="shared" si="50"/>
        <v>0</v>
      </c>
      <c r="AC189" s="533">
        <f t="shared" si="48"/>
        <v>0</v>
      </c>
      <c r="AD189" s="533"/>
      <c r="AE189" s="533"/>
      <c r="AF189" s="533"/>
      <c r="AG189" s="533"/>
      <c r="AH189" s="533"/>
      <c r="AI189" s="533"/>
      <c r="AJ189" s="533"/>
      <c r="AK189" s="533"/>
      <c r="AL189" s="533"/>
      <c r="AM189" s="533"/>
      <c r="AN189" s="533"/>
      <c r="AO189" s="533"/>
    </row>
    <row r="190" spans="1:41" ht="11.25" hidden="1" customHeight="1" x14ac:dyDescent="0.25">
      <c r="A190" s="41"/>
      <c r="B190" s="104" t="s">
        <v>18</v>
      </c>
      <c r="C190" s="837" t="s">
        <v>366</v>
      </c>
      <c r="D190" s="729"/>
      <c r="E190" s="717"/>
      <c r="F190" s="686" t="s">
        <v>367</v>
      </c>
      <c r="G190" s="42" t="s">
        <v>368</v>
      </c>
      <c r="H190" s="27">
        <f>VLOOKUP(C190,A!A$1:H$669,8,FALSE)</f>
        <v>2</v>
      </c>
      <c r="I190" s="27"/>
      <c r="J190" s="28">
        <f>IF(VLOOKUP(C190,A!A$1:H$669,4,FALSE)="y",1,0)</f>
        <v>0</v>
      </c>
      <c r="K190" s="28">
        <f>IF(VLOOKUP(C190,A!A$1:H$669,5,FALSE)="y",1,0)</f>
        <v>0</v>
      </c>
      <c r="L190" s="544" t="str">
        <f t="shared" si="47"/>
        <v>Low</v>
      </c>
      <c r="M190" s="27">
        <f>VLOOKUP(C190,A!A$1:H$669,6,FALSE)</f>
        <v>0</v>
      </c>
      <c r="N190" s="44">
        <v>1</v>
      </c>
      <c r="O190" s="533">
        <f>VLOOKUP(C190,A!A$1:G$669,2,FALSE)</f>
        <v>0</v>
      </c>
      <c r="P190" s="533" t="s">
        <v>24</v>
      </c>
      <c r="Q190" s="533" t="str">
        <f>IF(S190=0,"",COUNTIF(Q$12:Q189,"&gt;0")+1)</f>
        <v/>
      </c>
      <c r="R190" s="533" t="str">
        <f>IF(S190=0,"",COUNTIF(R$12:R189,"&gt;0")+1)</f>
        <v/>
      </c>
      <c r="S190" s="533">
        <f t="shared" si="45"/>
        <v>0</v>
      </c>
      <c r="T190" s="533">
        <f>VLOOKUP(C190,A!A$1:AH$669,31,FALSE)</f>
        <v>0</v>
      </c>
      <c r="U190" s="533">
        <v>0.16500000000000001</v>
      </c>
      <c r="V190" s="533"/>
      <c r="W190" s="533" t="str">
        <f t="shared" si="44"/>
        <v/>
      </c>
      <c r="X190" s="533">
        <f>IF(V190&lt;&gt;"",COUNTIF(V$46:V190,V190)-1,0)</f>
        <v>0</v>
      </c>
      <c r="Y190" s="533"/>
      <c r="Z190" s="533" t="str">
        <f t="shared" si="49"/>
        <v/>
      </c>
      <c r="AA190" s="533" t="str">
        <f>IFERROR(RANK(Z190,Z$47:Z$226,0)+COUNTIF(Z$47:Z190,Z190)-1,"")</f>
        <v/>
      </c>
      <c r="AB190" s="533">
        <f t="shared" si="50"/>
        <v>0</v>
      </c>
      <c r="AC190" s="533">
        <f t="shared" si="48"/>
        <v>0</v>
      </c>
      <c r="AD190" s="533"/>
      <c r="AE190" s="533"/>
      <c r="AF190" s="533"/>
      <c r="AG190" s="533"/>
      <c r="AH190" s="533"/>
      <c r="AI190" s="533"/>
      <c r="AJ190" s="533"/>
      <c r="AK190" s="533"/>
      <c r="AL190" s="533"/>
      <c r="AM190" s="533"/>
      <c r="AN190" s="533"/>
      <c r="AO190" s="533"/>
    </row>
    <row r="191" spans="1:41" ht="13.5" hidden="1" customHeight="1" x14ac:dyDescent="0.25">
      <c r="A191" s="41"/>
      <c r="B191" s="104" t="s">
        <v>18</v>
      </c>
      <c r="C191" s="837" t="s">
        <v>369</v>
      </c>
      <c r="D191" s="729"/>
      <c r="E191" s="717"/>
      <c r="F191" s="686" t="s">
        <v>357</v>
      </c>
      <c r="G191" s="42" t="s">
        <v>370</v>
      </c>
      <c r="H191" s="27">
        <f>VLOOKUP(C191,A!A$1:H$669,8,FALSE)</f>
        <v>1</v>
      </c>
      <c r="I191" s="27"/>
      <c r="J191" s="28">
        <f>IF(VLOOKUP(C191,A!A$1:H$669,4,FALSE)="y",1,0)</f>
        <v>0</v>
      </c>
      <c r="K191" s="28">
        <f>IF(VLOOKUP(C191,A!A$1:H$669,5,FALSE)="y",1,0)</f>
        <v>0</v>
      </c>
      <c r="L191" s="544" t="str">
        <f>IF(T191&lt;35,"Low",IF(T191&gt;40,"High","Med"))</f>
        <v>Low</v>
      </c>
      <c r="M191" s="27">
        <f>VLOOKUP(C191,A!A$1:H$669,6,FALSE)</f>
        <v>0</v>
      </c>
      <c r="N191" s="44">
        <v>2</v>
      </c>
      <c r="O191" s="533">
        <f>VLOOKUP(C191,A!A$1:G$669,2,FALSE)</f>
        <v>0</v>
      </c>
      <c r="P191" s="533" t="s">
        <v>24</v>
      </c>
      <c r="Q191" s="533" t="str">
        <f>IF(S191=0,"",COUNTIF(Q$12:Q190,"&gt;0")+1)</f>
        <v/>
      </c>
      <c r="R191" s="533" t="str">
        <f>IF(S191=0,"",COUNTIF(R$12:R190,"&gt;0")+1)</f>
        <v/>
      </c>
      <c r="S191" s="533">
        <f>A191+Y191+AB191+AC191</f>
        <v>0</v>
      </c>
      <c r="T191" s="533">
        <f>VLOOKUP(C191,A!A$1:AH$669,31,FALSE)</f>
        <v>0</v>
      </c>
      <c r="U191" s="533">
        <v>0.16500000000000001</v>
      </c>
      <c r="V191" s="533"/>
      <c r="W191" s="533" t="str">
        <f>IF(AND(V191&lt;&gt;"",O191=0),"Check",IF(AND(V191=0,O191="Y"),"Check",""))</f>
        <v/>
      </c>
      <c r="X191" s="533">
        <f>IF(V191&lt;&gt;"",COUNTIF(V$46:V191,V191)-1,0)</f>
        <v>0</v>
      </c>
      <c r="Y191" s="533"/>
      <c r="Z191" s="533" t="str">
        <f t="shared" si="49"/>
        <v/>
      </c>
      <c r="AA191" s="533" t="str">
        <f>IFERROR(RANK(Z191,Z$47:Z$226,0)+COUNTIF(Z$47:Z191,Z191)-1,"")</f>
        <v/>
      </c>
      <c r="AB191" s="533">
        <f>IF(AA191&lt;=AB$46,1,0)</f>
        <v>0</v>
      </c>
      <c r="AC191" s="533">
        <f>IF(AA191&lt;=AC$46,1,0)</f>
        <v>0</v>
      </c>
      <c r="AD191" s="533"/>
      <c r="AE191" s="533"/>
      <c r="AF191" s="533"/>
      <c r="AG191" s="533"/>
      <c r="AH191" s="533"/>
      <c r="AI191" s="533"/>
      <c r="AJ191" s="533"/>
      <c r="AK191" s="533"/>
      <c r="AL191" s="533"/>
      <c r="AM191" s="533"/>
      <c r="AN191" s="533"/>
      <c r="AO191" s="533"/>
    </row>
    <row r="192" spans="1:41" ht="13.5" hidden="1" customHeight="1" x14ac:dyDescent="0.25">
      <c r="A192" s="41"/>
      <c r="B192" s="104" t="s">
        <v>18</v>
      </c>
      <c r="C192" s="837" t="s">
        <v>371</v>
      </c>
      <c r="D192" s="728"/>
      <c r="E192" s="711"/>
      <c r="F192" s="686" t="s">
        <v>357</v>
      </c>
      <c r="G192" s="42" t="s">
        <v>372</v>
      </c>
      <c r="H192" s="27">
        <f>VLOOKUP(C192,A!A$1:H$669,8,FALSE)</f>
        <v>2</v>
      </c>
      <c r="I192" s="27"/>
      <c r="J192" s="28">
        <f>IF(VLOOKUP(C192,A!A$1:H$669,4,FALSE)="y",1,0)</f>
        <v>0</v>
      </c>
      <c r="K192" s="28">
        <f>IF(VLOOKUP(C192,A!A$1:H$669,5,FALSE)="y",1,0)</f>
        <v>0</v>
      </c>
      <c r="L192" s="544" t="str">
        <f>IF(T192&lt;35,"Low",IF(T192&gt;40,"High","Med"))</f>
        <v>Low</v>
      </c>
      <c r="M192" s="27">
        <f>VLOOKUP(C192,A!A$1:H$669,6,FALSE)</f>
        <v>0</v>
      </c>
      <c r="N192" s="44">
        <v>3</v>
      </c>
      <c r="O192" s="533">
        <f>VLOOKUP(C192,A!A$1:G$669,2,FALSE)</f>
        <v>0</v>
      </c>
      <c r="P192" s="533" t="s">
        <v>24</v>
      </c>
      <c r="Q192" s="533" t="str">
        <f>IF(S192=0,"",COUNTIF(Q$12:Q191,"&gt;0")+1)</f>
        <v/>
      </c>
      <c r="R192" s="533" t="str">
        <f>IF(S192=0,"",COUNTIF(R$12:R191,"&gt;0")+1)</f>
        <v/>
      </c>
      <c r="S192" s="533">
        <f>A192+Y192+AB192+AC192</f>
        <v>0</v>
      </c>
      <c r="T192" s="533">
        <f>VLOOKUP(C192,A!A$1:AH$669,31,FALSE)</f>
        <v>0</v>
      </c>
      <c r="U192" s="533">
        <v>0.16500000000000001</v>
      </c>
      <c r="V192" s="533"/>
      <c r="W192" s="533" t="str">
        <f>IF(AND(V192&lt;&gt;"",O192=0),"Check",IF(AND(V192=0,O192="Y"),"Check",""))</f>
        <v/>
      </c>
      <c r="X192" s="533">
        <f>IF(V192&lt;&gt;"",COUNTIF(V$46:V192,V192)-1,0)</f>
        <v>0</v>
      </c>
      <c r="Y192" s="533"/>
      <c r="Z192" s="533" t="str">
        <f t="shared" si="49"/>
        <v/>
      </c>
      <c r="AA192" s="533" t="str">
        <f>IFERROR(RANK(Z192,Z$47:Z$226,0)+COUNTIF(Z$47:Z192,Z192)-1,"")</f>
        <v/>
      </c>
      <c r="AB192" s="533">
        <f>IF(AA192&lt;=AB$46,1,0)</f>
        <v>0</v>
      </c>
      <c r="AC192" s="533">
        <f>IF(AA192&lt;=AC$46,1,0)</f>
        <v>0</v>
      </c>
      <c r="AD192" s="533"/>
      <c r="AE192" s="533"/>
      <c r="AF192" s="533"/>
      <c r="AG192" s="533"/>
      <c r="AH192" s="533"/>
      <c r="AI192" s="533"/>
      <c r="AJ192" s="533"/>
      <c r="AK192" s="533"/>
      <c r="AL192" s="533"/>
      <c r="AM192" s="533"/>
      <c r="AN192" s="533"/>
      <c r="AO192" s="533"/>
    </row>
    <row r="193" spans="1:41" ht="11.25" hidden="1" customHeight="1" x14ac:dyDescent="0.25">
      <c r="A193" s="41"/>
      <c r="B193" s="104" t="s">
        <v>18</v>
      </c>
      <c r="C193" s="837" t="s">
        <v>1221</v>
      </c>
      <c r="D193" s="729"/>
      <c r="E193" s="717"/>
      <c r="F193" s="686" t="s">
        <v>1228</v>
      </c>
      <c r="G193" s="42" t="s">
        <v>1229</v>
      </c>
      <c r="H193" s="27">
        <f>VLOOKUP(C193,A!A$1:H$669,8,FALSE)</f>
        <v>1</v>
      </c>
      <c r="I193" s="27"/>
      <c r="J193" s="28">
        <f>IF(VLOOKUP(C193,A!A$1:H$669,4,FALSE)="y",1,0)</f>
        <v>0</v>
      </c>
      <c r="K193" s="28">
        <f>IF(VLOOKUP(C193,A!A$1:H$669,5,FALSE)="y",1,0)</f>
        <v>0</v>
      </c>
      <c r="L193" s="544" t="str">
        <f>IF(T193&lt;35,"Low",IF(T193&gt;40,"High","Med"))</f>
        <v>Low</v>
      </c>
      <c r="M193" s="27">
        <f>VLOOKUP(C193,A!A$1:H$669,6,FALSE)</f>
        <v>0</v>
      </c>
      <c r="N193" s="44">
        <v>4</v>
      </c>
      <c r="O193" s="533">
        <f>VLOOKUP(C193,A!A$1:G$669,2,FALSE)</f>
        <v>0</v>
      </c>
      <c r="P193" s="533" t="s">
        <v>24</v>
      </c>
      <c r="Q193" s="533" t="str">
        <f>IF(S193=0,"",COUNTIF(Q$12:Q192,"&gt;0")+1)</f>
        <v/>
      </c>
      <c r="R193" s="533" t="str">
        <f>IF(S193=0,"",COUNTIF(R$12:R192,"&gt;0")+1)</f>
        <v/>
      </c>
      <c r="S193" s="533">
        <f>A193+Y193+AB193+AC193</f>
        <v>0</v>
      </c>
      <c r="T193" s="533">
        <f>VLOOKUP(C193,A!A$1:AH$669,31,FALSE)</f>
        <v>0</v>
      </c>
      <c r="U193" s="533">
        <v>0.16500000000000001</v>
      </c>
      <c r="V193" s="533"/>
      <c r="W193" s="533" t="str">
        <f>IF(AND(V193&lt;&gt;"",O193=0),"Check",IF(AND(V193=0,O193="Y"),"Check",""))</f>
        <v/>
      </c>
      <c r="X193" s="533">
        <f>IF(V193&lt;&gt;"",COUNTIF(V$46:V193,V193)-1,0)</f>
        <v>0</v>
      </c>
      <c r="Y193" s="533"/>
      <c r="Z193" s="533" t="str">
        <f t="shared" si="49"/>
        <v/>
      </c>
      <c r="AA193" s="533" t="str">
        <f>IFERROR(RANK(Z193,Z$47:Z$226,0)+COUNTIF(Z$47:Z193,Z193)-1,"")</f>
        <v/>
      </c>
      <c r="AB193" s="533">
        <f>IF(AA193&lt;=AB$46,1,0)</f>
        <v>0</v>
      </c>
      <c r="AC193" s="533">
        <f>IF(AA193&lt;=AC$46,1,0)</f>
        <v>0</v>
      </c>
      <c r="AD193" s="533"/>
      <c r="AE193" s="533"/>
      <c r="AF193" s="533"/>
      <c r="AG193" s="533"/>
      <c r="AH193" s="533"/>
      <c r="AI193" s="533"/>
      <c r="AJ193" s="533"/>
      <c r="AK193" s="533"/>
      <c r="AL193" s="533"/>
      <c r="AM193" s="533"/>
      <c r="AN193" s="533"/>
      <c r="AO193" s="533"/>
    </row>
    <row r="194" spans="1:41" ht="13.5" customHeight="1" x14ac:dyDescent="0.25">
      <c r="A194" s="41"/>
      <c r="B194" s="104" t="s">
        <v>18</v>
      </c>
      <c r="C194" s="837" t="s">
        <v>373</v>
      </c>
      <c r="D194" s="729"/>
      <c r="E194" s="711"/>
      <c r="F194" s="686" t="s">
        <v>374</v>
      </c>
      <c r="G194" s="42" t="s">
        <v>375</v>
      </c>
      <c r="H194" s="27">
        <v>2</v>
      </c>
      <c r="I194" s="27"/>
      <c r="J194" s="28">
        <f>IF(VLOOKUP(C194,A!A$1:H$669,4,FALSE)="y",1,0)</f>
        <v>1</v>
      </c>
      <c r="K194" s="28">
        <f>IF(VLOOKUP(C194,A!A$1:H$669,5,FALSE)="y",1,0)</f>
        <v>1</v>
      </c>
      <c r="L194" s="544" t="str">
        <f t="shared" si="47"/>
        <v>Med</v>
      </c>
      <c r="M194" s="27" t="str">
        <f>VLOOKUP(C194,A!A$1:H$669,6,FALSE)</f>
        <v>y</v>
      </c>
      <c r="N194" s="44">
        <v>1</v>
      </c>
      <c r="O194" s="533" t="str">
        <f>VLOOKUP(C194,A!A$1:G$669,2,FALSE)</f>
        <v>y</v>
      </c>
      <c r="P194" s="533" t="s">
        <v>24</v>
      </c>
      <c r="Q194" s="533" t="str">
        <f>IF(S194=0,"",COUNTIF(Q$12:Q193,"&gt;0")+1)</f>
        <v/>
      </c>
      <c r="R194" s="533" t="str">
        <f>IF(S194=0,"",COUNTIF(R$12:R193,"&gt;0")+1)</f>
        <v/>
      </c>
      <c r="S194" s="533">
        <f>A194+Y194+AB194+AC194</f>
        <v>0</v>
      </c>
      <c r="T194" s="533">
        <f>VLOOKUP(C194,A!A$1:AH$669,31,FALSE)</f>
        <v>35</v>
      </c>
      <c r="U194" s="533">
        <v>0.16500000000000001</v>
      </c>
      <c r="V194" s="533">
        <v>89</v>
      </c>
      <c r="W194" s="533" t="str">
        <f t="shared" si="44"/>
        <v/>
      </c>
      <c r="X194" s="533">
        <f>IF(V194&lt;&gt;"",COUNTIF(V$46:V194,V194)-1,0)</f>
        <v>0</v>
      </c>
      <c r="Y194" s="533"/>
      <c r="Z194" s="533">
        <f t="shared" si="49"/>
        <v>-235</v>
      </c>
      <c r="AA194" s="533">
        <f>IFERROR(RANK(Z194,Z$47:Z$226,0)+COUNTIF(Z$47:Z194,Z194)-1,"")</f>
        <v>38</v>
      </c>
      <c r="AB194" s="533">
        <f t="shared" si="50"/>
        <v>0</v>
      </c>
      <c r="AC194" s="533">
        <f t="shared" si="48"/>
        <v>0</v>
      </c>
      <c r="AD194" s="533"/>
      <c r="AE194" s="533"/>
      <c r="AF194" s="533"/>
      <c r="AG194" s="533"/>
      <c r="AH194" s="533"/>
      <c r="AI194" s="533"/>
      <c r="AJ194" s="533"/>
      <c r="AK194" s="533"/>
      <c r="AL194" s="533"/>
      <c r="AM194" s="533"/>
      <c r="AN194" s="533"/>
      <c r="AO194" s="533"/>
    </row>
    <row r="195" spans="1:41" ht="11.25" hidden="1" customHeight="1" x14ac:dyDescent="0.25">
      <c r="A195" s="41"/>
      <c r="B195" s="104" t="s">
        <v>18</v>
      </c>
      <c r="C195" s="837" t="s">
        <v>376</v>
      </c>
      <c r="D195" s="729"/>
      <c r="E195" s="717"/>
      <c r="F195" s="686" t="s">
        <v>377</v>
      </c>
      <c r="G195" s="42" t="s">
        <v>378</v>
      </c>
      <c r="H195" s="27">
        <f>VLOOKUP(C195,A!A$1:H$669,8,FALSE)</f>
        <v>2</v>
      </c>
      <c r="I195" s="27" t="s">
        <v>30</v>
      </c>
      <c r="J195" s="28">
        <f>IF(VLOOKUP(C195,A!A$1:H$669,4,FALSE)="y",1,0)</f>
        <v>0</v>
      </c>
      <c r="K195" s="28">
        <f>IF(VLOOKUP(C195,A!A$1:H$669,5,FALSE)="y",1,0)</f>
        <v>0</v>
      </c>
      <c r="L195" s="544" t="str">
        <f t="shared" si="47"/>
        <v>Low</v>
      </c>
      <c r="M195" s="27">
        <f>VLOOKUP(C195,A!A$1:H$669,6,FALSE)</f>
        <v>0</v>
      </c>
      <c r="N195" s="44">
        <v>1</v>
      </c>
      <c r="O195" s="533">
        <f>VLOOKUP(C195,A!A$1:G$669,2,FALSE)</f>
        <v>0</v>
      </c>
      <c r="P195" s="533" t="s">
        <v>24</v>
      </c>
      <c r="Q195" s="533" t="str">
        <f>IF(S195=0,"",COUNTIF(Q$12:Q194,"&gt;0")+1)</f>
        <v/>
      </c>
      <c r="R195" s="533" t="str">
        <f>IF(S195=0,"",COUNTIF(R$12:R194,"&gt;0")+1)</f>
        <v/>
      </c>
      <c r="S195" s="533">
        <f t="shared" si="45"/>
        <v>0</v>
      </c>
      <c r="T195" s="533">
        <f>VLOOKUP(C195,A!A$1:AH$669,31,FALSE)</f>
        <v>0</v>
      </c>
      <c r="U195" s="533">
        <v>0.16500000000000001</v>
      </c>
      <c r="V195" s="533"/>
      <c r="W195" s="533" t="str">
        <f t="shared" si="44"/>
        <v/>
      </c>
      <c r="X195" s="533">
        <f>IF(V195&lt;&gt;"",COUNTIF(V$46:V195,V195)-1,0)</f>
        <v>0</v>
      </c>
      <c r="Y195" s="533"/>
      <c r="Z195" s="533" t="str">
        <f t="shared" si="49"/>
        <v/>
      </c>
      <c r="AA195" s="533" t="str">
        <f>IFERROR(RANK(Z195,Z$47:Z$226,0)+COUNTIF(Z$47:Z195,Z195)-1,"")</f>
        <v/>
      </c>
      <c r="AB195" s="533">
        <f t="shared" si="50"/>
        <v>0</v>
      </c>
      <c r="AC195" s="533">
        <f t="shared" si="48"/>
        <v>0</v>
      </c>
      <c r="AD195" s="533"/>
      <c r="AE195" s="533"/>
      <c r="AF195" s="533"/>
      <c r="AG195" s="533"/>
      <c r="AH195" s="533"/>
      <c r="AI195" s="533"/>
      <c r="AJ195" s="533"/>
      <c r="AK195" s="533"/>
      <c r="AL195" s="533"/>
      <c r="AM195" s="533"/>
      <c r="AN195" s="533"/>
      <c r="AO195" s="533"/>
    </row>
    <row r="196" spans="1:41" ht="13.5" hidden="1" customHeight="1" x14ac:dyDescent="0.25">
      <c r="A196" s="41"/>
      <c r="B196" s="104" t="s">
        <v>18</v>
      </c>
      <c r="C196" s="837" t="s">
        <v>379</v>
      </c>
      <c r="D196" s="727"/>
      <c r="E196" s="828"/>
      <c r="F196" s="686" t="s">
        <v>380</v>
      </c>
      <c r="G196" s="42" t="s">
        <v>381</v>
      </c>
      <c r="H196" s="27">
        <f>VLOOKUP(C196,A!A$1:H$669,8,FALSE)</f>
        <v>1</v>
      </c>
      <c r="I196" s="27"/>
      <c r="J196" s="28">
        <f>IF(VLOOKUP(C196,A!A$1:H$669,4,FALSE)="y",1,0)</f>
        <v>0</v>
      </c>
      <c r="K196" s="28">
        <f>IF(VLOOKUP(C196,A!A$1:H$669,5,FALSE)="y",1,0)</f>
        <v>0</v>
      </c>
      <c r="L196" s="544" t="str">
        <f t="shared" si="47"/>
        <v>Low</v>
      </c>
      <c r="M196" s="27">
        <f>VLOOKUP(C196,A!A$1:H$669,6,FALSE)</f>
        <v>0</v>
      </c>
      <c r="N196" s="44">
        <v>1</v>
      </c>
      <c r="O196" s="533">
        <f>VLOOKUP(C196,A!A$1:G$669,2,FALSE)</f>
        <v>0</v>
      </c>
      <c r="P196" s="533" t="s">
        <v>24</v>
      </c>
      <c r="Q196" s="533" t="str">
        <f>IF(S196=0,"",COUNTIF(Q$12:Q195,"&gt;0")+1)</f>
        <v/>
      </c>
      <c r="R196" s="533" t="str">
        <f>IF(S196=0,"",COUNTIF(R$12:R195,"&gt;0")+1)</f>
        <v/>
      </c>
      <c r="S196" s="533">
        <f t="shared" si="45"/>
        <v>0</v>
      </c>
      <c r="T196" s="533">
        <f>VLOOKUP(C196,A!A$1:AH$669,31,FALSE)</f>
        <v>0</v>
      </c>
      <c r="U196" s="533">
        <v>0.16500000000000001</v>
      </c>
      <c r="V196" s="533"/>
      <c r="W196" s="533" t="str">
        <f t="shared" si="44"/>
        <v/>
      </c>
      <c r="X196" s="533">
        <f>IF(V196&lt;&gt;"",COUNTIF(V$46:V196,V196)-1,0)</f>
        <v>0</v>
      </c>
      <c r="Y196" s="533"/>
      <c r="Z196" s="533" t="str">
        <f t="shared" si="49"/>
        <v/>
      </c>
      <c r="AA196" s="533" t="str">
        <f>IFERROR(RANK(Z196,Z$47:Z$226,0)+COUNTIF(Z$47:Z196,Z196)-1,"")</f>
        <v/>
      </c>
      <c r="AB196" s="533">
        <f t="shared" si="50"/>
        <v>0</v>
      </c>
      <c r="AC196" s="533">
        <f t="shared" si="48"/>
        <v>0</v>
      </c>
      <c r="AD196" s="533"/>
      <c r="AE196" s="533"/>
      <c r="AF196" s="533"/>
      <c r="AG196" s="533"/>
      <c r="AH196" s="533"/>
      <c r="AI196" s="533"/>
      <c r="AJ196" s="533"/>
      <c r="AK196" s="533"/>
      <c r="AL196" s="533"/>
      <c r="AM196" s="533"/>
      <c r="AN196" s="533"/>
      <c r="AO196" s="533"/>
    </row>
    <row r="197" spans="1:41" ht="11.25" hidden="1" customHeight="1" x14ac:dyDescent="0.25">
      <c r="A197" s="41"/>
      <c r="B197" s="104" t="s">
        <v>18</v>
      </c>
      <c r="C197" s="837" t="s">
        <v>382</v>
      </c>
      <c r="D197" s="729"/>
      <c r="E197" s="717"/>
      <c r="F197" s="686" t="s">
        <v>383</v>
      </c>
      <c r="G197" s="42" t="s">
        <v>384</v>
      </c>
      <c r="H197" s="27">
        <f>VLOOKUP(C197,A!A$1:H$669,8,FALSE)</f>
        <v>2</v>
      </c>
      <c r="I197" s="27"/>
      <c r="J197" s="28">
        <f>IF(VLOOKUP(C197,A!A$1:H$669,4,FALSE)="y",1,0)</f>
        <v>0</v>
      </c>
      <c r="K197" s="28">
        <f>IF(VLOOKUP(C197,A!A$1:H$669,5,FALSE)="y",1,0)</f>
        <v>0</v>
      </c>
      <c r="L197" s="544" t="str">
        <f t="shared" si="47"/>
        <v>Low</v>
      </c>
      <c r="M197" s="27">
        <f>VLOOKUP(C197,A!A$1:H$669,6,FALSE)</f>
        <v>0</v>
      </c>
      <c r="N197" s="44">
        <v>1</v>
      </c>
      <c r="O197" s="533">
        <f>VLOOKUP(C197,A!A$1:G$669,2,FALSE)</f>
        <v>0</v>
      </c>
      <c r="P197" s="533" t="s">
        <v>24</v>
      </c>
      <c r="Q197" s="533" t="str">
        <f>IF(S197=0,"",COUNTIF(Q$12:Q196,"&gt;0")+1)</f>
        <v/>
      </c>
      <c r="R197" s="533" t="str">
        <f>IF(S197=0,"",COUNTIF(R$12:R196,"&gt;0")+1)</f>
        <v/>
      </c>
      <c r="S197" s="533">
        <f t="shared" si="45"/>
        <v>0</v>
      </c>
      <c r="T197" s="533">
        <f>VLOOKUP(C197,A!A$1:AH$669,31,FALSE)</f>
        <v>0</v>
      </c>
      <c r="U197" s="533">
        <v>0.16500000000000001</v>
      </c>
      <c r="V197" s="533"/>
      <c r="W197" s="533" t="str">
        <f t="shared" si="44"/>
        <v/>
      </c>
      <c r="X197" s="533">
        <f>IF(V197&lt;&gt;"",COUNTIF(V$46:V197,V197)-1,0)</f>
        <v>0</v>
      </c>
      <c r="Y197" s="533"/>
      <c r="Z197" s="533"/>
      <c r="AA197" s="533" t="str">
        <f>IFERROR(RANK(Z197,Z$47:Z$226,0)+COUNTIF(Z$47:Z197,Z197)-1,"")</f>
        <v/>
      </c>
      <c r="AB197" s="533">
        <f t="shared" si="50"/>
        <v>0</v>
      </c>
      <c r="AC197" s="533">
        <f t="shared" si="48"/>
        <v>0</v>
      </c>
      <c r="AD197" s="533"/>
      <c r="AE197" s="533"/>
      <c r="AF197" s="533"/>
      <c r="AG197" s="533"/>
      <c r="AH197" s="533"/>
      <c r="AI197" s="533"/>
      <c r="AJ197" s="533"/>
      <c r="AK197" s="533"/>
      <c r="AL197" s="533"/>
      <c r="AM197" s="533"/>
      <c r="AN197" s="533"/>
      <c r="AO197" s="533"/>
    </row>
    <row r="198" spans="1:41" ht="13.5" customHeight="1" x14ac:dyDescent="0.25">
      <c r="A198" s="41"/>
      <c r="B198" s="104" t="s">
        <v>18</v>
      </c>
      <c r="C198" s="837" t="s">
        <v>385</v>
      </c>
      <c r="D198" s="728"/>
      <c r="E198" s="711"/>
      <c r="F198" s="686" t="s">
        <v>386</v>
      </c>
      <c r="G198" s="42" t="s">
        <v>387</v>
      </c>
      <c r="H198" s="27">
        <f>VLOOKUP(C198,A!A$1:H$669,8,FALSE)</f>
        <v>1</v>
      </c>
      <c r="I198" s="27"/>
      <c r="J198" s="28">
        <f>IF(VLOOKUP(C198,A!A$1:H$669,4,FALSE)="y",1,0)</f>
        <v>1</v>
      </c>
      <c r="K198" s="28">
        <f>IF(VLOOKUP(C198,A!A$1:H$669,5,FALSE)="y",1,0)</f>
        <v>0</v>
      </c>
      <c r="L198" s="544" t="str">
        <f t="shared" si="47"/>
        <v>Low</v>
      </c>
      <c r="M198" s="27">
        <f>VLOOKUP(C198,A!A$1:H$669,6,FALSE)</f>
        <v>0</v>
      </c>
      <c r="N198" s="44">
        <v>2</v>
      </c>
      <c r="O198" s="533" t="str">
        <f>VLOOKUP(C198,A!A$1:G$669,2,FALSE)</f>
        <v>y</v>
      </c>
      <c r="P198" s="533" t="s">
        <v>24</v>
      </c>
      <c r="Q198" s="533" t="str">
        <f>IF(S198=0,"",COUNTIF(Q$12:Q197,"&gt;0")+1)</f>
        <v/>
      </c>
      <c r="R198" s="533" t="str">
        <f>IF(S198=0,"",COUNTIF(R$12:R197,"&gt;0")+1)</f>
        <v/>
      </c>
      <c r="S198" s="533">
        <f t="shared" si="45"/>
        <v>0</v>
      </c>
      <c r="T198" s="533">
        <f>VLOOKUP(C198,A!A$1:AH$669,31,FALSE)</f>
        <v>30</v>
      </c>
      <c r="U198" s="533">
        <v>0.16500000000000001</v>
      </c>
      <c r="V198" s="533">
        <v>85</v>
      </c>
      <c r="W198" s="533" t="str">
        <f t="shared" si="44"/>
        <v/>
      </c>
      <c r="X198" s="533">
        <f>IF(V198&lt;&gt;"",COUNTIF(V$46:V198,V198)-1,0)</f>
        <v>0</v>
      </c>
      <c r="Y198" s="533"/>
      <c r="Z198" s="533">
        <f t="shared" si="46"/>
        <v>-130</v>
      </c>
      <c r="AA198" s="533">
        <f>IFERROR(RANK(Z198,Z$47:Z$226,0)+COUNTIF(Z$47:Z198,Z198)-1,"")</f>
        <v>8</v>
      </c>
      <c r="AB198" s="533">
        <f t="shared" si="50"/>
        <v>0</v>
      </c>
      <c r="AC198" s="533">
        <f t="shared" si="48"/>
        <v>0</v>
      </c>
      <c r="AD198" s="533"/>
      <c r="AE198" s="533"/>
      <c r="AF198" s="533"/>
      <c r="AG198" s="533"/>
      <c r="AH198" s="533"/>
      <c r="AI198" s="533"/>
      <c r="AJ198" s="533"/>
      <c r="AK198" s="533"/>
      <c r="AL198" s="533"/>
      <c r="AM198" s="533"/>
      <c r="AN198" s="533"/>
      <c r="AO198" s="533"/>
    </row>
    <row r="199" spans="1:41" ht="13.5" customHeight="1" x14ac:dyDescent="0.25">
      <c r="A199" s="41"/>
      <c r="B199" s="104" t="s">
        <v>18</v>
      </c>
      <c r="C199" s="837" t="s">
        <v>388</v>
      </c>
      <c r="D199" s="728"/>
      <c r="E199" s="711"/>
      <c r="F199" s="686" t="s">
        <v>389</v>
      </c>
      <c r="G199" s="42" t="s">
        <v>390</v>
      </c>
      <c r="H199" s="27">
        <v>1</v>
      </c>
      <c r="I199" s="27" t="s">
        <v>30</v>
      </c>
      <c r="J199" s="28">
        <f>IF(VLOOKUP(C199,A!A$1:H$669,4,FALSE)="y",1,0)</f>
        <v>1</v>
      </c>
      <c r="K199" s="28">
        <f>IF(VLOOKUP(C199,A!A$1:H$669,5,FALSE)="y",1,0)</f>
        <v>0</v>
      </c>
      <c r="L199" s="544" t="str">
        <f t="shared" si="47"/>
        <v>Low</v>
      </c>
      <c r="M199" s="27">
        <f>VLOOKUP(C199,A!A$1:H$669,6,FALSE)</f>
        <v>0</v>
      </c>
      <c r="N199" s="44">
        <v>2</v>
      </c>
      <c r="O199" s="533" t="str">
        <f>VLOOKUP(C199,A!A$1:G$669,2,FALSE)</f>
        <v>y</v>
      </c>
      <c r="P199" s="533" t="s">
        <v>24</v>
      </c>
      <c r="Q199" s="533" t="str">
        <f>IF(S199=0,"",COUNTIF(Q$12:Q198,"&gt;0")+1)</f>
        <v/>
      </c>
      <c r="R199" s="533" t="str">
        <f>IF(S199=0,"",COUNTIF(R$12:R198,"&gt;0")+1)</f>
        <v/>
      </c>
      <c r="S199" s="533">
        <f>A199+Y199+AB199+AC199</f>
        <v>0</v>
      </c>
      <c r="T199" s="533">
        <f>VLOOKUP(C199,A!A$1:AH$669,31,FALSE)</f>
        <v>30</v>
      </c>
      <c r="U199" s="533">
        <v>0.16500000000000001</v>
      </c>
      <c r="V199" s="533">
        <v>90</v>
      </c>
      <c r="W199" s="533" t="str">
        <f t="shared" si="44"/>
        <v/>
      </c>
      <c r="X199" s="533">
        <f>IF(V199&lt;&gt;"",COUNTIF(V$46:V199,V199)-1,0)</f>
        <v>0</v>
      </c>
      <c r="Y199" s="533"/>
      <c r="Z199" s="533">
        <f t="shared" si="46"/>
        <v>-130</v>
      </c>
      <c r="AA199" s="533">
        <f>IFERROR(RANK(Z199,Z$47:Z$226,0)+COUNTIF(Z$47:Z199,Z199)-1,"")</f>
        <v>9</v>
      </c>
      <c r="AB199" s="533">
        <f t="shared" si="50"/>
        <v>0</v>
      </c>
      <c r="AC199" s="533">
        <f t="shared" si="48"/>
        <v>0</v>
      </c>
      <c r="AD199" s="533"/>
      <c r="AE199" s="533"/>
      <c r="AF199" s="533"/>
      <c r="AG199" s="533"/>
      <c r="AH199" s="533"/>
      <c r="AI199" s="533"/>
      <c r="AJ199" s="533"/>
      <c r="AK199" s="533"/>
      <c r="AL199" s="533"/>
      <c r="AM199" s="533"/>
      <c r="AN199" s="533"/>
      <c r="AO199" s="533"/>
    </row>
    <row r="200" spans="1:41" ht="11.25" hidden="1" customHeight="1" x14ac:dyDescent="0.25">
      <c r="A200" s="41"/>
      <c r="B200" s="104" t="s">
        <v>18</v>
      </c>
      <c r="C200" s="837" t="s">
        <v>391</v>
      </c>
      <c r="D200" s="729"/>
      <c r="E200" s="717"/>
      <c r="F200" s="686" t="s">
        <v>392</v>
      </c>
      <c r="G200" s="42" t="s">
        <v>393</v>
      </c>
      <c r="H200" s="27">
        <f>VLOOKUP(C200,A!A$1:H$669,8,FALSE)</f>
        <v>3</v>
      </c>
      <c r="I200" s="27"/>
      <c r="J200" s="28">
        <f>IF(VLOOKUP(C200,A!A$1:H$669,4,FALSE)="y",1,0)</f>
        <v>0</v>
      </c>
      <c r="K200" s="28">
        <f>IF(VLOOKUP(C200,A!A$1:H$669,5,FALSE)="y",1,0)</f>
        <v>0</v>
      </c>
      <c r="L200" s="544" t="str">
        <f t="shared" si="47"/>
        <v>Low</v>
      </c>
      <c r="M200" s="27">
        <f>VLOOKUP(C200,A!A$1:H$669,6,FALSE)</f>
        <v>0</v>
      </c>
      <c r="N200" s="44">
        <v>2</v>
      </c>
      <c r="O200" s="533">
        <f>VLOOKUP(C200,A!A$1:G$669,2,FALSE)</f>
        <v>0</v>
      </c>
      <c r="P200" s="533" t="s">
        <v>24</v>
      </c>
      <c r="Q200" s="533" t="str">
        <f>IF(S200=0,"",COUNTIF(Q$12:Q199,"&gt;0")+1)</f>
        <v/>
      </c>
      <c r="R200" s="533" t="str">
        <f>IF(S200=0,"",COUNTIF(R$12:R199,"&gt;0")+1)</f>
        <v/>
      </c>
      <c r="S200" s="533">
        <f t="shared" si="45"/>
        <v>0</v>
      </c>
      <c r="T200" s="533">
        <f>VLOOKUP(C200,A!A$1:AH$669,31,FALSE)</f>
        <v>0</v>
      </c>
      <c r="U200" s="533">
        <v>0.16500000000000001</v>
      </c>
      <c r="V200" s="533"/>
      <c r="W200" s="533" t="str">
        <f t="shared" si="44"/>
        <v/>
      </c>
      <c r="X200" s="533">
        <f>IF(V200&lt;&gt;"",COUNTIF(V$46:V200,V200)-1,0)</f>
        <v>0</v>
      </c>
      <c r="Y200" s="533"/>
      <c r="Z200" s="533" t="str">
        <f t="shared" si="46"/>
        <v/>
      </c>
      <c r="AA200" s="533" t="str">
        <f>IFERROR(RANK(Z200,Z$47:Z$226,0)+COUNTIF(Z$47:Z200,Z200)-1,"")</f>
        <v/>
      </c>
      <c r="AB200" s="533">
        <f t="shared" si="50"/>
        <v>0</v>
      </c>
      <c r="AC200" s="533">
        <f t="shared" si="48"/>
        <v>0</v>
      </c>
      <c r="AD200" s="533"/>
      <c r="AE200" s="533"/>
      <c r="AF200" s="533"/>
      <c r="AG200" s="533"/>
      <c r="AH200" s="533"/>
      <c r="AI200" s="533"/>
      <c r="AJ200" s="533"/>
      <c r="AK200" s="533"/>
      <c r="AL200" s="533"/>
      <c r="AM200" s="533"/>
      <c r="AN200" s="533"/>
      <c r="AO200" s="533"/>
    </row>
    <row r="201" spans="1:41" ht="13.5" hidden="1" customHeight="1" x14ac:dyDescent="0.25">
      <c r="A201" s="41"/>
      <c r="B201" s="104" t="s">
        <v>18</v>
      </c>
      <c r="C201" s="837" t="s">
        <v>394</v>
      </c>
      <c r="D201" s="727"/>
      <c r="E201" s="828"/>
      <c r="F201" s="686" t="s">
        <v>395</v>
      </c>
      <c r="G201" s="42" t="s">
        <v>396</v>
      </c>
      <c r="H201" s="27">
        <f>VLOOKUP(C201,A!A$1:H$669,8,FALSE)</f>
        <v>1</v>
      </c>
      <c r="I201" s="27"/>
      <c r="J201" s="28">
        <f>IF(VLOOKUP(C201,A!A$1:H$669,4,FALSE)="y",1,0)</f>
        <v>0</v>
      </c>
      <c r="K201" s="28">
        <f>IF(VLOOKUP(C201,A!A$1:H$669,5,FALSE)="y",1,0)</f>
        <v>0</v>
      </c>
      <c r="L201" s="544" t="str">
        <f t="shared" si="47"/>
        <v>Low</v>
      </c>
      <c r="M201" s="27">
        <f>VLOOKUP(C201,A!A$1:H$669,6,FALSE)</f>
        <v>0</v>
      </c>
      <c r="N201" s="44">
        <v>2</v>
      </c>
      <c r="O201" s="533">
        <f>VLOOKUP(C201,A!A$1:G$669,2,FALSE)</f>
        <v>0</v>
      </c>
      <c r="P201" s="533" t="s">
        <v>24</v>
      </c>
      <c r="Q201" s="533" t="str">
        <f>IF(S201=0,"",COUNTIF(Q$12:Q200,"&gt;0")+1)</f>
        <v/>
      </c>
      <c r="R201" s="533" t="str">
        <f>IF(S201=0,"",COUNTIF(R$12:R200,"&gt;0")+1)</f>
        <v/>
      </c>
      <c r="S201" s="533">
        <f t="shared" si="45"/>
        <v>0</v>
      </c>
      <c r="T201" s="533">
        <f>VLOOKUP(C201,A!A$1:AH$669,31,FALSE)</f>
        <v>0</v>
      </c>
      <c r="U201" s="533">
        <v>0.16500000000000001</v>
      </c>
      <c r="V201" s="533"/>
      <c r="W201" s="533" t="str">
        <f t="shared" si="44"/>
        <v/>
      </c>
      <c r="X201" s="533">
        <f>IF(V201&lt;&gt;"",COUNTIF(V$46:V201,V201)-1,0)</f>
        <v>0</v>
      </c>
      <c r="Y201" s="533"/>
      <c r="Z201" s="533" t="str">
        <f t="shared" si="46"/>
        <v/>
      </c>
      <c r="AA201" s="533" t="str">
        <f>IFERROR(RANK(Z201,Z$47:Z$226,0)+COUNTIF(Z$47:Z201,Z201)-1,"")</f>
        <v/>
      </c>
      <c r="AB201" s="533">
        <f t="shared" si="50"/>
        <v>0</v>
      </c>
      <c r="AC201" s="533">
        <f t="shared" si="48"/>
        <v>0</v>
      </c>
      <c r="AD201" s="533"/>
      <c r="AE201" s="533"/>
      <c r="AF201" s="533"/>
      <c r="AG201" s="533"/>
      <c r="AH201" s="533"/>
      <c r="AI201" s="533"/>
      <c r="AJ201" s="533"/>
      <c r="AK201" s="533"/>
      <c r="AL201" s="533"/>
      <c r="AM201" s="533"/>
      <c r="AN201" s="533"/>
      <c r="AO201" s="533"/>
    </row>
    <row r="202" spans="1:41" ht="11.25" hidden="1" customHeight="1" x14ac:dyDescent="0.25">
      <c r="A202" s="41"/>
      <c r="B202" s="104" t="s">
        <v>18</v>
      </c>
      <c r="C202" s="837" t="s">
        <v>397</v>
      </c>
      <c r="D202" s="727"/>
      <c r="E202" s="828"/>
      <c r="F202" s="686" t="s">
        <v>395</v>
      </c>
      <c r="G202" s="42" t="s">
        <v>398</v>
      </c>
      <c r="H202" s="27">
        <f>VLOOKUP(C202,A!A$1:H$669,8,FALSE)</f>
        <v>1</v>
      </c>
      <c r="I202" s="27" t="s">
        <v>30</v>
      </c>
      <c r="J202" s="28">
        <f>IF(VLOOKUP(C202,A!A$1:H$669,4,FALSE)="y",1,0)</f>
        <v>0</v>
      </c>
      <c r="K202" s="28">
        <f>IF(VLOOKUP(C202,A!A$1:H$669,5,FALSE)="y",1,0)</f>
        <v>0</v>
      </c>
      <c r="L202" s="544" t="str">
        <f t="shared" si="47"/>
        <v>Low</v>
      </c>
      <c r="M202" s="27">
        <f>VLOOKUP(C202,A!A$1:H$669,6,FALSE)</f>
        <v>0</v>
      </c>
      <c r="N202" s="44">
        <v>2</v>
      </c>
      <c r="O202" s="533">
        <f>VLOOKUP(C202,A!A$1:G$669,2,FALSE)</f>
        <v>0</v>
      </c>
      <c r="P202" s="533" t="s">
        <v>24</v>
      </c>
      <c r="Q202" s="533" t="str">
        <f>IF(S202=0,"",COUNTIF(Q$12:Q201,"&gt;0")+1)</f>
        <v/>
      </c>
      <c r="R202" s="533" t="str">
        <f>IF(S202=0,"",COUNTIF(R$12:R201,"&gt;0")+1)</f>
        <v/>
      </c>
      <c r="S202" s="533">
        <f t="shared" si="45"/>
        <v>0</v>
      </c>
      <c r="T202" s="533">
        <f>VLOOKUP(C202,A!A$1:AH$669,31,FALSE)</f>
        <v>0</v>
      </c>
      <c r="U202" s="533">
        <v>0.16500000000000001</v>
      </c>
      <c r="V202" s="533"/>
      <c r="W202" s="533" t="str">
        <f t="shared" si="44"/>
        <v/>
      </c>
      <c r="X202" s="533">
        <f>IF(V202&lt;&gt;"",COUNTIF(V$46:V202,V202)-1,0)</f>
        <v>0</v>
      </c>
      <c r="Y202" s="533"/>
      <c r="Z202" s="533" t="str">
        <f t="shared" si="46"/>
        <v/>
      </c>
      <c r="AA202" s="533" t="str">
        <f>IFERROR(RANK(Z202,Z$47:Z$226,0)+COUNTIF(Z$47:Z202,Z202)-1,"")</f>
        <v/>
      </c>
      <c r="AB202" s="533">
        <f t="shared" si="50"/>
        <v>0</v>
      </c>
      <c r="AC202" s="533">
        <f t="shared" si="48"/>
        <v>0</v>
      </c>
      <c r="AD202" s="533"/>
      <c r="AE202" s="533"/>
      <c r="AF202" s="533"/>
      <c r="AG202" s="533"/>
      <c r="AH202" s="533"/>
      <c r="AI202" s="533"/>
      <c r="AJ202" s="533"/>
      <c r="AK202" s="533"/>
      <c r="AL202" s="533"/>
      <c r="AM202" s="533"/>
      <c r="AN202" s="533"/>
      <c r="AO202" s="533"/>
    </row>
    <row r="203" spans="1:41" ht="11.25" hidden="1" customHeight="1" x14ac:dyDescent="0.25">
      <c r="A203" s="41"/>
      <c r="B203" s="104" t="s">
        <v>18</v>
      </c>
      <c r="C203" s="837" t="s">
        <v>399</v>
      </c>
      <c r="D203" s="727"/>
      <c r="E203" s="828"/>
      <c r="F203" s="686" t="s">
        <v>400</v>
      </c>
      <c r="G203" s="42" t="s">
        <v>401</v>
      </c>
      <c r="H203" s="27">
        <f>VLOOKUP(C203,A!A$1:H$669,8,FALSE)</f>
        <v>2</v>
      </c>
      <c r="I203" s="27"/>
      <c r="J203" s="28">
        <f>IF(VLOOKUP(C203,A!A$1:H$669,4,FALSE)="y",1,0)</f>
        <v>0</v>
      </c>
      <c r="K203" s="28">
        <f>IF(VLOOKUP(C203,A!A$1:H$669,5,FALSE)="y",1,0)</f>
        <v>0</v>
      </c>
      <c r="L203" s="544" t="str">
        <f t="shared" si="47"/>
        <v>Low</v>
      </c>
      <c r="M203" s="27">
        <f>VLOOKUP(C203,A!A$1:H$669,6,FALSE)</f>
        <v>0</v>
      </c>
      <c r="N203" s="44" t="s">
        <v>39</v>
      </c>
      <c r="O203" s="533">
        <f>VLOOKUP(C203,A!A$1:G$669,2,FALSE)</f>
        <v>0</v>
      </c>
      <c r="P203" s="533" t="s">
        <v>24</v>
      </c>
      <c r="Q203" s="533" t="str">
        <f>IF(S203=0,"",COUNTIF(Q$12:Q202,"&gt;0")+1)</f>
        <v/>
      </c>
      <c r="R203" s="533" t="str">
        <f>IF(S203=0,"",COUNTIF(R$12:R202,"&gt;0")+1)</f>
        <v/>
      </c>
      <c r="S203" s="533">
        <f t="shared" si="45"/>
        <v>0</v>
      </c>
      <c r="T203" s="533">
        <f>VLOOKUP(C203,A!A$1:AH$669,31,FALSE)</f>
        <v>0</v>
      </c>
      <c r="U203" s="533">
        <v>0.16500000000000001</v>
      </c>
      <c r="V203" s="533"/>
      <c r="W203" s="533" t="str">
        <f t="shared" si="44"/>
        <v/>
      </c>
      <c r="X203" s="533">
        <f>IF(V203&lt;&gt;"",COUNTIF(V$46:V203,V203)-1,0)</f>
        <v>0</v>
      </c>
      <c r="Y203" s="533"/>
      <c r="Z203" s="533" t="str">
        <f t="shared" si="46"/>
        <v/>
      </c>
      <c r="AA203" s="533" t="str">
        <f>IFERROR(RANK(Z203,Z$47:Z$226,0)+COUNTIF(Z$47:Z203,Z203)-1,"")</f>
        <v/>
      </c>
      <c r="AB203" s="533">
        <f t="shared" si="50"/>
        <v>0</v>
      </c>
      <c r="AC203" s="533">
        <f t="shared" si="48"/>
        <v>0</v>
      </c>
      <c r="AD203" s="533"/>
      <c r="AE203" s="533"/>
      <c r="AF203" s="533"/>
      <c r="AG203" s="533"/>
      <c r="AH203" s="533"/>
      <c r="AI203" s="533"/>
      <c r="AJ203" s="533"/>
      <c r="AK203" s="533"/>
      <c r="AL203" s="533"/>
      <c r="AM203" s="533"/>
      <c r="AN203" s="533"/>
      <c r="AO203" s="533"/>
    </row>
    <row r="204" spans="1:41" ht="11.25" hidden="1" customHeight="1" x14ac:dyDescent="0.25">
      <c r="A204" s="41"/>
      <c r="B204" s="104" t="s">
        <v>18</v>
      </c>
      <c r="C204" s="837" t="s">
        <v>402</v>
      </c>
      <c r="D204" s="727"/>
      <c r="E204" s="828"/>
      <c r="F204" s="686" t="s">
        <v>403</v>
      </c>
      <c r="G204" s="42" t="s">
        <v>404</v>
      </c>
      <c r="H204" s="27">
        <f>VLOOKUP(C204,A!A$1:H$669,8,FALSE)</f>
        <v>2</v>
      </c>
      <c r="I204" s="27"/>
      <c r="J204" s="28">
        <f>IF(VLOOKUP(C204,A!A$1:H$669,4,FALSE)="y",1,0)</f>
        <v>0</v>
      </c>
      <c r="K204" s="28">
        <f>IF(VLOOKUP(C204,A!A$1:H$669,5,FALSE)="y",1,0)</f>
        <v>0</v>
      </c>
      <c r="L204" s="544" t="str">
        <f t="shared" si="47"/>
        <v>Low</v>
      </c>
      <c r="M204" s="27">
        <f>VLOOKUP(C204,A!A$1:H$669,6,FALSE)</f>
        <v>0</v>
      </c>
      <c r="N204" s="44">
        <v>1</v>
      </c>
      <c r="O204" s="533">
        <f>VLOOKUP(C204,A!A$1:G$669,2,FALSE)</f>
        <v>0</v>
      </c>
      <c r="P204" s="533" t="s">
        <v>24</v>
      </c>
      <c r="Q204" s="533" t="str">
        <f>IF(S204=0,"",COUNTIF(Q$12:Q203,"&gt;0")+1)</f>
        <v/>
      </c>
      <c r="R204" s="533" t="str">
        <f>IF(S204=0,"",COUNTIF(R$12:R203,"&gt;0")+1)</f>
        <v/>
      </c>
      <c r="S204" s="533">
        <f t="shared" si="45"/>
        <v>0</v>
      </c>
      <c r="T204" s="533">
        <f>VLOOKUP(C204,A!A$1:AH$669,31,FALSE)</f>
        <v>0</v>
      </c>
      <c r="U204" s="533">
        <v>0.16500000000000001</v>
      </c>
      <c r="V204" s="533"/>
      <c r="W204" s="533" t="str">
        <f t="shared" si="44"/>
        <v/>
      </c>
      <c r="X204" s="533">
        <f>IF(V204&lt;&gt;"",COUNTIF(V$46:V204,V204)-1,0)</f>
        <v>0</v>
      </c>
      <c r="Y204" s="533"/>
      <c r="Z204" s="533" t="str">
        <f t="shared" si="46"/>
        <v/>
      </c>
      <c r="AA204" s="533" t="str">
        <f>IFERROR(RANK(Z204,Z$47:Z$226,0)+COUNTIF(Z$47:Z204,Z204)-1,"")</f>
        <v/>
      </c>
      <c r="AB204" s="533">
        <f t="shared" si="50"/>
        <v>0</v>
      </c>
      <c r="AC204" s="533">
        <f t="shared" si="48"/>
        <v>0</v>
      </c>
      <c r="AD204" s="533"/>
      <c r="AE204" s="533"/>
      <c r="AF204" s="533"/>
      <c r="AG204" s="533"/>
      <c r="AH204" s="533"/>
      <c r="AI204" s="533"/>
      <c r="AJ204" s="533"/>
      <c r="AK204" s="533"/>
      <c r="AL204" s="533"/>
      <c r="AM204" s="533"/>
      <c r="AN204" s="533"/>
      <c r="AO204" s="533"/>
    </row>
    <row r="205" spans="1:41" ht="13.5" hidden="1" customHeight="1" x14ac:dyDescent="0.25">
      <c r="A205" s="41"/>
      <c r="B205" s="104" t="s">
        <v>18</v>
      </c>
      <c r="C205" s="837" t="s">
        <v>405</v>
      </c>
      <c r="D205" s="324"/>
      <c r="E205" s="711"/>
      <c r="F205" s="688" t="s">
        <v>406</v>
      </c>
      <c r="G205" s="26" t="s">
        <v>407</v>
      </c>
      <c r="H205" s="27">
        <f>VLOOKUP(C205,A!A$1:H$669,8,FALSE)</f>
        <v>2</v>
      </c>
      <c r="I205" s="27"/>
      <c r="J205" s="28">
        <f>IF(VLOOKUP(C205,A!A$1:H$669,4,FALSE)="y",1,0)</f>
        <v>0</v>
      </c>
      <c r="K205" s="28">
        <f>IF(VLOOKUP(C205,A!A$1:H$669,5,FALSE)="y",1,0)</f>
        <v>0</v>
      </c>
      <c r="L205" s="544" t="str">
        <f t="shared" si="47"/>
        <v>Low</v>
      </c>
      <c r="M205" s="27">
        <f>VLOOKUP(C205,A!A$1:H$669,6,FALSE)</f>
        <v>0</v>
      </c>
      <c r="N205" s="44">
        <v>2</v>
      </c>
      <c r="O205" s="533">
        <f>VLOOKUP(C205,A!A$1:G$669,2,FALSE)</f>
        <v>0</v>
      </c>
      <c r="P205" s="533" t="s">
        <v>24</v>
      </c>
      <c r="Q205" s="533" t="str">
        <f>IF(S205=0,"",COUNTIF(Q$12:Q204,"&gt;0")+1)</f>
        <v/>
      </c>
      <c r="R205" s="533" t="str">
        <f>IF(S205=0,"",COUNTIF(R$12:R204,"&gt;0")+1)</f>
        <v/>
      </c>
      <c r="S205" s="533">
        <f t="shared" si="45"/>
        <v>0</v>
      </c>
      <c r="T205" s="533">
        <f>VLOOKUP(C205,A!A$1:AH$669,31,FALSE)</f>
        <v>0</v>
      </c>
      <c r="U205" s="533">
        <v>0.16500000000000001</v>
      </c>
      <c r="V205" s="533"/>
      <c r="W205" s="533" t="str">
        <f t="shared" si="44"/>
        <v/>
      </c>
      <c r="X205" s="533">
        <f>IF(V205&lt;&gt;"",COUNTIF(V$46:V205,V205)-1,0)</f>
        <v>0</v>
      </c>
      <c r="Y205" s="533"/>
      <c r="Z205" s="533" t="str">
        <f t="shared" si="46"/>
        <v/>
      </c>
      <c r="AA205" s="533" t="str">
        <f>IFERROR(RANK(Z205,Z$47:Z$226,0)+COUNTIF(Z$47:Z205,Z205)-1,"")</f>
        <v/>
      </c>
      <c r="AB205" s="533">
        <f t="shared" si="50"/>
        <v>0</v>
      </c>
      <c r="AC205" s="533">
        <f t="shared" si="48"/>
        <v>0</v>
      </c>
      <c r="AD205" s="533"/>
      <c r="AE205" s="533"/>
      <c r="AF205" s="533"/>
      <c r="AG205" s="533"/>
      <c r="AH205" s="533"/>
      <c r="AI205" s="533"/>
      <c r="AJ205" s="533"/>
      <c r="AK205" s="533"/>
      <c r="AL205" s="533"/>
      <c r="AM205" s="533"/>
      <c r="AN205" s="533"/>
      <c r="AO205" s="533"/>
    </row>
    <row r="206" spans="1:41" ht="13.5" customHeight="1" x14ac:dyDescent="0.25">
      <c r="A206" s="41"/>
      <c r="B206" s="104" t="s">
        <v>18</v>
      </c>
      <c r="C206" s="837" t="s">
        <v>408</v>
      </c>
      <c r="D206" s="324"/>
      <c r="E206" s="711"/>
      <c r="F206" s="686" t="s">
        <v>409</v>
      </c>
      <c r="G206" s="42" t="s">
        <v>410</v>
      </c>
      <c r="H206" s="27">
        <f>VLOOKUP(C206,A!A$1:H$669,8,FALSE)</f>
        <v>2</v>
      </c>
      <c r="I206" s="27"/>
      <c r="J206" s="28">
        <f>IF(VLOOKUP(C206,A!A$1:H$669,4,FALSE)="y",1,0)</f>
        <v>1</v>
      </c>
      <c r="K206" s="28">
        <f>IF(VLOOKUP(C206,A!A$1:H$669,5,FALSE)="y",1,0)</f>
        <v>0</v>
      </c>
      <c r="L206" s="544" t="str">
        <f t="shared" si="47"/>
        <v>Low</v>
      </c>
      <c r="M206" s="27">
        <f>VLOOKUP(C206,A!A$1:H$669,6,FALSE)</f>
        <v>0</v>
      </c>
      <c r="N206" s="44">
        <v>1</v>
      </c>
      <c r="O206" s="533" t="str">
        <f>VLOOKUP(C206,A!A$1:G$669,2,FALSE)</f>
        <v>y</v>
      </c>
      <c r="P206" s="533" t="s">
        <v>24</v>
      </c>
      <c r="Q206" s="533" t="str">
        <f>IF(S206=0,"",COUNTIF(Q$12:Q205,"&gt;0")+1)</f>
        <v/>
      </c>
      <c r="R206" s="533" t="str">
        <f>IF(S206=0,"",COUNTIF(R$12:R205,"&gt;0")+1)</f>
        <v/>
      </c>
      <c r="S206" s="533">
        <f>A206+Y206+AB206+AC206+A23</f>
        <v>0</v>
      </c>
      <c r="T206" s="533">
        <f>VLOOKUP(C206,A!A$1:AH$669,31,FALSE)</f>
        <v>30</v>
      </c>
      <c r="U206" s="533">
        <v>0.16500000000000001</v>
      </c>
      <c r="V206" s="533">
        <v>84</v>
      </c>
      <c r="W206" s="533" t="str">
        <f t="shared" si="44"/>
        <v/>
      </c>
      <c r="X206" s="533">
        <f>IF(V206&lt;&gt;"",COUNTIF(V$46:V206,V206)-1,0)</f>
        <v>0</v>
      </c>
      <c r="Y206" s="533"/>
      <c r="Z206" s="533">
        <f t="shared" si="46"/>
        <v>-230</v>
      </c>
      <c r="AA206" s="533">
        <f>IFERROR(RANK(Z206,Z$47:Z$226,0)+COUNTIF(Z$47:Z206,Z206)-1,"")</f>
        <v>25</v>
      </c>
      <c r="AB206" s="533">
        <f t="shared" si="50"/>
        <v>0</v>
      </c>
      <c r="AC206" s="533">
        <f t="shared" si="48"/>
        <v>0</v>
      </c>
      <c r="AD206" s="533"/>
      <c r="AE206" s="533"/>
      <c r="AF206" s="533"/>
      <c r="AG206" s="533"/>
      <c r="AH206" s="533"/>
      <c r="AI206" s="533"/>
      <c r="AJ206" s="533"/>
      <c r="AK206" s="533"/>
      <c r="AL206" s="533"/>
      <c r="AM206" s="533"/>
      <c r="AN206" s="533"/>
      <c r="AO206" s="533"/>
    </row>
    <row r="207" spans="1:41" ht="13.5" customHeight="1" x14ac:dyDescent="0.25">
      <c r="A207" s="41"/>
      <c r="B207" s="104" t="s">
        <v>18</v>
      </c>
      <c r="C207" s="837" t="s">
        <v>411</v>
      </c>
      <c r="D207" s="728"/>
      <c r="E207" s="711"/>
      <c r="F207" s="686" t="s">
        <v>412</v>
      </c>
      <c r="G207" s="42" t="s">
        <v>413</v>
      </c>
      <c r="H207" s="27">
        <f>VLOOKUP(C207,A!A$1:H$669,8,FALSE)</f>
        <v>2</v>
      </c>
      <c r="I207" s="27"/>
      <c r="J207" s="28">
        <f>IF(VLOOKUP(C207,A!A$1:H$669,4,FALSE)="y",1,0)</f>
        <v>1</v>
      </c>
      <c r="K207" s="28">
        <f>IF(VLOOKUP(C207,A!A$1:H$669,5,FALSE)="y",1,0)</f>
        <v>0</v>
      </c>
      <c r="L207" s="544" t="str">
        <f t="shared" si="47"/>
        <v>Low</v>
      </c>
      <c r="M207" s="27">
        <f>VLOOKUP(C207,A!A$1:H$669,6,FALSE)</f>
        <v>0</v>
      </c>
      <c r="N207" s="44">
        <v>1</v>
      </c>
      <c r="O207" s="533" t="str">
        <f>VLOOKUP(C207,A!A$1:G$669,2,FALSE)</f>
        <v>y</v>
      </c>
      <c r="P207" s="533" t="s">
        <v>24</v>
      </c>
      <c r="Q207" s="533" t="str">
        <f>IF(S207=0,"",COUNTIF(Q$12:Q206,"&gt;0")+1)</f>
        <v/>
      </c>
      <c r="R207" s="533" t="str">
        <f>IF(S207=0,"",COUNTIF(R$12:R206,"&gt;0")+1)</f>
        <v/>
      </c>
      <c r="S207" s="533">
        <f t="shared" si="45"/>
        <v>0</v>
      </c>
      <c r="T207" s="533">
        <f>VLOOKUP(C207,A!A$1:AH$669,31,FALSE)</f>
        <v>30</v>
      </c>
      <c r="U207" s="533">
        <v>0.16500000000000001</v>
      </c>
      <c r="V207" s="533">
        <v>91</v>
      </c>
      <c r="W207" s="533" t="str">
        <f t="shared" si="44"/>
        <v/>
      </c>
      <c r="X207" s="533">
        <f>IF(V207&lt;&gt;"",COUNTIF(V$46:V207,V207)-1,0)</f>
        <v>0</v>
      </c>
      <c r="Y207" s="533"/>
      <c r="Z207" s="533">
        <f t="shared" si="46"/>
        <v>-230</v>
      </c>
      <c r="AA207" s="533">
        <f>IFERROR(RANK(Z207,Z$47:Z$226,0)+COUNTIF(Z$47:Z207,Z207)-1,"")</f>
        <v>26</v>
      </c>
      <c r="AB207" s="533">
        <f t="shared" si="50"/>
        <v>0</v>
      </c>
      <c r="AC207" s="533">
        <f t="shared" si="48"/>
        <v>0</v>
      </c>
      <c r="AD207" s="533"/>
      <c r="AE207" s="533"/>
      <c r="AF207" s="533"/>
      <c r="AG207" s="533"/>
      <c r="AH207" s="533"/>
      <c r="AI207" s="533"/>
      <c r="AJ207" s="533"/>
      <c r="AK207" s="533"/>
      <c r="AL207" s="533"/>
      <c r="AM207" s="533"/>
      <c r="AN207" s="533"/>
      <c r="AO207" s="533"/>
    </row>
    <row r="208" spans="1:41" hidden="1" x14ac:dyDescent="0.25">
      <c r="A208" s="41"/>
      <c r="B208" s="104" t="s">
        <v>18</v>
      </c>
      <c r="C208" s="837" t="s">
        <v>414</v>
      </c>
      <c r="D208" s="728"/>
      <c r="E208" s="711"/>
      <c r="F208" s="686" t="s">
        <v>415</v>
      </c>
      <c r="G208" s="42" t="s">
        <v>416</v>
      </c>
      <c r="H208" s="27">
        <f>VLOOKUP(C208,A!A$1:H$669,8,FALSE)</f>
        <v>2</v>
      </c>
      <c r="I208" s="27"/>
      <c r="J208" s="28">
        <f>IF(VLOOKUP(C208,A!A$1:H$669,4,FALSE)="y",1,0)</f>
        <v>0</v>
      </c>
      <c r="K208" s="28">
        <f>IF(VLOOKUP(C208,A!A$1:H$669,5,FALSE)="y",1,0)</f>
        <v>0</v>
      </c>
      <c r="L208" s="544" t="str">
        <f t="shared" si="47"/>
        <v>Low</v>
      </c>
      <c r="M208" s="27">
        <f>VLOOKUP(C208,A!A$1:H$669,6,FALSE)</f>
        <v>0</v>
      </c>
      <c r="N208" s="44" t="s">
        <v>31</v>
      </c>
      <c r="O208" s="533">
        <f>VLOOKUP(C208,A!A$1:G$669,2,FALSE)</f>
        <v>0</v>
      </c>
      <c r="P208" s="533" t="s">
        <v>24</v>
      </c>
      <c r="Q208" s="533" t="str">
        <f>IF(S208=0,"",COUNTIF(Q$12:Q207,"&gt;0")+1)</f>
        <v/>
      </c>
      <c r="R208" s="533" t="str">
        <f>IF(S208=0,"",COUNTIF(R$12:R207,"&gt;0")+1)</f>
        <v/>
      </c>
      <c r="S208" s="533">
        <f t="shared" si="45"/>
        <v>0</v>
      </c>
      <c r="T208" s="533">
        <f>VLOOKUP(C208,A!A$1:AH$669,31,FALSE)</f>
        <v>0</v>
      </c>
      <c r="U208" s="533">
        <v>0.16500000000000001</v>
      </c>
      <c r="V208" s="533"/>
      <c r="W208" s="533" t="str">
        <f t="shared" si="44"/>
        <v/>
      </c>
      <c r="X208" s="533">
        <f>IF(V208&lt;&gt;"",COUNTIF(V$46:V208,V208)-1,0)</f>
        <v>0</v>
      </c>
      <c r="Y208" s="533"/>
      <c r="Z208" s="533" t="str">
        <f t="shared" si="46"/>
        <v/>
      </c>
      <c r="AA208" s="533" t="str">
        <f>IFERROR(RANK(Z208,Z$47:Z$226,0)+COUNTIF(Z$47:Z208,Z208)-1,"")</f>
        <v/>
      </c>
      <c r="AB208" s="533">
        <f t="shared" si="50"/>
        <v>0</v>
      </c>
      <c r="AC208" s="533">
        <f t="shared" si="48"/>
        <v>0</v>
      </c>
      <c r="AD208" s="533"/>
      <c r="AE208" s="533"/>
      <c r="AF208" s="533"/>
      <c r="AG208" s="533"/>
      <c r="AH208" s="533"/>
      <c r="AI208" s="533"/>
      <c r="AJ208" s="533"/>
      <c r="AK208" s="533"/>
      <c r="AL208" s="533"/>
      <c r="AM208" s="533"/>
      <c r="AN208" s="533"/>
      <c r="AO208" s="533"/>
    </row>
    <row r="209" spans="1:41" hidden="1" x14ac:dyDescent="0.25">
      <c r="A209" s="41"/>
      <c r="B209" s="104" t="s">
        <v>18</v>
      </c>
      <c r="C209" s="837" t="s">
        <v>417</v>
      </c>
      <c r="D209" s="728"/>
      <c r="E209" s="711"/>
      <c r="F209" s="686" t="s">
        <v>418</v>
      </c>
      <c r="G209" s="42" t="s">
        <v>419</v>
      </c>
      <c r="H209" s="27">
        <f>VLOOKUP(C209,A!A$1:H$669,8,FALSE)</f>
        <v>3</v>
      </c>
      <c r="I209" s="27"/>
      <c r="J209" s="28">
        <f>IF(VLOOKUP(C209,A!A$1:H$669,4,FALSE)="y",1,0)</f>
        <v>0</v>
      </c>
      <c r="K209" s="28">
        <f>IF(VLOOKUP(C209,A!A$1:H$669,5,FALSE)="y",1,0)</f>
        <v>0</v>
      </c>
      <c r="L209" s="544" t="str">
        <f t="shared" si="47"/>
        <v>Low</v>
      </c>
      <c r="M209" s="27">
        <f>VLOOKUP(C209,A!A$1:H$669,6,FALSE)</f>
        <v>0</v>
      </c>
      <c r="N209" s="44" t="s">
        <v>31</v>
      </c>
      <c r="O209" s="533">
        <f>VLOOKUP(C209,A!A$1:G$669,2,FALSE)</f>
        <v>0</v>
      </c>
      <c r="P209" s="533" t="s">
        <v>24</v>
      </c>
      <c r="Q209" s="533" t="str">
        <f>IF(S209=0,"",COUNTIF(Q$12:Q208,"&gt;0")+1)</f>
        <v/>
      </c>
      <c r="R209" s="533" t="str">
        <f>IF(S209=0,"",COUNTIF(R$12:R208,"&gt;0")+1)</f>
        <v/>
      </c>
      <c r="S209" s="533">
        <f>A209+Y209+AB209+AC209+A23</f>
        <v>0</v>
      </c>
      <c r="T209" s="533">
        <f>VLOOKUP(C209,A!A$1:AH$669,31,FALSE)</f>
        <v>0</v>
      </c>
      <c r="U209" s="533">
        <v>0.16500000000000001</v>
      </c>
      <c r="V209" s="533"/>
      <c r="W209" s="533" t="str">
        <f t="shared" si="44"/>
        <v/>
      </c>
      <c r="X209" s="533">
        <f>IF(V209&lt;&gt;"",COUNTIF(V$46:V209,V209)-1,0)</f>
        <v>0</v>
      </c>
      <c r="Y209" s="533"/>
      <c r="Z209" s="533" t="str">
        <f t="shared" si="46"/>
        <v/>
      </c>
      <c r="AA209" s="533" t="str">
        <f>IFERROR(RANK(Z209,Z$47:Z$226,0)+COUNTIF(Z$47:Z209,Z209)-1,"")</f>
        <v/>
      </c>
      <c r="AB209" s="533">
        <f t="shared" si="50"/>
        <v>0</v>
      </c>
      <c r="AC209" s="533">
        <f t="shared" si="48"/>
        <v>0</v>
      </c>
      <c r="AD209" s="533"/>
      <c r="AE209" s="533"/>
      <c r="AF209" s="533"/>
      <c r="AG209" s="533"/>
      <c r="AH209" s="533"/>
      <c r="AI209" s="533"/>
      <c r="AJ209" s="533"/>
      <c r="AK209" s="533"/>
      <c r="AL209" s="533"/>
      <c r="AM209" s="533"/>
      <c r="AN209" s="533"/>
      <c r="AO209" s="533"/>
    </row>
    <row r="210" spans="1:41" hidden="1" x14ac:dyDescent="0.25">
      <c r="A210" s="41"/>
      <c r="B210" s="104" t="s">
        <v>18</v>
      </c>
      <c r="C210" s="837" t="s">
        <v>420</v>
      </c>
      <c r="D210" s="728"/>
      <c r="E210" s="711"/>
      <c r="F210" s="686" t="s">
        <v>421</v>
      </c>
      <c r="G210" s="42" t="s">
        <v>422</v>
      </c>
      <c r="H210" s="27">
        <f>VLOOKUP(C210,A!A$1:H$669,8,FALSE)</f>
        <v>1</v>
      </c>
      <c r="I210" s="27"/>
      <c r="J210" s="28">
        <f>IF(VLOOKUP(C210,A!A$1:H$669,4,FALSE)="y",1,0)</f>
        <v>0</v>
      </c>
      <c r="K210" s="28">
        <f>IF(VLOOKUP(C210,A!A$1:H$669,5,FALSE)="y",1,0)</f>
        <v>0</v>
      </c>
      <c r="L210" s="544" t="str">
        <f t="shared" si="47"/>
        <v>Low</v>
      </c>
      <c r="M210" s="27">
        <f>VLOOKUP(C210,A!A$1:H$669,6,FALSE)</f>
        <v>0</v>
      </c>
      <c r="N210" s="44" t="s">
        <v>31</v>
      </c>
      <c r="O210" s="533">
        <f>VLOOKUP(C210,A!A$1:G$669,2,FALSE)</f>
        <v>0</v>
      </c>
      <c r="P210" s="533" t="s">
        <v>24</v>
      </c>
      <c r="Q210" s="533" t="str">
        <f>IF(S210=0,"",COUNTIF(Q$12:Q209,"&gt;0")+1)</f>
        <v/>
      </c>
      <c r="R210" s="533" t="str">
        <f>IF(S210=0,"",COUNTIF(R$12:R209,"&gt;0")+1)</f>
        <v/>
      </c>
      <c r="S210" s="533">
        <f t="shared" si="45"/>
        <v>0</v>
      </c>
      <c r="T210" s="533">
        <f>VLOOKUP(C210,A!A$1:AH$669,31,FALSE)</f>
        <v>0</v>
      </c>
      <c r="U210" s="533">
        <v>0.16500000000000001</v>
      </c>
      <c r="V210" s="533"/>
      <c r="W210" s="533" t="str">
        <f t="shared" si="44"/>
        <v/>
      </c>
      <c r="X210" s="533">
        <f>IF(V210&lt;&gt;"",COUNTIF(V$46:V210,V210)-1,0)</f>
        <v>0</v>
      </c>
      <c r="Y210" s="533"/>
      <c r="Z210" s="533" t="str">
        <f t="shared" si="46"/>
        <v/>
      </c>
      <c r="AA210" s="533" t="str">
        <f>IFERROR(RANK(Z210,Z$47:Z$226,0)+COUNTIF(Z$47:Z210,Z210)-1,"")</f>
        <v/>
      </c>
      <c r="AB210" s="533">
        <f t="shared" si="50"/>
        <v>0</v>
      </c>
      <c r="AC210" s="533">
        <f t="shared" si="48"/>
        <v>0</v>
      </c>
      <c r="AD210" s="533"/>
      <c r="AE210" s="533"/>
      <c r="AF210" s="533"/>
      <c r="AG210" s="533"/>
      <c r="AH210" s="533"/>
      <c r="AI210" s="533"/>
      <c r="AJ210" s="533"/>
      <c r="AK210" s="533"/>
      <c r="AL210" s="533"/>
      <c r="AM210" s="533"/>
      <c r="AN210" s="533"/>
      <c r="AO210" s="533"/>
    </row>
    <row r="211" spans="1:41" hidden="1" x14ac:dyDescent="0.25">
      <c r="A211" s="41"/>
      <c r="B211" s="104" t="s">
        <v>18</v>
      </c>
      <c r="C211" s="837" t="s">
        <v>423</v>
      </c>
      <c r="D211" s="728"/>
      <c r="E211" s="711"/>
      <c r="F211" s="686" t="s">
        <v>424</v>
      </c>
      <c r="G211" s="42" t="s">
        <v>425</v>
      </c>
      <c r="H211" s="27">
        <f>VLOOKUP(C211,A!A$1:H$669,8,FALSE)</f>
        <v>2</v>
      </c>
      <c r="I211" s="27"/>
      <c r="J211" s="28">
        <f>IF(VLOOKUP(C211,A!A$1:H$669,4,FALSE)="y",1,0)</f>
        <v>0</v>
      </c>
      <c r="K211" s="28">
        <f>IF(VLOOKUP(C211,A!A$1:H$669,5,FALSE)="y",1,0)</f>
        <v>0</v>
      </c>
      <c r="L211" s="544" t="str">
        <f t="shared" si="47"/>
        <v>Low</v>
      </c>
      <c r="M211" s="27">
        <f>VLOOKUP(C211,A!A$1:H$669,6,FALSE)</f>
        <v>0</v>
      </c>
      <c r="N211" s="44" t="s">
        <v>39</v>
      </c>
      <c r="O211" s="533">
        <f>VLOOKUP(C211,A!A$1:G$669,2,FALSE)</f>
        <v>0</v>
      </c>
      <c r="P211" s="533" t="s">
        <v>24</v>
      </c>
      <c r="Q211" s="533" t="str">
        <f>IF(S211=0,"",COUNTIF(Q$12:Q210,"&gt;0")+1)</f>
        <v/>
      </c>
      <c r="R211" s="533" t="str">
        <f>IF(S211=0,"",COUNTIF(R$12:R210,"&gt;0")+1)</f>
        <v/>
      </c>
      <c r="S211" s="533">
        <f t="shared" si="45"/>
        <v>0</v>
      </c>
      <c r="T211" s="533">
        <f>VLOOKUP(C211,A!A$1:AH$669,31,FALSE)</f>
        <v>0</v>
      </c>
      <c r="U211" s="533">
        <v>0.16500000000000001</v>
      </c>
      <c r="V211" s="533"/>
      <c r="W211" s="533" t="str">
        <f t="shared" si="44"/>
        <v/>
      </c>
      <c r="X211" s="533">
        <f>IF(V211&lt;&gt;"",COUNTIF(V$46:V211,V211)-1,0)</f>
        <v>0</v>
      </c>
      <c r="Y211" s="533"/>
      <c r="Z211" s="533" t="str">
        <f t="shared" si="46"/>
        <v/>
      </c>
      <c r="AA211" s="533" t="str">
        <f>IFERROR(RANK(Z211,Z$47:Z$226,0)+COUNTIF(Z$47:Z211,Z211)-1,"")</f>
        <v/>
      </c>
      <c r="AB211" s="533">
        <f t="shared" si="50"/>
        <v>0</v>
      </c>
      <c r="AC211" s="533">
        <f t="shared" si="48"/>
        <v>0</v>
      </c>
      <c r="AD211" s="533"/>
      <c r="AE211" s="533"/>
      <c r="AF211" s="533"/>
      <c r="AG211" s="533"/>
      <c r="AH211" s="533"/>
      <c r="AI211" s="533"/>
      <c r="AJ211" s="533"/>
      <c r="AK211" s="533"/>
      <c r="AL211" s="533"/>
      <c r="AM211" s="533"/>
      <c r="AN211" s="533"/>
      <c r="AO211" s="533"/>
    </row>
    <row r="212" spans="1:41" hidden="1" x14ac:dyDescent="0.25">
      <c r="A212" s="41"/>
      <c r="B212" s="104" t="s">
        <v>18</v>
      </c>
      <c r="C212" s="694" t="s">
        <v>1079</v>
      </c>
      <c r="D212" s="728"/>
      <c r="E212" s="711"/>
      <c r="F212" s="686" t="s">
        <v>1046</v>
      </c>
      <c r="G212" s="42" t="s">
        <v>1061</v>
      </c>
      <c r="H212" s="27">
        <v>2</v>
      </c>
      <c r="I212" s="27"/>
      <c r="J212" s="28">
        <f>IF(VLOOKUP(C212,A!A$1:H$669,4,FALSE)="y",1,0)</f>
        <v>0</v>
      </c>
      <c r="K212" s="28"/>
      <c r="L212" s="544" t="str">
        <f t="shared" si="47"/>
        <v>Low</v>
      </c>
      <c r="M212" s="27"/>
      <c r="N212" s="44" t="s">
        <v>31</v>
      </c>
      <c r="O212" s="533">
        <f>VLOOKUP(C212,A!A$1:G$669,2,FALSE)</f>
        <v>0</v>
      </c>
      <c r="P212" s="533" t="s">
        <v>24</v>
      </c>
      <c r="Q212" s="533" t="str">
        <f>IF(S212=0,"",COUNTIF(Q$12:Q211,"&gt;0")+1)</f>
        <v/>
      </c>
      <c r="R212" s="533" t="str">
        <f>IF(S212=0,"",COUNTIF(R$12:R211,"&gt;0")+1)</f>
        <v/>
      </c>
      <c r="S212" s="533">
        <f t="shared" si="45"/>
        <v>0</v>
      </c>
      <c r="T212" s="533">
        <f>VLOOKUP(C212,A!A$1:AH$669,31,FALSE)</f>
        <v>0</v>
      </c>
      <c r="U212" s="533">
        <v>0.16500000000000001</v>
      </c>
      <c r="V212" s="533"/>
      <c r="W212" s="533" t="str">
        <f t="shared" si="44"/>
        <v/>
      </c>
      <c r="X212" s="533">
        <f>IF(V212&lt;&gt;"",COUNTIF(V$46:V212,V212)-1,0)</f>
        <v>0</v>
      </c>
      <c r="Y212" s="533"/>
      <c r="Z212" s="533" t="str">
        <f t="shared" si="46"/>
        <v/>
      </c>
      <c r="AA212" s="533" t="str">
        <f>IFERROR(RANK(Z212,Z$47:Z$226,0)+COUNTIF(Z$47:Z212,Z212)-1,"")</f>
        <v/>
      </c>
      <c r="AB212" s="533">
        <f t="shared" si="50"/>
        <v>0</v>
      </c>
      <c r="AC212" s="533">
        <f t="shared" si="48"/>
        <v>0</v>
      </c>
      <c r="AD212" s="533"/>
      <c r="AE212" s="533"/>
      <c r="AF212" s="533"/>
      <c r="AG212" s="533"/>
      <c r="AH212" s="533"/>
      <c r="AI212" s="533"/>
      <c r="AJ212" s="533"/>
      <c r="AK212" s="533"/>
      <c r="AL212" s="533"/>
      <c r="AM212" s="533"/>
      <c r="AN212" s="533"/>
      <c r="AO212" s="533"/>
    </row>
    <row r="213" spans="1:41" ht="13.5" customHeight="1" x14ac:dyDescent="0.25">
      <c r="A213" s="41"/>
      <c r="B213" s="104" t="s">
        <v>18</v>
      </c>
      <c r="C213" s="837" t="s">
        <v>426</v>
      </c>
      <c r="D213" s="728"/>
      <c r="E213" s="711"/>
      <c r="F213" s="686" t="s">
        <v>427</v>
      </c>
      <c r="G213" s="42" t="s">
        <v>428</v>
      </c>
      <c r="H213" s="27">
        <f>VLOOKUP(C213,A!A$1:H$669,8,FALSE)</f>
        <v>2</v>
      </c>
      <c r="I213" s="27"/>
      <c r="J213" s="28">
        <f>IF(VLOOKUP(C213,A!A$1:H$669,4,FALSE)="y",1,0)</f>
        <v>1</v>
      </c>
      <c r="K213" s="28">
        <f>IF(VLOOKUP(C213,A!A$1:H$669,5,FALSE)="y",1,0)</f>
        <v>0</v>
      </c>
      <c r="L213" s="544" t="str">
        <f t="shared" si="47"/>
        <v>Low</v>
      </c>
      <c r="M213" s="27">
        <f>VLOOKUP(C213,A!A$1:H$669,6,FALSE)</f>
        <v>0</v>
      </c>
      <c r="N213" s="44">
        <v>1</v>
      </c>
      <c r="O213" s="533" t="str">
        <f>VLOOKUP(C213,A!A$1:G$669,2,FALSE)</f>
        <v>y</v>
      </c>
      <c r="P213" s="533" t="s">
        <v>24</v>
      </c>
      <c r="Q213" s="533" t="str">
        <f>IF(S213=0,"",COUNTIF(Q$12:Q212,"&gt;0")+1)</f>
        <v/>
      </c>
      <c r="R213" s="533" t="str">
        <f>IF(S213=0,"",COUNTIF(R$12:R212,"&gt;0")+1)</f>
        <v/>
      </c>
      <c r="S213" s="533">
        <f t="shared" si="45"/>
        <v>0</v>
      </c>
      <c r="T213" s="533">
        <f>VLOOKUP(C213,A!A$1:AH$669,31,FALSE)</f>
        <v>30</v>
      </c>
      <c r="U213" s="533">
        <v>0.16500000000000001</v>
      </c>
      <c r="V213" s="533">
        <v>83</v>
      </c>
      <c r="W213" s="533" t="str">
        <f t="shared" si="44"/>
        <v/>
      </c>
      <c r="X213" s="533">
        <f>IF(V213&lt;&gt;"",COUNTIF(V$46:V213,V213)-1,0)</f>
        <v>0</v>
      </c>
      <c r="Y213" s="533"/>
      <c r="Z213" s="533">
        <f t="shared" si="46"/>
        <v>-230</v>
      </c>
      <c r="AA213" s="533">
        <f>IFERROR(RANK(Z213,Z$47:Z$226,0)+COUNTIF(Z$47:Z213,Z213)-1,"")</f>
        <v>27</v>
      </c>
      <c r="AB213" s="533">
        <f t="shared" si="50"/>
        <v>0</v>
      </c>
      <c r="AC213" s="533">
        <f t="shared" si="48"/>
        <v>0</v>
      </c>
      <c r="AD213" s="533"/>
      <c r="AE213" s="533"/>
      <c r="AF213" s="533"/>
      <c r="AG213" s="533"/>
      <c r="AH213" s="533"/>
      <c r="AI213" s="533"/>
      <c r="AJ213" s="533"/>
      <c r="AK213" s="533"/>
      <c r="AL213" s="533"/>
      <c r="AM213" s="533"/>
      <c r="AN213" s="533"/>
      <c r="AO213" s="533"/>
    </row>
    <row r="214" spans="1:41" ht="11.25" hidden="1" customHeight="1" x14ac:dyDescent="0.25">
      <c r="A214" s="41"/>
      <c r="B214" s="104" t="s">
        <v>18</v>
      </c>
      <c r="C214" s="837" t="s">
        <v>429</v>
      </c>
      <c r="D214" s="728"/>
      <c r="E214" s="711"/>
      <c r="F214" s="686" t="s">
        <v>430</v>
      </c>
      <c r="G214" s="42" t="s">
        <v>431</v>
      </c>
      <c r="H214" s="27">
        <f>VLOOKUP(C214,A!A$1:H$669,8,FALSE)</f>
        <v>3</v>
      </c>
      <c r="I214" s="27" t="s">
        <v>30</v>
      </c>
      <c r="J214" s="28">
        <f>IF(VLOOKUP(C214,A!A$1:H$669,4,FALSE)="y",1,0)</f>
        <v>0</v>
      </c>
      <c r="K214" s="28">
        <f>IF(VLOOKUP(C214,A!A$1:H$669,5,FALSE)="y",1,0)</f>
        <v>0</v>
      </c>
      <c r="L214" s="544" t="str">
        <f t="shared" si="47"/>
        <v>Low</v>
      </c>
      <c r="M214" s="27">
        <f>VLOOKUP(C214,A!A$1:H$669,6,FALSE)</f>
        <v>0</v>
      </c>
      <c r="N214" s="44" t="s">
        <v>31</v>
      </c>
      <c r="O214" s="533">
        <f>VLOOKUP(C214,A!A$1:G$669,2,FALSE)</f>
        <v>0</v>
      </c>
      <c r="P214" s="533" t="s">
        <v>24</v>
      </c>
      <c r="Q214" s="533" t="str">
        <f>IF(S214=0,"",COUNTIF(Q$12:Q213,"&gt;0")+1)</f>
        <v/>
      </c>
      <c r="R214" s="533" t="str">
        <f>IF(S214=0,"",COUNTIF(R$12:R213,"&gt;0")+1)</f>
        <v/>
      </c>
      <c r="S214" s="533">
        <f t="shared" si="45"/>
        <v>0</v>
      </c>
      <c r="T214" s="533">
        <f>VLOOKUP(C214,A!A$1:AH$669,31,FALSE)</f>
        <v>0</v>
      </c>
      <c r="U214" s="533">
        <v>0.17499999999999999</v>
      </c>
      <c r="V214" s="533"/>
      <c r="W214" s="533" t="str">
        <f t="shared" si="44"/>
        <v/>
      </c>
      <c r="X214" s="533">
        <f>IF(V214&lt;&gt;"",COUNTIF(V$46:V214,V214)-1,0)</f>
        <v>0</v>
      </c>
      <c r="Y214" s="533"/>
      <c r="Z214" s="533" t="str">
        <f t="shared" ref="Z214:Z226" si="51">IFERROR(IF(O214="y",H214*-100-A214*1000-T214,""),"")</f>
        <v/>
      </c>
      <c r="AA214" s="533" t="str">
        <f>IFERROR(RANK(Z214,Z$47:Z$226,0)+COUNTIF(Z$47:Z214,Z214)-1,"")</f>
        <v/>
      </c>
      <c r="AB214" s="533">
        <f t="shared" si="50"/>
        <v>0</v>
      </c>
      <c r="AC214" s="533">
        <f t="shared" si="48"/>
        <v>0</v>
      </c>
      <c r="AD214" s="533"/>
      <c r="AE214" s="533"/>
      <c r="AF214" s="533"/>
      <c r="AG214" s="533"/>
      <c r="AH214" s="533"/>
      <c r="AI214" s="533"/>
      <c r="AJ214" s="533"/>
      <c r="AK214" s="533"/>
      <c r="AL214" s="533"/>
      <c r="AM214" s="533"/>
      <c r="AN214" s="533"/>
      <c r="AO214" s="533"/>
    </row>
    <row r="215" spans="1:41" ht="11.25" hidden="1" customHeight="1" x14ac:dyDescent="0.25">
      <c r="A215" s="41"/>
      <c r="B215" s="104" t="s">
        <v>18</v>
      </c>
      <c r="C215" s="837" t="s">
        <v>432</v>
      </c>
      <c r="D215" s="728"/>
      <c r="E215" s="711"/>
      <c r="F215" s="686" t="s">
        <v>433</v>
      </c>
      <c r="G215" s="42" t="s">
        <v>434</v>
      </c>
      <c r="H215" s="27">
        <f>VLOOKUP(C215,A!A$1:H$669,8,FALSE)</f>
        <v>2</v>
      </c>
      <c r="I215" s="27"/>
      <c r="J215" s="28">
        <f>IF(VLOOKUP(C215,A!A$1:H$669,4,FALSE)="y",1,0)</f>
        <v>0</v>
      </c>
      <c r="K215" s="28">
        <f>IF(VLOOKUP(C215,A!A$1:H$669,5,FALSE)="y",1,0)</f>
        <v>0</v>
      </c>
      <c r="L215" s="544" t="str">
        <f t="shared" si="47"/>
        <v>Low</v>
      </c>
      <c r="M215" s="27">
        <f>VLOOKUP(C215,A!A$1:H$669,6,FALSE)</f>
        <v>0</v>
      </c>
      <c r="N215" s="44" t="s">
        <v>31</v>
      </c>
      <c r="O215" s="533">
        <f>VLOOKUP(C215,A!A$1:G$669,2,FALSE)</f>
        <v>0</v>
      </c>
      <c r="P215" s="533" t="s">
        <v>24</v>
      </c>
      <c r="Q215" s="533" t="str">
        <f>IF(S215=0,"",COUNTIF(Q$12:Q214,"&gt;0")+1)</f>
        <v/>
      </c>
      <c r="R215" s="533" t="str">
        <f>IF(S215=0,"",COUNTIF(R$12:R214,"&gt;0")+1)</f>
        <v/>
      </c>
      <c r="S215" s="533">
        <f t="shared" si="45"/>
        <v>0</v>
      </c>
      <c r="T215" s="533">
        <f>VLOOKUP(C215,A!A$1:AH$669,31,FALSE)</f>
        <v>0</v>
      </c>
      <c r="U215" s="533">
        <v>0.17499999999999999</v>
      </c>
      <c r="V215" s="533"/>
      <c r="W215" s="533" t="str">
        <f t="shared" si="44"/>
        <v/>
      </c>
      <c r="X215" s="533">
        <f>IF(V215&lt;&gt;"",COUNTIF(V$46:V215,V215)-1,0)</f>
        <v>0</v>
      </c>
      <c r="Y215" s="533"/>
      <c r="Z215" s="533" t="str">
        <f t="shared" si="51"/>
        <v/>
      </c>
      <c r="AA215" s="533" t="str">
        <f>IFERROR(RANK(Z215,Z$47:Z$226,0)+COUNTIF(Z$47:Z215,Z215)-1,"")</f>
        <v/>
      </c>
      <c r="AB215" s="533">
        <f t="shared" si="50"/>
        <v>0</v>
      </c>
      <c r="AC215" s="533">
        <f t="shared" si="48"/>
        <v>0</v>
      </c>
      <c r="AD215" s="533"/>
      <c r="AE215" s="533"/>
      <c r="AF215" s="533"/>
      <c r="AG215" s="533"/>
      <c r="AH215" s="533"/>
      <c r="AI215" s="533"/>
      <c r="AJ215" s="533"/>
      <c r="AK215" s="533"/>
      <c r="AL215" s="533"/>
      <c r="AM215" s="533"/>
      <c r="AN215" s="533"/>
      <c r="AO215" s="533"/>
    </row>
    <row r="216" spans="1:41" ht="11.25" hidden="1" customHeight="1" x14ac:dyDescent="0.25">
      <c r="A216" s="41"/>
      <c r="B216" s="104" t="s">
        <v>18</v>
      </c>
      <c r="C216" s="837" t="s">
        <v>435</v>
      </c>
      <c r="D216" s="728"/>
      <c r="E216" s="711"/>
      <c r="F216" s="686" t="s">
        <v>436</v>
      </c>
      <c r="G216" s="42" t="s">
        <v>437</v>
      </c>
      <c r="H216" s="27">
        <f>VLOOKUP(C216,A!A$1:H$669,8,FALSE)</f>
        <v>1</v>
      </c>
      <c r="I216" s="27"/>
      <c r="J216" s="28">
        <f>IF(VLOOKUP(C216,A!A$1:H$669,4,FALSE)="y",1,0)</f>
        <v>0</v>
      </c>
      <c r="K216" s="28">
        <f>IF(VLOOKUP(C216,A!A$1:H$669,5,FALSE)="y",1,0)</f>
        <v>0</v>
      </c>
      <c r="L216" s="544" t="str">
        <f t="shared" si="47"/>
        <v>Low</v>
      </c>
      <c r="M216" s="27">
        <f>VLOOKUP(C216,A!A$1:H$669,6,FALSE)</f>
        <v>0</v>
      </c>
      <c r="N216" s="44" t="s">
        <v>31</v>
      </c>
      <c r="O216" s="533">
        <f>VLOOKUP(C216,A!A$1:G$669,2,FALSE)</f>
        <v>0</v>
      </c>
      <c r="P216" s="533" t="s">
        <v>24</v>
      </c>
      <c r="Q216" s="533" t="str">
        <f>IF(S216=0,"",COUNTIF(Q$12:Q215,"&gt;0")+1)</f>
        <v/>
      </c>
      <c r="R216" s="533" t="str">
        <f>IF(S216=0,"",COUNTIF(R$12:R215,"&gt;0")+1)</f>
        <v/>
      </c>
      <c r="S216" s="533">
        <f t="shared" si="45"/>
        <v>0</v>
      </c>
      <c r="T216" s="533">
        <f>VLOOKUP(C216,A!A$1:AH$669,31,FALSE)</f>
        <v>0</v>
      </c>
      <c r="U216" s="533">
        <v>0.17499999999999999</v>
      </c>
      <c r="V216" s="533"/>
      <c r="W216" s="533" t="str">
        <f t="shared" si="44"/>
        <v/>
      </c>
      <c r="X216" s="533">
        <f>IF(V216&lt;&gt;"",COUNTIF(V$46:V216,V216)-1,0)</f>
        <v>0</v>
      </c>
      <c r="Y216" s="533"/>
      <c r="Z216" s="533" t="str">
        <f t="shared" si="51"/>
        <v/>
      </c>
      <c r="AA216" s="533" t="str">
        <f>IFERROR(RANK(Z216,Z$47:Z$226,0)+COUNTIF(Z$47:Z216,Z216)-1,"")</f>
        <v/>
      </c>
      <c r="AB216" s="533">
        <f t="shared" si="50"/>
        <v>0</v>
      </c>
      <c r="AC216" s="533">
        <f>IF(AA216&lt;=AC$46,1,0)</f>
        <v>0</v>
      </c>
      <c r="AD216" s="533"/>
      <c r="AE216" s="533"/>
      <c r="AF216" s="533"/>
      <c r="AG216" s="533"/>
      <c r="AH216" s="533"/>
      <c r="AI216" s="533"/>
      <c r="AJ216" s="533"/>
      <c r="AK216" s="533"/>
      <c r="AL216" s="533"/>
      <c r="AM216" s="533"/>
      <c r="AN216" s="533"/>
      <c r="AO216" s="533"/>
    </row>
    <row r="217" spans="1:41" ht="13.5" hidden="1" customHeight="1" x14ac:dyDescent="0.25">
      <c r="A217" s="41"/>
      <c r="B217" s="104" t="s">
        <v>18</v>
      </c>
      <c r="C217" s="837" t="s">
        <v>1080</v>
      </c>
      <c r="D217" s="324"/>
      <c r="E217" s="711"/>
      <c r="F217" s="686" t="s">
        <v>439</v>
      </c>
      <c r="G217" s="42" t="s">
        <v>440</v>
      </c>
      <c r="H217" s="27">
        <f>VLOOKUP(C217,A!A$1:H$669,8,FALSE)</f>
        <v>2</v>
      </c>
      <c r="I217" s="27"/>
      <c r="J217" s="28">
        <f>IF(VLOOKUP(C217,A!A$1:H$669,4,FALSE)="y",1,0)</f>
        <v>0</v>
      </c>
      <c r="K217" s="28">
        <f>IF(VLOOKUP(C217,A!A$1:H$669,5,FALSE)="y",1,0)</f>
        <v>0</v>
      </c>
      <c r="L217" s="544" t="str">
        <f t="shared" si="47"/>
        <v>Low</v>
      </c>
      <c r="M217" s="27">
        <f>VLOOKUP(C217,A!A$1:H$669,6,FALSE)</f>
        <v>0</v>
      </c>
      <c r="N217" s="44">
        <v>1</v>
      </c>
      <c r="O217" s="533">
        <f>VLOOKUP(C217,A!A$1:G$669,2,FALSE)</f>
        <v>0</v>
      </c>
      <c r="P217" s="533" t="s">
        <v>24</v>
      </c>
      <c r="Q217" s="533" t="str">
        <f>IF(S217=0,"",COUNTIF(Q$12:Q216,"&gt;0")+1)</f>
        <v/>
      </c>
      <c r="R217" s="533" t="str">
        <f>IF(S217=0,"",COUNTIF(R$12:R216,"&gt;0")+1)</f>
        <v/>
      </c>
      <c r="S217" s="533">
        <f t="shared" si="45"/>
        <v>0</v>
      </c>
      <c r="T217" s="533">
        <f>VLOOKUP(C217,A!A$1:AH$669,31,FALSE)</f>
        <v>0</v>
      </c>
      <c r="U217" s="533">
        <v>0.17499999999999999</v>
      </c>
      <c r="V217" s="533"/>
      <c r="W217" s="533" t="str">
        <f t="shared" si="44"/>
        <v/>
      </c>
      <c r="X217" s="533">
        <f>IF(V217&lt;&gt;"",COUNTIF(V$46:V217,V217)-1,0)</f>
        <v>0</v>
      </c>
      <c r="Y217" s="533"/>
      <c r="Z217" s="533" t="str">
        <f t="shared" si="51"/>
        <v/>
      </c>
      <c r="AA217" s="533" t="str">
        <f>IFERROR(RANK(Z217,Z$47:Z$226,0)+COUNTIF(Z$47:Z217,Z217)-1,"")</f>
        <v/>
      </c>
      <c r="AB217" s="533">
        <f t="shared" si="50"/>
        <v>0</v>
      </c>
      <c r="AC217" s="533">
        <f t="shared" si="48"/>
        <v>0</v>
      </c>
      <c r="AD217" s="533"/>
      <c r="AE217" s="533"/>
      <c r="AF217" s="533"/>
      <c r="AG217" s="533"/>
      <c r="AH217" s="533"/>
      <c r="AI217" s="533"/>
      <c r="AJ217" s="533"/>
      <c r="AK217" s="533"/>
      <c r="AL217" s="533"/>
      <c r="AM217" s="533"/>
      <c r="AN217" s="533"/>
      <c r="AO217" s="533"/>
    </row>
    <row r="218" spans="1:41" ht="13.5" customHeight="1" x14ac:dyDescent="0.25">
      <c r="A218" s="41"/>
      <c r="B218" s="104" t="s">
        <v>18</v>
      </c>
      <c r="C218" s="837" t="s">
        <v>441</v>
      </c>
      <c r="D218" s="324"/>
      <c r="E218" s="711"/>
      <c r="F218" s="686" t="s">
        <v>442</v>
      </c>
      <c r="G218" s="42" t="s">
        <v>443</v>
      </c>
      <c r="H218" s="27">
        <f>VLOOKUP(C218,A!A$1:H$669,8,FALSE)</f>
        <v>1</v>
      </c>
      <c r="I218" s="27"/>
      <c r="J218" s="28">
        <f>IF(VLOOKUP(C218,A!A$1:H$669,4,FALSE)="y",1,0)</f>
        <v>1</v>
      </c>
      <c r="K218" s="28">
        <f>IF(VLOOKUP(C218,A!A$1:H$669,5,FALSE)="y",1,0)</f>
        <v>0</v>
      </c>
      <c r="L218" s="544" t="str">
        <f t="shared" si="47"/>
        <v>Low</v>
      </c>
      <c r="M218" s="27">
        <f>VLOOKUP(C218,A!A$1:H$669,6,FALSE)</f>
        <v>0</v>
      </c>
      <c r="N218" s="44" t="s">
        <v>31</v>
      </c>
      <c r="O218" s="533" t="str">
        <f>VLOOKUP(C218,A!A$1:G$669,2,FALSE)</f>
        <v>y</v>
      </c>
      <c r="P218" s="533" t="s">
        <v>24</v>
      </c>
      <c r="Q218" s="533" t="str">
        <f>IF(S218=0,"",COUNTIF(Q$12:Q217,"&gt;0")+1)</f>
        <v/>
      </c>
      <c r="R218" s="533" t="str">
        <f>IF(S218=0,"",COUNTIF(R$12:R217,"&gt;0")+1)</f>
        <v/>
      </c>
      <c r="S218" s="533">
        <f t="shared" si="45"/>
        <v>0</v>
      </c>
      <c r="T218" s="533">
        <f>VLOOKUP(C218,A!A$1:AH$669,31,FALSE)</f>
        <v>30</v>
      </c>
      <c r="U218" s="533">
        <v>0.16500000000000001</v>
      </c>
      <c r="V218" s="533">
        <v>92</v>
      </c>
      <c r="W218" s="533" t="str">
        <f t="shared" si="44"/>
        <v/>
      </c>
      <c r="X218" s="533">
        <f>IF(V218&lt;&gt;"",COUNTIF(V$46:V218,V218)-1,0)</f>
        <v>0</v>
      </c>
      <c r="Y218" s="533"/>
      <c r="Z218" s="533">
        <f t="shared" si="51"/>
        <v>-130</v>
      </c>
      <c r="AA218" s="533">
        <f>IFERROR(RANK(Z218,Z$47:Z$226,0)+COUNTIF(Z$47:Z218,Z218)-1,"")</f>
        <v>10</v>
      </c>
      <c r="AB218" s="533">
        <f t="shared" si="50"/>
        <v>0</v>
      </c>
      <c r="AC218" s="533">
        <f t="shared" si="48"/>
        <v>0</v>
      </c>
      <c r="AD218" s="533"/>
      <c r="AE218" s="533"/>
      <c r="AF218" s="533"/>
      <c r="AG218" s="533"/>
      <c r="AH218" s="533"/>
      <c r="AI218" s="533"/>
      <c r="AJ218" s="533"/>
      <c r="AK218" s="533"/>
      <c r="AL218" s="533"/>
      <c r="AM218" s="533"/>
      <c r="AN218" s="533"/>
      <c r="AO218" s="533"/>
    </row>
    <row r="219" spans="1:41" ht="13.5" customHeight="1" x14ac:dyDescent="0.25">
      <c r="A219" s="41"/>
      <c r="B219" s="104" t="s">
        <v>18</v>
      </c>
      <c r="C219" s="837" t="s">
        <v>445</v>
      </c>
      <c r="D219" s="324"/>
      <c r="E219" s="711"/>
      <c r="F219" s="686" t="s">
        <v>446</v>
      </c>
      <c r="G219" s="42" t="s">
        <v>447</v>
      </c>
      <c r="H219" s="27">
        <f>VLOOKUP(C219,A!A$1:H$669,8,FALSE)</f>
        <v>2</v>
      </c>
      <c r="I219" s="27"/>
      <c r="J219" s="28">
        <f>IF(VLOOKUP(C219,A!A$1:H$669,4,FALSE)="y",1,0)</f>
        <v>1</v>
      </c>
      <c r="K219" s="28">
        <f>IF(VLOOKUP(C219,A!A$1:H$669,5,FALSE)="y",1,0)</f>
        <v>0</v>
      </c>
      <c r="L219" s="544" t="str">
        <f t="shared" si="47"/>
        <v>Low</v>
      </c>
      <c r="M219" s="27">
        <f>VLOOKUP(C219,A!A$1:H$669,6,FALSE)</f>
        <v>0</v>
      </c>
      <c r="N219" s="44" t="s">
        <v>31</v>
      </c>
      <c r="O219" s="533" t="str">
        <f>VLOOKUP(C219,A!A$1:G$669,2,FALSE)</f>
        <v>y</v>
      </c>
      <c r="P219" s="533" t="s">
        <v>24</v>
      </c>
      <c r="Q219" s="533" t="str">
        <f>IF(S219=0,"",COUNTIF(Q$12:Q218,"&gt;0")+1)</f>
        <v/>
      </c>
      <c r="R219" s="533" t="str">
        <f>IF(S219=0,"",COUNTIF(R$12:R218,"&gt;0")+1)</f>
        <v/>
      </c>
      <c r="S219" s="533">
        <f>A219+Y219+AB219+AC219+A23</f>
        <v>0</v>
      </c>
      <c r="T219" s="533">
        <f>VLOOKUP(C219,A!A$1:AH$669,31,FALSE)</f>
        <v>30</v>
      </c>
      <c r="U219" s="533">
        <v>0.16500000000000001</v>
      </c>
      <c r="V219" s="533">
        <v>82</v>
      </c>
      <c r="W219" s="533" t="str">
        <f t="shared" ref="W219:W230" si="52">IF(AND(V219&lt;&gt;"",O219=0),"Check",IF(AND(V219=0,O219="Y"),"Check",""))</f>
        <v/>
      </c>
      <c r="X219" s="533">
        <f>IF(V219&lt;&gt;"",COUNTIF(V$46:V219,V219)-1,0)</f>
        <v>0</v>
      </c>
      <c r="Y219" s="533"/>
      <c r="Z219" s="533">
        <f t="shared" si="51"/>
        <v>-230</v>
      </c>
      <c r="AA219" s="533">
        <f>IFERROR(RANK(Z219,Z$47:Z$226,0)+COUNTIF(Z$47:Z219,Z219)-1,"")</f>
        <v>28</v>
      </c>
      <c r="AB219" s="533">
        <f t="shared" si="50"/>
        <v>0</v>
      </c>
      <c r="AC219" s="533">
        <f t="shared" si="48"/>
        <v>0</v>
      </c>
      <c r="AD219" s="533"/>
      <c r="AE219" s="533"/>
      <c r="AF219" s="533"/>
      <c r="AG219" s="533"/>
      <c r="AH219" s="533"/>
      <c r="AI219" s="533"/>
      <c r="AJ219" s="533"/>
      <c r="AK219" s="533"/>
      <c r="AL219" s="533"/>
      <c r="AM219" s="533"/>
      <c r="AN219" s="533"/>
      <c r="AO219" s="533"/>
    </row>
    <row r="220" spans="1:41" ht="13.5" hidden="1" customHeight="1" x14ac:dyDescent="0.25">
      <c r="A220" s="41"/>
      <c r="B220" s="104" t="s">
        <v>18</v>
      </c>
      <c r="C220" s="837" t="s">
        <v>448</v>
      </c>
      <c r="D220" s="324"/>
      <c r="E220" s="711"/>
      <c r="F220" s="686" t="s">
        <v>449</v>
      </c>
      <c r="G220" s="42" t="s">
        <v>450</v>
      </c>
      <c r="H220" s="27">
        <f>VLOOKUP(C220,A!A$1:H$669,8,FALSE)</f>
        <v>2</v>
      </c>
      <c r="I220" s="27"/>
      <c r="J220" s="28">
        <f>IF(VLOOKUP(C220,A!A$1:H$669,4,FALSE)="y",1,0)</f>
        <v>0</v>
      </c>
      <c r="K220" s="28">
        <f>IF(VLOOKUP(C220,A!A$1:H$669,5,FALSE)="y",1,0)</f>
        <v>0</v>
      </c>
      <c r="L220" s="544" t="str">
        <f t="shared" si="47"/>
        <v>Low</v>
      </c>
      <c r="M220" s="27">
        <f>VLOOKUP(C220,A!A$1:H$669,6,FALSE)</f>
        <v>0</v>
      </c>
      <c r="N220" s="44" t="s">
        <v>31</v>
      </c>
      <c r="O220" s="533">
        <f>VLOOKUP(C220,A!A$1:G$669,2,FALSE)</f>
        <v>0</v>
      </c>
      <c r="P220" s="533" t="s">
        <v>24</v>
      </c>
      <c r="Q220" s="533" t="str">
        <f>IF(S220=0,"",COUNTIF(Q$12:Q219,"&gt;0")+1)</f>
        <v/>
      </c>
      <c r="R220" s="533" t="str">
        <f>IF(S220=0,"",COUNTIF(R$12:R219,"&gt;0")+1)</f>
        <v/>
      </c>
      <c r="S220" s="533">
        <f t="shared" si="45"/>
        <v>0</v>
      </c>
      <c r="T220" s="533">
        <f>VLOOKUP(C220,A!A$1:AH$669,31,FALSE)</f>
        <v>0</v>
      </c>
      <c r="U220" s="533">
        <v>0.17499999999999999</v>
      </c>
      <c r="V220" s="533"/>
      <c r="W220" s="533" t="str">
        <f t="shared" si="52"/>
        <v/>
      </c>
      <c r="X220" s="533">
        <f>IF(V220&lt;&gt;"",COUNTIF(V$46:V220,V220)-1,0)</f>
        <v>0</v>
      </c>
      <c r="Y220" s="533"/>
      <c r="Z220" s="533" t="str">
        <f t="shared" si="51"/>
        <v/>
      </c>
      <c r="AA220" s="533" t="str">
        <f>IFERROR(RANK(Z220,Z$47:Z$226,0)+COUNTIF(Z$47:Z220,Z220)-1,"")</f>
        <v/>
      </c>
      <c r="AB220" s="533">
        <f t="shared" si="50"/>
        <v>0</v>
      </c>
      <c r="AC220" s="533">
        <f t="shared" si="48"/>
        <v>0</v>
      </c>
      <c r="AD220" s="533"/>
      <c r="AE220" s="533"/>
      <c r="AF220" s="533"/>
      <c r="AG220" s="533"/>
      <c r="AH220" s="533"/>
      <c r="AI220" s="533"/>
      <c r="AJ220" s="533"/>
      <c r="AK220" s="533"/>
      <c r="AL220" s="533"/>
      <c r="AM220" s="533"/>
      <c r="AN220" s="533"/>
      <c r="AO220" s="533"/>
    </row>
    <row r="221" spans="1:41" ht="13.5" customHeight="1" x14ac:dyDescent="0.25">
      <c r="A221" s="41"/>
      <c r="B221" s="104" t="s">
        <v>18</v>
      </c>
      <c r="C221" s="837" t="s">
        <v>451</v>
      </c>
      <c r="D221" s="324"/>
      <c r="E221" s="711"/>
      <c r="F221" s="688" t="s">
        <v>452</v>
      </c>
      <c r="G221" s="42" t="s">
        <v>453</v>
      </c>
      <c r="H221" s="27">
        <f>VLOOKUP(C221,A!A$1:H$669,8,FALSE)</f>
        <v>1</v>
      </c>
      <c r="I221" s="27"/>
      <c r="J221" s="28">
        <f>IF(VLOOKUP(C221,A!A$1:H$669,4,FALSE)="y",1,0)</f>
        <v>1</v>
      </c>
      <c r="K221" s="28">
        <f>IF(VLOOKUP(C221,A!A$1:H$669,5,FALSE)="y",1,0)</f>
        <v>0</v>
      </c>
      <c r="L221" s="544" t="str">
        <f t="shared" si="47"/>
        <v>Low</v>
      </c>
      <c r="M221" s="27"/>
      <c r="N221" s="44">
        <v>2</v>
      </c>
      <c r="O221" s="533" t="str">
        <f>VLOOKUP(C221,A!A$1:G$669,2,FALSE)</f>
        <v>y</v>
      </c>
      <c r="P221" s="533" t="s">
        <v>24</v>
      </c>
      <c r="Q221" s="533" t="str">
        <f>IF(S221=0,"",COUNTIF(Q$12:Q220,"&gt;0")+1)</f>
        <v/>
      </c>
      <c r="R221" s="533" t="str">
        <f>IF(S221=0,"",COUNTIF(R$12:R220,"&gt;0")+1)</f>
        <v/>
      </c>
      <c r="S221" s="533">
        <f t="shared" si="45"/>
        <v>0</v>
      </c>
      <c r="T221" s="533">
        <f>VLOOKUP(C221,A!A$1:AH$669,31,FALSE)</f>
        <v>30</v>
      </c>
      <c r="U221" s="533">
        <v>0.16500000000000001</v>
      </c>
      <c r="V221" s="533">
        <v>93</v>
      </c>
      <c r="W221" s="533" t="str">
        <f t="shared" si="52"/>
        <v/>
      </c>
      <c r="X221" s="533">
        <f>IF(V221&lt;&gt;"",COUNTIF(V$46:V221,V221)-1,0)</f>
        <v>0</v>
      </c>
      <c r="Y221" s="533"/>
      <c r="Z221" s="533">
        <f>IFERROR(IF(O221="y",H221*-100-A221*1000-T221,""),"")</f>
        <v>-130</v>
      </c>
      <c r="AA221" s="533">
        <f>IFERROR(RANK(Z221,Z$47:Z$226,0)+COUNTIF(Z$47:Z221,Z221)-1,"")</f>
        <v>11</v>
      </c>
      <c r="AB221" s="533">
        <f t="shared" si="50"/>
        <v>0</v>
      </c>
      <c r="AC221" s="533">
        <f t="shared" si="48"/>
        <v>0</v>
      </c>
      <c r="AD221" s="533"/>
      <c r="AE221" s="533"/>
      <c r="AF221" s="533"/>
      <c r="AG221" s="533"/>
      <c r="AH221" s="533"/>
      <c r="AI221" s="533"/>
      <c r="AJ221" s="533"/>
      <c r="AK221" s="533"/>
      <c r="AL221" s="533"/>
      <c r="AM221" s="533"/>
      <c r="AN221" s="533"/>
      <c r="AO221" s="533"/>
    </row>
    <row r="222" spans="1:41" ht="13.5" customHeight="1" thickBot="1" x14ac:dyDescent="0.3">
      <c r="A222" s="41"/>
      <c r="B222" s="104" t="s">
        <v>18</v>
      </c>
      <c r="C222" s="837" t="s">
        <v>454</v>
      </c>
      <c r="D222" s="728"/>
      <c r="E222" s="711"/>
      <c r="F222" s="688" t="s">
        <v>455</v>
      </c>
      <c r="G222" s="26" t="s">
        <v>456</v>
      </c>
      <c r="H222" s="27">
        <f>VLOOKUP(C222,A!A$1:H$669,8,FALSE)</f>
        <v>1</v>
      </c>
      <c r="I222" s="27" t="s">
        <v>30</v>
      </c>
      <c r="J222" s="28">
        <f>IF(VLOOKUP(C222,A!A$1:H$669,4,FALSE)="y",1,0)</f>
        <v>1</v>
      </c>
      <c r="K222" s="28">
        <f>IF(VLOOKUP(C222,A!A$1:H$669,5,FALSE)="y",1,0)</f>
        <v>0</v>
      </c>
      <c r="L222" s="544" t="str">
        <f t="shared" si="47"/>
        <v>Low</v>
      </c>
      <c r="M222" s="27">
        <f>VLOOKUP(C222,A!A$1:H$669,6,FALSE)</f>
        <v>0</v>
      </c>
      <c r="N222" s="44" t="s">
        <v>39</v>
      </c>
      <c r="O222" s="533" t="str">
        <f>VLOOKUP(C222,A!A$1:G$669,2,FALSE)</f>
        <v>y</v>
      </c>
      <c r="P222" s="533" t="s">
        <v>24</v>
      </c>
      <c r="Q222" s="533" t="str">
        <f>IF(S222=0,"",COUNTIF(Q$12:Q221,"&gt;0")+1)</f>
        <v/>
      </c>
      <c r="R222" s="533" t="str">
        <f>IF(S222=0,"",COUNTIF(R$12:R221,"&gt;0")+1)</f>
        <v/>
      </c>
      <c r="S222" s="533">
        <f>A222+Y222+AB222+AC222+A23</f>
        <v>0</v>
      </c>
      <c r="T222" s="533">
        <f>VLOOKUP(C222,A!A$1:AH$669,31,FALSE)</f>
        <v>30</v>
      </c>
      <c r="U222" s="533">
        <v>0.16500000000000001</v>
      </c>
      <c r="V222" s="533">
        <v>81</v>
      </c>
      <c r="W222" s="533" t="str">
        <f t="shared" si="52"/>
        <v/>
      </c>
      <c r="X222" s="533">
        <f>IF(V222&lt;&gt;"",COUNTIF(V$46:V222,V222)-1,0)</f>
        <v>0</v>
      </c>
      <c r="Y222" s="533"/>
      <c r="Z222" s="533">
        <f t="shared" si="51"/>
        <v>-130</v>
      </c>
      <c r="AA222" s="533">
        <f>IFERROR(RANK(Z222,Z$47:Z$226,0)+COUNTIF(Z$47:Z222,Z222)-1,"")</f>
        <v>12</v>
      </c>
      <c r="AB222" s="533">
        <f t="shared" si="50"/>
        <v>0</v>
      </c>
      <c r="AC222" s="533">
        <f t="shared" si="48"/>
        <v>0</v>
      </c>
      <c r="AD222" s="533"/>
      <c r="AE222" s="533"/>
      <c r="AF222" s="533"/>
      <c r="AG222" s="533"/>
      <c r="AH222" s="533"/>
      <c r="AI222" s="533"/>
      <c r="AJ222" s="533"/>
      <c r="AK222" s="533"/>
      <c r="AL222" s="533"/>
      <c r="AM222" s="533"/>
      <c r="AN222" s="533"/>
      <c r="AO222" s="533"/>
    </row>
    <row r="223" spans="1:41" ht="14.25" hidden="1" customHeight="1" x14ac:dyDescent="0.25">
      <c r="A223" s="48"/>
      <c r="B223" s="104" t="s">
        <v>18</v>
      </c>
      <c r="C223" s="837" t="s">
        <v>457</v>
      </c>
      <c r="D223" s="728"/>
      <c r="E223" s="711"/>
      <c r="F223" s="688" t="s">
        <v>458</v>
      </c>
      <c r="G223" s="26" t="s">
        <v>459</v>
      </c>
      <c r="H223" s="27">
        <f>VLOOKUP(C223,A!A$1:H$669,8,FALSE)</f>
        <v>1</v>
      </c>
      <c r="I223" s="27"/>
      <c r="J223" s="28">
        <f>IF(VLOOKUP(C223,A!A$1:H$669,4,FALSE)="y",1,0)</f>
        <v>0</v>
      </c>
      <c r="K223" s="28">
        <f>IF(VLOOKUP(C223,A!A$1:H$669,5,FALSE)="y",1,0)</f>
        <v>0</v>
      </c>
      <c r="L223" s="544" t="str">
        <f t="shared" si="47"/>
        <v>Low</v>
      </c>
      <c r="M223" s="27"/>
      <c r="N223" s="44" t="s">
        <v>39</v>
      </c>
      <c r="O223" s="533">
        <f>VLOOKUP(C223,A!A$1:G$669,2,FALSE)</f>
        <v>0</v>
      </c>
      <c r="P223" s="533" t="s">
        <v>24</v>
      </c>
      <c r="Q223" s="533" t="str">
        <f>IF(S223=0,"",COUNTIF(Q$12:Q222,"&gt;0")+1)</f>
        <v/>
      </c>
      <c r="R223" s="533" t="str">
        <f>IF(S223=0,"",COUNTIF(R$12:R222,"&gt;0")+1)</f>
        <v/>
      </c>
      <c r="S223" s="533">
        <f>A223+Y223+AB223+AC223+A23</f>
        <v>0</v>
      </c>
      <c r="T223" s="533">
        <f>VLOOKUP(C223,A!A$1:AH$669,31,FALSE)</f>
        <v>0</v>
      </c>
      <c r="U223" s="533">
        <v>0.17499999999999999</v>
      </c>
      <c r="V223" s="533"/>
      <c r="W223" s="533" t="str">
        <f t="shared" si="52"/>
        <v/>
      </c>
      <c r="X223" s="533">
        <f>IF(V223&lt;&gt;"",COUNTIF(V$46:V223,V223)-1,0)</f>
        <v>0</v>
      </c>
      <c r="Y223" s="533"/>
      <c r="Z223" s="533" t="str">
        <f t="shared" si="51"/>
        <v/>
      </c>
      <c r="AA223" s="533" t="str">
        <f>IFERROR(RANK(Z223,Z$47:Z$226,0)+COUNTIF(Z$47:Z223,Z223)-1,"")</f>
        <v/>
      </c>
      <c r="AB223" s="533">
        <f t="shared" si="50"/>
        <v>0</v>
      </c>
      <c r="AC223" s="533">
        <f t="shared" si="48"/>
        <v>0</v>
      </c>
      <c r="AD223" s="533"/>
      <c r="AE223" s="533"/>
      <c r="AF223" s="533"/>
      <c r="AG223" s="533"/>
      <c r="AH223" s="533"/>
      <c r="AI223" s="533"/>
      <c r="AJ223" s="533"/>
      <c r="AK223" s="533"/>
      <c r="AL223" s="533"/>
      <c r="AM223" s="533"/>
      <c r="AN223" s="533"/>
      <c r="AO223" s="533"/>
    </row>
    <row r="224" spans="1:41" ht="11.25" hidden="1" customHeight="1" x14ac:dyDescent="0.25">
      <c r="A224" s="48"/>
      <c r="B224" s="104" t="s">
        <v>18</v>
      </c>
      <c r="C224" s="936" t="s">
        <v>1088</v>
      </c>
      <c r="D224" s="642"/>
      <c r="E224" s="861"/>
      <c r="F224" s="47"/>
      <c r="G224" s="26"/>
      <c r="H224" s="27">
        <f>VLOOKUP(C224,A!A$1:H$669,8,FALSE)</f>
        <v>0</v>
      </c>
      <c r="I224" s="27"/>
      <c r="J224" s="28">
        <f>IF(VLOOKUP(C224,A!A$1:H$669,4,FALSE)="y",1,0)</f>
        <v>0</v>
      </c>
      <c r="K224" s="28">
        <f>IF(VLOOKUP(C224,A!A$1:H$669,5,FALSE)="y",1,0)</f>
        <v>0</v>
      </c>
      <c r="L224" s="544" t="str">
        <f t="shared" si="47"/>
        <v>High</v>
      </c>
      <c r="M224" s="27">
        <f>VLOOKUP(C224,A!A$1:H$669,6,FALSE)</f>
        <v>0</v>
      </c>
      <c r="N224" s="44"/>
      <c r="O224" s="533">
        <f>VLOOKUP(C224,A!A$1:G$669,2,FALSE)</f>
        <v>0</v>
      </c>
      <c r="P224" s="533" t="s">
        <v>24</v>
      </c>
      <c r="Q224" s="533" t="str">
        <f>IF(S224=0,"",COUNTIF(Q$12:Q223,"&gt;0")+1)</f>
        <v/>
      </c>
      <c r="R224" s="533" t="str">
        <f>IF(S224=0,"",COUNTIF(R$12:R223,"&gt;0")+1)</f>
        <v/>
      </c>
      <c r="S224" s="533">
        <f t="shared" si="45"/>
        <v>0</v>
      </c>
      <c r="T224" s="533" t="str">
        <f>VLOOKUP(C224,A!A$1:AH$669,31,FALSE)</f>
        <v/>
      </c>
      <c r="U224" s="533">
        <v>0.18</v>
      </c>
      <c r="V224" s="533"/>
      <c r="W224" s="533" t="str">
        <f t="shared" si="52"/>
        <v/>
      </c>
      <c r="X224" s="533">
        <f>IF(V224&lt;&gt;"",COUNTIF(V$46:V224,V224)-1,0)</f>
        <v>0</v>
      </c>
      <c r="Y224" s="533"/>
      <c r="Z224" s="533" t="str">
        <f t="shared" si="51"/>
        <v/>
      </c>
      <c r="AA224" s="533" t="str">
        <f>IFERROR(RANK(Z224,Z$47:Z$226,0)+COUNTIF(Z$47:Z224,Z224)-1,"")</f>
        <v/>
      </c>
      <c r="AB224" s="533">
        <f t="shared" si="50"/>
        <v>0</v>
      </c>
      <c r="AC224" s="533">
        <f t="shared" si="48"/>
        <v>0</v>
      </c>
      <c r="AD224" s="533"/>
      <c r="AE224" s="533"/>
      <c r="AF224" s="533"/>
      <c r="AG224" s="533"/>
      <c r="AH224" s="533"/>
      <c r="AI224" s="533"/>
      <c r="AJ224" s="533"/>
      <c r="AK224" s="533"/>
      <c r="AL224" s="533"/>
      <c r="AM224" s="533"/>
      <c r="AN224" s="533"/>
      <c r="AO224" s="533"/>
    </row>
    <row r="225" spans="1:47" ht="11.25" hidden="1" customHeight="1" x14ac:dyDescent="0.25">
      <c r="A225" s="48"/>
      <c r="B225" s="104" t="s">
        <v>18</v>
      </c>
      <c r="C225" s="936" t="s">
        <v>1089</v>
      </c>
      <c r="D225" s="642"/>
      <c r="E225" s="861"/>
      <c r="F225" s="47"/>
      <c r="G225" s="26"/>
      <c r="H225" s="27">
        <f>VLOOKUP(C225,A!A$1:H$669,8,FALSE)</f>
        <v>0</v>
      </c>
      <c r="I225" s="27"/>
      <c r="J225" s="28">
        <f>IF(VLOOKUP(C225,A!A$1:H$669,4,FALSE)="y",1,0)</f>
        <v>0</v>
      </c>
      <c r="K225" s="28">
        <f>IF(VLOOKUP(C225,A!A$1:H$669,5,FALSE)="y",1,0)</f>
        <v>0</v>
      </c>
      <c r="L225" s="544" t="str">
        <f t="shared" si="47"/>
        <v>High</v>
      </c>
      <c r="M225" s="27">
        <f>VLOOKUP(C225,A!A$1:H$669,6,FALSE)</f>
        <v>0</v>
      </c>
      <c r="N225" s="44"/>
      <c r="O225" s="533">
        <f>VLOOKUP(C225,A!A$1:G$669,2,FALSE)</f>
        <v>0</v>
      </c>
      <c r="P225" s="533" t="s">
        <v>24</v>
      </c>
      <c r="Q225" s="533" t="str">
        <f>IF(S225=0,"",COUNTIF(Q$12:Q224,"&gt;0")+1)</f>
        <v/>
      </c>
      <c r="R225" s="533" t="str">
        <f>IF(S225=0,"",COUNTIF(R$12:R224,"&gt;0")+1)</f>
        <v/>
      </c>
      <c r="S225" s="533">
        <f t="shared" si="45"/>
        <v>0</v>
      </c>
      <c r="T225" s="533" t="str">
        <f>VLOOKUP(C225,A!A$1:AH$669,31,FALSE)</f>
        <v/>
      </c>
      <c r="U225" s="533">
        <v>0.18</v>
      </c>
      <c r="V225" s="533"/>
      <c r="W225" s="533" t="str">
        <f t="shared" si="52"/>
        <v/>
      </c>
      <c r="X225" s="533">
        <f>IF(V225&lt;&gt;"",COUNTIF(V$46:V225,V225)-1,0)</f>
        <v>0</v>
      </c>
      <c r="Y225" s="533"/>
      <c r="Z225" s="533" t="str">
        <f t="shared" si="51"/>
        <v/>
      </c>
      <c r="AA225" s="533" t="str">
        <f>IFERROR(RANK(Z225,Z$47:Z$226,0)+COUNTIF(Z$47:Z225,Z225)-1,"")</f>
        <v/>
      </c>
      <c r="AB225" s="533">
        <f t="shared" si="50"/>
        <v>0</v>
      </c>
      <c r="AC225" s="533">
        <f t="shared" si="48"/>
        <v>0</v>
      </c>
      <c r="AD225" s="533"/>
      <c r="AE225" s="533"/>
      <c r="AF225" s="533"/>
      <c r="AG225" s="533"/>
      <c r="AH225" s="533"/>
      <c r="AI225" s="533"/>
      <c r="AJ225" s="533"/>
      <c r="AK225" s="533"/>
      <c r="AL225" s="533"/>
      <c r="AM225" s="533"/>
      <c r="AN225" s="533"/>
      <c r="AO225" s="533"/>
    </row>
    <row r="226" spans="1:47" ht="12" hidden="1" customHeight="1" thickBot="1" x14ac:dyDescent="0.3">
      <c r="A226" s="49"/>
      <c r="B226" s="587" t="s">
        <v>18</v>
      </c>
      <c r="C226" s="937" t="s">
        <v>460</v>
      </c>
      <c r="D226" s="643"/>
      <c r="E226" s="862"/>
      <c r="F226" s="50" t="s">
        <v>458</v>
      </c>
      <c r="G226" s="51" t="s">
        <v>461</v>
      </c>
      <c r="H226" s="52">
        <f>VLOOKUP(C226,A!A$1:H$669,8,FALSE)</f>
        <v>1</v>
      </c>
      <c r="I226" s="52"/>
      <c r="J226" s="53">
        <f>IF(VLOOKUP(C226,A!A$1:H$669,4,FALSE)="y",1,0)</f>
        <v>0</v>
      </c>
      <c r="K226" s="53">
        <f>IF(VLOOKUP(C226,A!A$1:H$669,5,FALSE)="y",1,0)</f>
        <v>0</v>
      </c>
      <c r="L226" s="544" t="str">
        <f t="shared" si="47"/>
        <v>High</v>
      </c>
      <c r="M226" s="52">
        <f>VLOOKUP(C226,A!A$1:H$669,6,FALSE)</f>
        <v>0</v>
      </c>
      <c r="N226" s="55" t="s">
        <v>39</v>
      </c>
      <c r="O226" s="533">
        <f>VLOOKUP(C226,A!A$1:G$669,2,FALSE)</f>
        <v>0</v>
      </c>
      <c r="P226" s="533" t="s">
        <v>24</v>
      </c>
      <c r="Q226" s="533" t="str">
        <f>IF(S226=0,"",COUNTIF(Q$12:Q225,"&gt;0")+1)</f>
        <v/>
      </c>
      <c r="R226" s="533" t="str">
        <f>IF(S226=0,"",COUNTIF(R$12:R225,"&gt;0")+1)</f>
        <v/>
      </c>
      <c r="S226" s="533">
        <f t="shared" si="45"/>
        <v>0</v>
      </c>
      <c r="T226" s="533" t="str">
        <f>VLOOKUP(C226,A!A$1:AH$669,31,FALSE)</f>
        <v/>
      </c>
      <c r="U226" s="533">
        <v>0.18</v>
      </c>
      <c r="V226" s="533"/>
      <c r="W226" s="533" t="str">
        <f t="shared" si="52"/>
        <v/>
      </c>
      <c r="X226" s="533">
        <f>IF(V226&lt;&gt;"",COUNTIF(V$46:V226,V226)-1,0)</f>
        <v>0</v>
      </c>
      <c r="Y226" s="533"/>
      <c r="Z226" s="533" t="str">
        <f t="shared" si="51"/>
        <v/>
      </c>
      <c r="AA226" s="533" t="str">
        <f>IFERROR(RANK(Z226,Z$47:Z$226,0)+COUNTIF(Z$47:Z226,Z226)-1,"")</f>
        <v/>
      </c>
      <c r="AB226" s="533">
        <f t="shared" si="50"/>
        <v>0</v>
      </c>
      <c r="AC226" s="533">
        <f t="shared" si="48"/>
        <v>0</v>
      </c>
      <c r="AD226" s="533"/>
      <c r="AE226" s="533"/>
      <c r="AF226" s="533"/>
      <c r="AG226" s="533"/>
      <c r="AH226" s="533"/>
      <c r="AI226" s="533"/>
      <c r="AJ226" s="533"/>
      <c r="AK226" s="533"/>
      <c r="AL226" s="533"/>
      <c r="AM226" s="533"/>
      <c r="AN226" s="533"/>
      <c r="AO226" s="533"/>
    </row>
    <row r="227" spans="1:47" ht="12.95" customHeight="1" x14ac:dyDescent="0.25">
      <c r="A227" s="56">
        <f>SUM(A46:A226)</f>
        <v>0</v>
      </c>
      <c r="B227" s="588" t="s">
        <v>18</v>
      </c>
      <c r="C227" s="57" t="s">
        <v>462</v>
      </c>
      <c r="D227" s="644"/>
      <c r="E227" s="863"/>
      <c r="F227" s="58"/>
      <c r="G227" s="58"/>
      <c r="H227" s="59"/>
      <c r="I227" s="59"/>
      <c r="J227" s="59"/>
      <c r="K227" s="59"/>
      <c r="L227" s="60"/>
      <c r="M227" s="59"/>
      <c r="N227" s="59"/>
      <c r="P227" s="533" t="s">
        <v>24</v>
      </c>
      <c r="Q227" s="533" t="str">
        <f>IF(S227=0,"",COUNTIF(Q$12:Q226,"&gt;0")+1)</f>
        <v/>
      </c>
      <c r="R227" s="533"/>
      <c r="S227" s="533">
        <f>SUM(S47:S226)</f>
        <v>0</v>
      </c>
      <c r="T227" s="533"/>
      <c r="U227" s="533"/>
      <c r="V227" s="533"/>
      <c r="W227" s="533" t="str">
        <f t="shared" si="52"/>
        <v/>
      </c>
      <c r="X227" s="533">
        <f>IF(V227&lt;&gt;"",COUNTIF(V$46:V227,V227)-1,0)</f>
        <v>0</v>
      </c>
      <c r="Y227" s="533">
        <f>SUM(Y47:Y226)</f>
        <v>0</v>
      </c>
      <c r="Z227" s="533"/>
      <c r="AA227" s="533"/>
      <c r="AB227" s="533"/>
      <c r="AC227" s="533"/>
      <c r="AD227" s="533"/>
      <c r="AE227" s="533"/>
      <c r="AF227" s="533"/>
      <c r="AG227" s="533"/>
      <c r="AH227" s="533"/>
      <c r="AI227" s="533"/>
      <c r="AJ227" s="533"/>
      <c r="AK227" s="533"/>
      <c r="AL227" s="533"/>
      <c r="AM227" s="533"/>
      <c r="AN227" s="533"/>
      <c r="AO227" s="533"/>
    </row>
    <row r="228" spans="1:47" ht="12" customHeight="1" thickBot="1" x14ac:dyDescent="0.3">
      <c r="A228" s="2"/>
      <c r="L228" s="3"/>
      <c r="M228" s="2"/>
      <c r="P228" s="533"/>
      <c r="Q228" s="533" t="str">
        <f>IF(S228=0,"",COUNTIF(Q$12:Q227,"&gt;0")+1)</f>
        <v/>
      </c>
      <c r="R228" s="533" t="str">
        <f>IF(S228=0,"",COUNTIF(R$12:R227,"&gt;0")+1)</f>
        <v/>
      </c>
      <c r="S228" s="533"/>
      <c r="T228" s="533"/>
      <c r="U228" s="533"/>
      <c r="V228" s="533"/>
      <c r="W228" s="533" t="str">
        <f t="shared" si="52"/>
        <v/>
      </c>
      <c r="X228" s="533">
        <f>IF(V228&lt;&gt;"",COUNTIF(V$46:V228,V228)-1,0)</f>
        <v>0</v>
      </c>
      <c r="Y228" s="533"/>
      <c r="Z228" s="533"/>
      <c r="AA228" s="533"/>
      <c r="AB228" s="533"/>
      <c r="AC228" s="533"/>
      <c r="AD228" s="533"/>
      <c r="AE228" s="533"/>
      <c r="AF228" s="533"/>
      <c r="AG228" s="533"/>
      <c r="AH228" s="533"/>
      <c r="AI228" s="533"/>
      <c r="AJ228" s="533"/>
      <c r="AK228" s="533"/>
      <c r="AL228" s="533"/>
      <c r="AM228" s="533"/>
      <c r="AN228" s="533"/>
      <c r="AO228" s="533"/>
    </row>
    <row r="229" spans="1:47" ht="11.25" customHeight="1" x14ac:dyDescent="0.25">
      <c r="A229" s="1159" t="s">
        <v>11</v>
      </c>
      <c r="B229" s="1160"/>
      <c r="C229" s="1142" t="s">
        <v>1278</v>
      </c>
      <c r="D229" s="1143"/>
      <c r="E229" s="1143"/>
      <c r="F229" s="1143"/>
      <c r="G229" s="1140" t="s">
        <v>1301</v>
      </c>
      <c r="H229" s="61" t="s">
        <v>465</v>
      </c>
      <c r="I229" s="61"/>
      <c r="J229" s="61"/>
      <c r="K229" s="61"/>
      <c r="L229" s="61"/>
      <c r="M229" s="61"/>
      <c r="N229" s="62"/>
      <c r="P229" s="533"/>
      <c r="Q229" s="533" t="str">
        <f>IF(S229=0,"",COUNTIF(Q$12:Q228,"&gt;0")+1)</f>
        <v/>
      </c>
      <c r="R229" s="533" t="str">
        <f>IF(S229=0,"",COUNTIF(R$12:R228,"&gt;0")+1)</f>
        <v/>
      </c>
      <c r="S229" s="533"/>
      <c r="T229" s="533"/>
      <c r="U229" s="533"/>
      <c r="V229" s="533"/>
      <c r="W229" s="533" t="str">
        <f t="shared" si="52"/>
        <v/>
      </c>
      <c r="X229" s="533">
        <f>IF(V229&lt;&gt;"",COUNTIF(V$46:V229,V229)-1,0)</f>
        <v>0</v>
      </c>
      <c r="Y229" s="533"/>
      <c r="Z229" s="533"/>
      <c r="AA229" s="533"/>
      <c r="AB229" s="533">
        <f>ROUNDDOWN(AB231/COUNTIF(O232:O252,"y"),0)</f>
        <v>0</v>
      </c>
      <c r="AC229" s="533"/>
      <c r="AD229" s="533"/>
      <c r="AE229" s="533"/>
      <c r="AF229" s="533"/>
      <c r="AG229" s="533"/>
      <c r="AH229" s="533"/>
      <c r="AI229" s="533"/>
      <c r="AJ229" s="533"/>
      <c r="AK229" s="533"/>
      <c r="AL229" s="533"/>
      <c r="AM229" s="533"/>
      <c r="AN229" s="533"/>
      <c r="AO229" s="533"/>
    </row>
    <row r="230" spans="1:47" ht="11.25" customHeight="1" thickBot="1" x14ac:dyDescent="0.3">
      <c r="A230" s="1146" t="s">
        <v>14</v>
      </c>
      <c r="B230" s="1147"/>
      <c r="C230" s="1144"/>
      <c r="D230" s="1145"/>
      <c r="E230" s="1145"/>
      <c r="F230" s="1145"/>
      <c r="G230" s="1141"/>
      <c r="H230" s="63" t="s">
        <v>15</v>
      </c>
      <c r="I230" s="64"/>
      <c r="J230" s="64"/>
      <c r="K230" s="64"/>
      <c r="L230" s="551" t="s">
        <v>1</v>
      </c>
      <c r="M230" s="64"/>
      <c r="N230" s="65" t="s">
        <v>16</v>
      </c>
      <c r="O230" s="1068"/>
      <c r="P230" s="533"/>
      <c r="Q230" s="533" t="str">
        <f>IF(S230=0,"",COUNTIF(Q$12:Q229,"&gt;0")+1)</f>
        <v/>
      </c>
      <c r="R230" s="533" t="str">
        <f>IF(S230=0,"",COUNTIF(R$12:R229,"&gt;0")+1)</f>
        <v/>
      </c>
      <c r="S230" s="533"/>
      <c r="T230" s="533"/>
      <c r="U230" s="533"/>
      <c r="V230" s="533"/>
      <c r="W230" s="533" t="str">
        <f t="shared" si="52"/>
        <v/>
      </c>
      <c r="X230" s="533">
        <f>IF(V230&lt;&gt;"",COUNTIF(V$46:V230,V230)-1,0)</f>
        <v>0</v>
      </c>
      <c r="Y230" s="533"/>
      <c r="Z230" s="533"/>
      <c r="AA230" s="533"/>
      <c r="AB230" s="533">
        <f>AB231-COUNTIF(O232:O252,"y")*AB229</f>
        <v>0</v>
      </c>
      <c r="AC230" s="533"/>
      <c r="AD230" s="533"/>
      <c r="AE230" s="533"/>
      <c r="AF230" s="533"/>
      <c r="AG230" s="533"/>
      <c r="AH230" s="533"/>
      <c r="AI230" s="533"/>
      <c r="AJ230" s="533"/>
      <c r="AK230" s="533"/>
      <c r="AL230" s="533"/>
      <c r="AM230" s="533"/>
      <c r="AN230" s="533"/>
      <c r="AO230" s="533"/>
      <c r="AP230" s="533"/>
      <c r="AQ230" s="533"/>
      <c r="AR230" s="533"/>
      <c r="AS230" s="533"/>
      <c r="AT230" s="533"/>
      <c r="AU230" s="533"/>
    </row>
    <row r="231" spans="1:47" ht="13.5" customHeight="1" x14ac:dyDescent="0.25">
      <c r="A231" s="66"/>
      <c r="B231" s="589" t="s">
        <v>18</v>
      </c>
      <c r="C231" s="756" t="s">
        <v>466</v>
      </c>
      <c r="D231" s="645"/>
      <c r="E231" s="864"/>
      <c r="F231" s="687" t="s">
        <v>20</v>
      </c>
      <c r="G231" s="67" t="s">
        <v>26</v>
      </c>
      <c r="H231" s="78">
        <v>4</v>
      </c>
      <c r="I231" s="68"/>
      <c r="J231" s="28">
        <f>IF(VLOOKUP(C231,A!A$1:H$669,4,FALSE)="y",1,0)</f>
        <v>1</v>
      </c>
      <c r="K231" s="28">
        <f>IF(VLOOKUP(C231,A!A$1:H$669,5,FALSE)="y",1,0)</f>
        <v>0</v>
      </c>
      <c r="L231" s="330" t="str">
        <f>IF(VLOOKUP(C231,A!A$1:H$669,3,FALSE)="y","NEW","")</f>
        <v/>
      </c>
      <c r="M231" s="80">
        <f>VLOOKUP(C231,A!A$1:H$669,6,FALSE)</f>
        <v>0</v>
      </c>
      <c r="N231" s="69" t="s">
        <v>31</v>
      </c>
      <c r="O231" s="533" t="str">
        <f>VLOOKUP(C231,A!A$1:G$669,2,FALSE)</f>
        <v>y</v>
      </c>
      <c r="P231" s="533" t="s">
        <v>467</v>
      </c>
      <c r="Q231" s="533"/>
      <c r="R231" s="533"/>
      <c r="S231" s="533">
        <f>A231+Y231</f>
        <v>0</v>
      </c>
      <c r="T231" s="533">
        <f>VLOOKUP(C231,A!A$1:AH$669,31,FALSE)</f>
        <v>25</v>
      </c>
      <c r="U231" s="533">
        <v>0.16500000000000001</v>
      </c>
      <c r="V231" s="533"/>
      <c r="W231" s="533"/>
      <c r="X231" s="533">
        <f>IF(V231&lt;&gt;"",COUNTIF(V$46:V231,V231)-1,0)</f>
        <v>0</v>
      </c>
      <c r="Y231" s="533">
        <f>A15*6+A17*6+A19*6+A21*6+A25*6</f>
        <v>0</v>
      </c>
      <c r="Z231" s="533"/>
      <c r="AA231" s="533" t="str">
        <f>IFERROR(RANK(Z231,Z$232:Z$252,0)+COUNTIF(Z231:Z$232,Z231)-1,"")</f>
        <v/>
      </c>
      <c r="AB231" s="533">
        <f>S231</f>
        <v>0</v>
      </c>
      <c r="AC231" s="533"/>
      <c r="AD231" s="533"/>
      <c r="AE231" s="533"/>
      <c r="AF231" s="533"/>
      <c r="AG231" s="533"/>
      <c r="AH231" s="533"/>
      <c r="AI231" s="533"/>
      <c r="AJ231" s="533"/>
      <c r="AK231" s="533"/>
      <c r="AL231" s="533"/>
      <c r="AM231" s="533"/>
      <c r="AN231" s="533"/>
      <c r="AO231" s="533"/>
      <c r="AP231" s="533"/>
      <c r="AQ231" s="533"/>
      <c r="AR231" s="533"/>
      <c r="AS231" s="533"/>
      <c r="AT231" s="533"/>
      <c r="AU231" s="533"/>
    </row>
    <row r="232" spans="1:47" ht="13.5" hidden="1" customHeight="1" x14ac:dyDescent="0.25">
      <c r="A232" s="72"/>
      <c r="B232" s="104" t="s">
        <v>18</v>
      </c>
      <c r="C232" s="695" t="s">
        <v>1077</v>
      </c>
      <c r="D232" s="728"/>
      <c r="E232" s="711"/>
      <c r="F232" s="688" t="s">
        <v>1078</v>
      </c>
      <c r="G232" s="26" t="s">
        <v>982</v>
      </c>
      <c r="H232" s="27">
        <f>VLOOKUP(C232,A!A$1:H$669,8,FALSE)</f>
        <v>2</v>
      </c>
      <c r="I232" s="27" t="s">
        <v>30</v>
      </c>
      <c r="J232" s="28">
        <f>IF(VLOOKUP(C232,A!A$1:H$669,4,FALSE)="y",1,0)</f>
        <v>0</v>
      </c>
      <c r="K232" s="28">
        <f>IF(VLOOKUP(C232,A!A$1:H$669,5,FALSE)="y",1,0)</f>
        <v>0</v>
      </c>
      <c r="L232" s="544" t="str">
        <f>IF(T232&lt;35,"Low",IF(T232&gt;40,"High","Med"))</f>
        <v>Low</v>
      </c>
      <c r="M232" s="80">
        <f>VLOOKUP(C232,A!A$1:H$669,6,FALSE)</f>
        <v>0</v>
      </c>
      <c r="N232" s="71" t="s">
        <v>31</v>
      </c>
      <c r="O232" s="533">
        <f>VLOOKUP(C232,A!A$1:G$669,2,FALSE)</f>
        <v>0</v>
      </c>
      <c r="P232" s="533" t="s">
        <v>467</v>
      </c>
      <c r="Q232" s="533" t="str">
        <f>IF(S232=0,"",COUNTIF(Q$12:Q231,"&gt;0")+1)</f>
        <v/>
      </c>
      <c r="R232" s="533" t="str">
        <f>IF(S232=0,"",COUNTIF(R$12:R231,"&gt;0")+1)</f>
        <v/>
      </c>
      <c r="S232" s="533">
        <f>A232+Y232+AB232</f>
        <v>0</v>
      </c>
      <c r="T232" s="533">
        <f>VLOOKUP(C232,A!A$1:AH$669,31,FALSE)</f>
        <v>25</v>
      </c>
      <c r="U232" s="533">
        <v>0.16500000000000001</v>
      </c>
      <c r="V232" s="533"/>
      <c r="W232" s="533" t="str">
        <f>IF(AND(V232&lt;&gt;"",O232=0),"Check",IF(AND(V232=0,O232="Y"),"Check",""))</f>
        <v/>
      </c>
      <c r="X232" s="533">
        <f>IF(V232&lt;&gt;"",COUNTIF(V$46:V232,V232)-1,0)</f>
        <v>0</v>
      </c>
      <c r="Y232" s="533"/>
      <c r="Z232" s="533" t="str">
        <f>IFERROR(IF(AND(O232="y",IF(AND(A232&lt;&gt;"",A232=0),0,1)),H232*-100-A232*1000-T232,""),"")</f>
        <v/>
      </c>
      <c r="AA232" s="533" t="str">
        <f>IFERROR(RANK(Z232,Z$232:Z$252,0)+COUNTIF(Z$232:Z232,Z232)-1,"")</f>
        <v/>
      </c>
      <c r="AB232" s="533">
        <f t="shared" ref="AB232:AB244" si="53">IF(AA232&lt;=AB$230,1,0)+IF(O232="y",AB$229,0)</f>
        <v>0</v>
      </c>
      <c r="AC232" s="533"/>
      <c r="AD232" s="533"/>
      <c r="AE232" s="533"/>
      <c r="AF232" s="533"/>
      <c r="AG232" s="533"/>
      <c r="AH232" s="533"/>
      <c r="AI232" s="533"/>
      <c r="AJ232" s="533"/>
      <c r="AK232" s="533"/>
      <c r="AL232" s="533"/>
      <c r="AM232" s="533"/>
      <c r="AN232" s="533"/>
      <c r="AO232" s="533"/>
      <c r="AP232" s="533"/>
      <c r="AQ232" s="533"/>
      <c r="AR232" s="533"/>
      <c r="AS232" s="533"/>
      <c r="AT232" s="533"/>
      <c r="AU232" s="533"/>
    </row>
    <row r="233" spans="1:47" ht="13.5" hidden="1" customHeight="1" x14ac:dyDescent="0.25">
      <c r="A233" s="72"/>
      <c r="B233" s="104" t="s">
        <v>18</v>
      </c>
      <c r="C233" s="694" t="s">
        <v>1764</v>
      </c>
      <c r="D233" s="728"/>
      <c r="E233" s="711"/>
      <c r="F233" s="688" t="s">
        <v>1765</v>
      </c>
      <c r="G233" s="26" t="s">
        <v>1766</v>
      </c>
      <c r="H233" s="27">
        <v>2</v>
      </c>
      <c r="I233" s="27"/>
      <c r="J233" s="28">
        <f>IF(VLOOKUP(C233,A!A$1:H$669,4,FALSE)="y",1,0)</f>
        <v>0</v>
      </c>
      <c r="K233" s="28">
        <f>IF(VLOOKUP(C233,A!A$1:H$669,5,FALSE)="y",1,0)</f>
        <v>0</v>
      </c>
      <c r="L233" s="544" t="str">
        <f>IF(T233&lt;35,"Low",IF(T233&gt;40,"High","Med"))</f>
        <v>Low</v>
      </c>
      <c r="M233" s="80"/>
      <c r="N233" s="71" t="s">
        <v>31</v>
      </c>
      <c r="O233" s="533">
        <f>VLOOKUP(C233,A!A$1:G$669,2,FALSE)</f>
        <v>0</v>
      </c>
      <c r="P233" s="533" t="s">
        <v>467</v>
      </c>
      <c r="Q233" s="533" t="str">
        <f>IF(S233=0,"",COUNTIF(Q$12:Q232,"&gt;0")+1)</f>
        <v/>
      </c>
      <c r="R233" s="533" t="str">
        <f>IF(S233=0,"",COUNTIF(R$12:R232,"&gt;0")+1)</f>
        <v/>
      </c>
      <c r="S233" s="533">
        <f>A233+Y233+AB233</f>
        <v>0</v>
      </c>
      <c r="T233" s="533">
        <f>VLOOKUP(C233,A!A$1:AH$669,31,FALSE)</f>
        <v>25</v>
      </c>
      <c r="U233" s="533">
        <v>0.16500000000000001</v>
      </c>
      <c r="V233" s="533"/>
      <c r="W233" s="533" t="str">
        <f>IF(AND(V233&lt;&gt;"",O233=0),"Check",IF(AND(V233=0,O233="Y"),"Check",""))</f>
        <v/>
      </c>
      <c r="X233" s="533">
        <f>IF(V233&lt;&gt;"",COUNTIF(V$46:V233,V233)-1,0)</f>
        <v>0</v>
      </c>
      <c r="Y233" s="533"/>
      <c r="Z233" s="533" t="str">
        <f>IFERROR(IF(AND(O233="y",IF(AND(A233&lt;&gt;"",A233=0),0,1)),H233*-100-A233*1000-T233,""),"")</f>
        <v/>
      </c>
      <c r="AA233" s="533" t="str">
        <f>IFERROR(RANK(Z233,Z$232:Z$252,0)+COUNTIF(Z$232:Z233,Z233)-1,"")</f>
        <v/>
      </c>
      <c r="AB233" s="533">
        <f t="shared" si="53"/>
        <v>0</v>
      </c>
      <c r="AC233" s="533"/>
      <c r="AD233" s="533"/>
      <c r="AE233" s="533"/>
      <c r="AF233" s="533"/>
      <c r="AG233" s="533"/>
      <c r="AH233" s="533"/>
      <c r="AI233" s="533"/>
      <c r="AJ233" s="533"/>
      <c r="AK233" s="533"/>
      <c r="AL233" s="533"/>
      <c r="AM233" s="533"/>
      <c r="AN233" s="533"/>
      <c r="AO233" s="533"/>
      <c r="AP233" s="533"/>
      <c r="AQ233" s="533"/>
      <c r="AR233" s="533"/>
      <c r="AS233" s="533"/>
      <c r="AT233" s="533"/>
      <c r="AU233" s="533"/>
    </row>
    <row r="234" spans="1:47" ht="13.5" hidden="1" customHeight="1" x14ac:dyDescent="0.25">
      <c r="A234" s="72"/>
      <c r="B234" s="104" t="s">
        <v>18</v>
      </c>
      <c r="C234" s="695" t="s">
        <v>469</v>
      </c>
      <c r="D234" s="642"/>
      <c r="E234" s="711"/>
      <c r="F234" s="688" t="s">
        <v>470</v>
      </c>
      <c r="G234" s="26" t="s">
        <v>471</v>
      </c>
      <c r="H234" s="27">
        <f>VLOOKUP(C234,A!A$1:H$669,8,FALSE)</f>
        <v>1</v>
      </c>
      <c r="I234" s="27"/>
      <c r="J234" s="28">
        <f>IF(VLOOKUP(C234,A!A$1:H$669,4,FALSE)="y",1,0)</f>
        <v>0</v>
      </c>
      <c r="K234" s="28">
        <f>IF(VLOOKUP(C234,A!A$1:H$669,5,FALSE)="y",1,0)</f>
        <v>0</v>
      </c>
      <c r="L234" s="544" t="str">
        <f>IF(T234&lt;35,"Low",IF(T234&gt;40,"High","Med"))</f>
        <v>Low</v>
      </c>
      <c r="M234" s="80">
        <f>VLOOKUP(C234,A!A$1:H$669,6,FALSE)</f>
        <v>0</v>
      </c>
      <c r="N234" s="71" t="s">
        <v>31</v>
      </c>
      <c r="O234" s="533">
        <f>VLOOKUP(C234,A!A$1:G$669,2,FALSE)</f>
        <v>0</v>
      </c>
      <c r="P234" s="533" t="s">
        <v>467</v>
      </c>
      <c r="Q234" s="533" t="str">
        <f>IF(S234=0,"",COUNTIF(Q$12:Q233,"&gt;0")+1)</f>
        <v/>
      </c>
      <c r="R234" s="533" t="str">
        <f>IF(S234=0,"",COUNTIF(R$12:R233,"&gt;0")+1)</f>
        <v/>
      </c>
      <c r="S234" s="533">
        <f t="shared" ref="S234:S237" si="54">A234+Y234+AB234</f>
        <v>0</v>
      </c>
      <c r="T234" s="533">
        <f>VLOOKUP(C234,A!A$1:AH$669,31,FALSE)</f>
        <v>25</v>
      </c>
      <c r="U234" s="533">
        <v>0.16500000000000001</v>
      </c>
      <c r="V234" s="533"/>
      <c r="W234" s="533" t="str">
        <f>IF(AND(V234&lt;&gt;"",O234=0),"Check",IF(AND(V234=0,O234="Y"),"Check",""))</f>
        <v/>
      </c>
      <c r="X234" s="533">
        <f>IF(V234&lt;&gt;"",COUNTIF(V$46:V234,V234)-1,0)</f>
        <v>0</v>
      </c>
      <c r="Y234" s="533"/>
      <c r="Z234" s="533" t="str">
        <f t="shared" ref="Z234:Z250" si="55">IFERROR(IF(AND(O234="y",IF(AND(A234&lt;&gt;"",A234=0),0,1)),H234*-100-A234*1000-T234,""),"")</f>
        <v/>
      </c>
      <c r="AA234" s="533" t="str">
        <f>IFERROR(RANK(Z234,Z$232:Z$252,0)+COUNTIF(Z$232:Z234,Z234)-1,"")</f>
        <v/>
      </c>
      <c r="AB234" s="533">
        <f t="shared" si="53"/>
        <v>0</v>
      </c>
      <c r="AC234" s="533"/>
      <c r="AD234" s="533"/>
      <c r="AE234" s="533"/>
      <c r="AF234" s="533"/>
      <c r="AG234" s="533"/>
      <c r="AH234" s="533"/>
      <c r="AI234" s="533"/>
      <c r="AJ234" s="533"/>
      <c r="AK234" s="533"/>
      <c r="AL234" s="533"/>
      <c r="AM234" s="533"/>
      <c r="AN234" s="533"/>
      <c r="AO234" s="533"/>
      <c r="AP234" s="533"/>
      <c r="AQ234" s="533"/>
      <c r="AR234" s="533"/>
      <c r="AS234" s="533"/>
      <c r="AT234" s="533"/>
      <c r="AU234" s="533"/>
    </row>
    <row r="235" spans="1:47" ht="13.5" hidden="1" customHeight="1" x14ac:dyDescent="0.25">
      <c r="A235" s="72"/>
      <c r="B235" s="104" t="s">
        <v>18</v>
      </c>
      <c r="C235" s="695" t="s">
        <v>472</v>
      </c>
      <c r="D235" s="728"/>
      <c r="E235" s="711"/>
      <c r="F235" s="688" t="s">
        <v>473</v>
      </c>
      <c r="G235" s="26" t="s">
        <v>474</v>
      </c>
      <c r="H235" s="27">
        <f>VLOOKUP(C235,A!A$1:H$669,8,FALSE)</f>
        <v>2</v>
      </c>
      <c r="I235" s="27"/>
      <c r="J235" s="28">
        <f>IF(VLOOKUP(C235,A!A$1:H$669,4,FALSE)="y",1,0)</f>
        <v>0</v>
      </c>
      <c r="K235" s="28">
        <f>IF(VLOOKUP(C235,A!A$1:H$669,5,FALSE)="y",1,0)</f>
        <v>0</v>
      </c>
      <c r="L235" s="544" t="str">
        <f>IF(T235&lt;35,"Low",IF(T235&gt;40,"High","Med"))</f>
        <v>Low</v>
      </c>
      <c r="M235" s="80">
        <f>VLOOKUP(C235,A!A$1:H$669,6,FALSE)</f>
        <v>0</v>
      </c>
      <c r="N235" s="71" t="s">
        <v>31</v>
      </c>
      <c r="O235" s="533">
        <f>VLOOKUP(C235,A!A$1:G$669,2,FALSE)</f>
        <v>0</v>
      </c>
      <c r="P235" s="533" t="s">
        <v>467</v>
      </c>
      <c r="Q235" s="533" t="str">
        <f>IF(S235=0,"",COUNTIF(Q$12:Q234,"&gt;0")+1)</f>
        <v/>
      </c>
      <c r="R235" s="533" t="str">
        <f>IF(S235=0,"",COUNTIF(R$12:R234,"&gt;0")+1)</f>
        <v/>
      </c>
      <c r="S235" s="533">
        <f t="shared" si="54"/>
        <v>0</v>
      </c>
      <c r="T235" s="533">
        <f>VLOOKUP(C235,A!A$1:AH$669,31,FALSE)</f>
        <v>25</v>
      </c>
      <c r="U235" s="533">
        <v>0.16500000000000001</v>
      </c>
      <c r="V235" s="533"/>
      <c r="W235" s="533" t="str">
        <f>IF(AND(V235&lt;&gt;"",O235=0),"Check",IF(AND(V235=0,O235="Y"),"Check",""))</f>
        <v/>
      </c>
      <c r="X235" s="533">
        <f>IF(V235&lt;&gt;"",COUNTIF(V$46:V235,V235)-1,0)</f>
        <v>0</v>
      </c>
      <c r="Y235" s="533"/>
      <c r="Z235" s="533" t="str">
        <f t="shared" si="55"/>
        <v/>
      </c>
      <c r="AA235" s="533" t="str">
        <f>IFERROR(RANK(Z235,Z$232:Z$252,0)+COUNTIF(Z$232:Z235,Z235)-1,"")</f>
        <v/>
      </c>
      <c r="AB235" s="533">
        <f t="shared" si="53"/>
        <v>0</v>
      </c>
      <c r="AC235" s="533"/>
      <c r="AD235" s="533"/>
      <c r="AE235" s="533"/>
      <c r="AF235" s="533"/>
      <c r="AG235" s="533"/>
      <c r="AH235" s="533"/>
      <c r="AI235" s="533"/>
      <c r="AJ235" s="533"/>
      <c r="AK235" s="533"/>
      <c r="AL235" s="533"/>
      <c r="AM235" s="533"/>
      <c r="AN235" s="533"/>
      <c r="AO235" s="533"/>
      <c r="AP235" s="533"/>
      <c r="AQ235" s="533"/>
      <c r="AR235" s="533"/>
      <c r="AS235" s="533"/>
      <c r="AT235" s="533"/>
      <c r="AU235" s="533"/>
    </row>
    <row r="236" spans="1:47" ht="13.5" customHeight="1" x14ac:dyDescent="0.25">
      <c r="A236" s="72"/>
      <c r="B236" s="104" t="s">
        <v>18</v>
      </c>
      <c r="C236" s="695" t="s">
        <v>475</v>
      </c>
      <c r="D236" s="729"/>
      <c r="E236" s="711"/>
      <c r="F236" s="688" t="s">
        <v>476</v>
      </c>
      <c r="G236" s="26" t="s">
        <v>477</v>
      </c>
      <c r="H236" s="27">
        <f>VLOOKUP(C236,A!A$1:H$669,8,FALSE)</f>
        <v>1</v>
      </c>
      <c r="I236" s="27"/>
      <c r="J236" s="28">
        <f>IF(VLOOKUP(C236,A!A$1:H$669,4,FALSE)="y",1,0)</f>
        <v>1</v>
      </c>
      <c r="K236" s="28">
        <f>IF(VLOOKUP(C236,A!A$1:H$669,5,FALSE)="y",1,0)</f>
        <v>1</v>
      </c>
      <c r="L236" s="544" t="str">
        <f t="shared" ref="L236:L252" si="56">IF(T236&lt;35,"Low",IF(T236&gt;40,"High","Med"))</f>
        <v>Low</v>
      </c>
      <c r="M236" s="80">
        <f>VLOOKUP(C236,A!A$1:H$669,6,FALSE)</f>
        <v>0</v>
      </c>
      <c r="N236" s="71" t="s">
        <v>31</v>
      </c>
      <c r="O236" s="533" t="str">
        <f>VLOOKUP(C236,A!A$1:G$669,2,FALSE)</f>
        <v>y</v>
      </c>
      <c r="P236" s="533" t="s">
        <v>467</v>
      </c>
      <c r="Q236" s="533" t="str">
        <f>IF(S236=0,"",COUNTIF(Q$12:Q235,"&gt;0")+1)</f>
        <v/>
      </c>
      <c r="R236" s="533" t="str">
        <f>IF(S236=0,"",COUNTIF(R$12:R235,"&gt;0")+1)</f>
        <v/>
      </c>
      <c r="S236" s="533">
        <f t="shared" si="54"/>
        <v>0</v>
      </c>
      <c r="T236" s="533">
        <f>VLOOKUP(C236,A!A$1:AH$669,31,FALSE)</f>
        <v>25</v>
      </c>
      <c r="U236" s="533">
        <v>0.16500000000000001</v>
      </c>
      <c r="V236" s="533">
        <v>1</v>
      </c>
      <c r="W236" s="533" t="str">
        <f t="shared" ref="W236:W256" si="57">IF(AND(V236&lt;&gt;"",O236=0),"Check",IF(AND(V236=0,O236="Y"),"Check",""))</f>
        <v/>
      </c>
      <c r="X236" s="533">
        <f>IF(V236&lt;&gt;"",COUNTIF(V$46:V236,V236)-1,0)</f>
        <v>0</v>
      </c>
      <c r="Y236" s="533"/>
      <c r="Z236" s="533">
        <f t="shared" si="55"/>
        <v>-125</v>
      </c>
      <c r="AA236" s="533">
        <f>IFERROR(RANK(Z236,Z$232:Z$252,0)+COUNTIF(Z$232:Z236,Z236)-1,"")</f>
        <v>1</v>
      </c>
      <c r="AB236" s="533">
        <f t="shared" si="53"/>
        <v>0</v>
      </c>
      <c r="AC236" s="533"/>
      <c r="AD236" s="533"/>
      <c r="AE236" s="533"/>
      <c r="AF236" s="533"/>
      <c r="AG236" s="533"/>
      <c r="AH236" s="533"/>
      <c r="AI236" s="533"/>
      <c r="AJ236" s="533"/>
      <c r="AK236" s="533"/>
      <c r="AL236" s="533"/>
      <c r="AM236" s="533"/>
      <c r="AN236" s="533"/>
      <c r="AO236" s="533"/>
      <c r="AP236" s="533"/>
      <c r="AQ236" s="533"/>
      <c r="AR236" s="533"/>
      <c r="AS236" s="533"/>
      <c r="AT236" s="533"/>
      <c r="AU236" s="533"/>
    </row>
    <row r="237" spans="1:47" ht="13.5" hidden="1" customHeight="1" x14ac:dyDescent="0.25">
      <c r="A237" s="72"/>
      <c r="B237" s="104" t="s">
        <v>18</v>
      </c>
      <c r="C237" s="695" t="s">
        <v>478</v>
      </c>
      <c r="D237" s="729"/>
      <c r="E237" s="711"/>
      <c r="F237" s="688" t="s">
        <v>463</v>
      </c>
      <c r="G237" s="42" t="s">
        <v>479</v>
      </c>
      <c r="H237" s="27">
        <f>VLOOKUP(C237,A!A$1:H$669,8,FALSE)</f>
        <v>1</v>
      </c>
      <c r="I237" s="27"/>
      <c r="J237" s="28">
        <f>IF(VLOOKUP(C237,A!A$1:H$669,4,FALSE)="y",1,0)</f>
        <v>0</v>
      </c>
      <c r="K237" s="28">
        <f>IF(VLOOKUP(C237,A!A$1:H$669,5,FALSE)="y",1,0)</f>
        <v>0</v>
      </c>
      <c r="L237" s="544" t="str">
        <f t="shared" si="56"/>
        <v>Low</v>
      </c>
      <c r="M237" s="80" t="s">
        <v>1083</v>
      </c>
      <c r="N237" s="71" t="s">
        <v>31</v>
      </c>
      <c r="O237" s="533">
        <f>VLOOKUP(C237,A!A$1:G$669,2,FALSE)</f>
        <v>0</v>
      </c>
      <c r="P237" s="533" t="s">
        <v>467</v>
      </c>
      <c r="Q237" s="533" t="str">
        <f>IF(S237=0,"",COUNTIF(Q$12:Q236,"&gt;0")+1)</f>
        <v/>
      </c>
      <c r="R237" s="533" t="str">
        <f>IF(S237=0,"",COUNTIF(R$12:R236,"&gt;0")+1)</f>
        <v/>
      </c>
      <c r="S237" s="533">
        <f t="shared" si="54"/>
        <v>0</v>
      </c>
      <c r="T237" s="533">
        <f>VLOOKUP(C237,A!A$1:AH$669,31,FALSE)</f>
        <v>25</v>
      </c>
      <c r="U237" s="533">
        <v>0.16500000000000001</v>
      </c>
      <c r="V237" s="533"/>
      <c r="W237" s="533" t="str">
        <f t="shared" si="57"/>
        <v/>
      </c>
      <c r="X237" s="533">
        <f>IF(V237&lt;&gt;"",COUNTIF(V$46:V237,V237)-1,0)</f>
        <v>0</v>
      </c>
      <c r="Y237" s="533"/>
      <c r="Z237" s="533" t="str">
        <f t="shared" si="55"/>
        <v/>
      </c>
      <c r="AA237" s="533" t="str">
        <f>IFERROR(RANK(Z237,Z$232:Z$252,0)+COUNTIF(Z$232:Z237,Z237)-1,"")</f>
        <v/>
      </c>
      <c r="AB237" s="533">
        <f t="shared" si="53"/>
        <v>0</v>
      </c>
      <c r="AC237" s="533"/>
      <c r="AD237" s="533"/>
      <c r="AE237" s="533"/>
      <c r="AF237" s="533"/>
      <c r="AG237" s="533"/>
      <c r="AH237" s="533"/>
      <c r="AI237" s="533"/>
      <c r="AJ237" s="533"/>
      <c r="AK237" s="533"/>
      <c r="AL237" s="533"/>
      <c r="AM237" s="533"/>
      <c r="AN237" s="533"/>
      <c r="AO237" s="533"/>
      <c r="AP237" s="533"/>
      <c r="AQ237" s="533"/>
      <c r="AR237" s="533"/>
      <c r="AS237" s="533"/>
      <c r="AT237" s="533"/>
      <c r="AU237" s="533"/>
    </row>
    <row r="238" spans="1:47" ht="13.5" customHeight="1" x14ac:dyDescent="0.25">
      <c r="A238" s="72"/>
      <c r="B238" s="104" t="s">
        <v>18</v>
      </c>
      <c r="C238" s="695" t="s">
        <v>1255</v>
      </c>
      <c r="D238" s="728"/>
      <c r="E238" s="711"/>
      <c r="F238" s="688" t="s">
        <v>1245</v>
      </c>
      <c r="G238" s="26" t="s">
        <v>1246</v>
      </c>
      <c r="H238" s="27">
        <v>2</v>
      </c>
      <c r="I238" s="27"/>
      <c r="J238" s="28">
        <f>IF(VLOOKUP(C238,A!A$1:H$669,4,FALSE)="y",1,0)</f>
        <v>1</v>
      </c>
      <c r="K238" s="28"/>
      <c r="L238" s="544" t="str">
        <f>IF(T238&lt;35,"Low",IF(T238&gt;40,"High","Med"))</f>
        <v>Low</v>
      </c>
      <c r="M238" s="80"/>
      <c r="N238" s="71" t="s">
        <v>31</v>
      </c>
      <c r="O238" s="533" t="str">
        <f>VLOOKUP(C238,A!A$1:G$669,2,FALSE)</f>
        <v>y</v>
      </c>
      <c r="P238" s="533" t="s">
        <v>467</v>
      </c>
      <c r="Q238" s="533" t="str">
        <f>IF(S238=0,"",COUNTIF(Q$12:Q237,"&gt;0")+1)</f>
        <v/>
      </c>
      <c r="R238" s="533" t="str">
        <f>IF(S238=0,"",COUNTIF(R$12:R237,"&gt;0")+1)</f>
        <v/>
      </c>
      <c r="S238" s="533">
        <f>A238+Y238+AB238</f>
        <v>0</v>
      </c>
      <c r="T238" s="533">
        <v>25</v>
      </c>
      <c r="U238" s="533">
        <v>0.16500000000000001</v>
      </c>
      <c r="V238" s="533">
        <v>2</v>
      </c>
      <c r="W238" s="533" t="str">
        <f>IF(AND(V238&lt;&gt;"",O238=0),"Check",IF(AND(V238=0,O238="Y"),"Check",""))</f>
        <v/>
      </c>
      <c r="X238" s="533">
        <f>IF(V238&lt;&gt;"",COUNTIF(V$46:V238,V238)-1,0)</f>
        <v>0</v>
      </c>
      <c r="Y238" s="533"/>
      <c r="Z238" s="533">
        <f t="shared" si="55"/>
        <v>-225</v>
      </c>
      <c r="AA238" s="533">
        <f>IFERROR(RANK(Z238,Z$232:Z$252,0)+COUNTIF(Z$232:Z238,Z238)-1,"")</f>
        <v>6</v>
      </c>
      <c r="AB238" s="533">
        <f t="shared" si="53"/>
        <v>0</v>
      </c>
      <c r="AC238" s="533"/>
      <c r="AD238" s="533"/>
      <c r="AE238" s="533"/>
      <c r="AF238" s="533"/>
      <c r="AG238" s="533"/>
      <c r="AH238" s="533"/>
      <c r="AI238" s="533"/>
      <c r="AJ238" s="533"/>
      <c r="AK238" s="533"/>
      <c r="AL238" s="533"/>
      <c r="AM238" s="533"/>
      <c r="AN238" s="533"/>
      <c r="AO238" s="533"/>
      <c r="AP238" s="533"/>
      <c r="AQ238" s="533"/>
      <c r="AR238" s="533"/>
      <c r="AS238" s="533"/>
      <c r="AT238" s="533"/>
      <c r="AU238" s="533"/>
    </row>
    <row r="239" spans="1:47" ht="13.5" customHeight="1" x14ac:dyDescent="0.25">
      <c r="A239" s="72"/>
      <c r="B239" s="104" t="s">
        <v>18</v>
      </c>
      <c r="C239" s="695" t="s">
        <v>480</v>
      </c>
      <c r="D239" s="728"/>
      <c r="E239" s="711"/>
      <c r="F239" s="688" t="s">
        <v>481</v>
      </c>
      <c r="G239" s="26" t="s">
        <v>482</v>
      </c>
      <c r="H239" s="27">
        <v>2</v>
      </c>
      <c r="I239" s="27"/>
      <c r="J239" s="28">
        <f>IF(VLOOKUP(C239,A!A$1:H$669,4,FALSE)="y",1,0)</f>
        <v>1</v>
      </c>
      <c r="K239" s="28"/>
      <c r="L239" s="544" t="str">
        <f>IF(T239&lt;35,"Low",IF(T239&gt;40,"High","Med"))</f>
        <v>Low</v>
      </c>
      <c r="M239" s="80"/>
      <c r="N239" s="71" t="s">
        <v>1247</v>
      </c>
      <c r="O239" s="533" t="str">
        <f>VLOOKUP(C239,A!A$1:G$669,2,FALSE)</f>
        <v>y</v>
      </c>
      <c r="P239" s="533" t="s">
        <v>467</v>
      </c>
      <c r="Q239" s="533" t="str">
        <f>IF(S239=0,"",COUNTIF(Q$12:Q238,"&gt;0")+1)</f>
        <v/>
      </c>
      <c r="R239" s="533" t="str">
        <f>IF(S239=0,"",COUNTIF(R$12:R238,"&gt;0")+1)</f>
        <v/>
      </c>
      <c r="S239" s="533">
        <f t="shared" ref="S239:S240" si="58">A239+Y239+AB239</f>
        <v>0</v>
      </c>
      <c r="T239" s="533">
        <f>VLOOKUP(C239,A!A$1:AH$669,31,FALSE)</f>
        <v>25</v>
      </c>
      <c r="U239" s="533">
        <v>0.16500000000000001</v>
      </c>
      <c r="V239" s="533">
        <v>3</v>
      </c>
      <c r="W239" s="533" t="str">
        <f t="shared" si="57"/>
        <v/>
      </c>
      <c r="X239" s="533">
        <f>IF(V239&lt;&gt;"",COUNTIF(V$46:V239,V239)-1,0)</f>
        <v>0</v>
      </c>
      <c r="Y239" s="533"/>
      <c r="Z239" s="533">
        <f t="shared" si="55"/>
        <v>-225</v>
      </c>
      <c r="AA239" s="533">
        <f>IFERROR(RANK(Z239,Z$232:Z$252,0)+COUNTIF(Z$232:Z239,Z239)-1,"")</f>
        <v>7</v>
      </c>
      <c r="AB239" s="533">
        <f t="shared" si="53"/>
        <v>0</v>
      </c>
      <c r="AC239" s="533"/>
      <c r="AD239" s="533"/>
      <c r="AE239" s="533"/>
      <c r="AF239" s="533"/>
      <c r="AG239" s="533"/>
      <c r="AH239" s="533"/>
      <c r="AI239" s="533"/>
      <c r="AJ239" s="533"/>
      <c r="AK239" s="533"/>
      <c r="AL239" s="533"/>
      <c r="AM239" s="533"/>
      <c r="AN239" s="533"/>
      <c r="AO239" s="533"/>
      <c r="AP239" s="533"/>
      <c r="AQ239" s="533"/>
      <c r="AR239" s="533"/>
      <c r="AS239" s="533"/>
      <c r="AT239" s="533"/>
      <c r="AU239" s="533"/>
    </row>
    <row r="240" spans="1:47" ht="13.5" customHeight="1" x14ac:dyDescent="0.25">
      <c r="A240" s="72"/>
      <c r="B240" s="104" t="s">
        <v>18</v>
      </c>
      <c r="C240" s="695" t="s">
        <v>483</v>
      </c>
      <c r="D240" s="728"/>
      <c r="E240" s="711"/>
      <c r="F240" s="688" t="s">
        <v>484</v>
      </c>
      <c r="G240" s="26" t="s">
        <v>485</v>
      </c>
      <c r="H240" s="27">
        <v>2</v>
      </c>
      <c r="I240" s="27"/>
      <c r="J240" s="28">
        <f>IF(VLOOKUP(C240,A!A$1:H$669,4,FALSE)="y",1,0)</f>
        <v>1</v>
      </c>
      <c r="K240" s="28"/>
      <c r="L240" s="544" t="str">
        <f>IF(T240&lt;35,"Low",IF(T240&gt;40,"High","Med"))</f>
        <v>Low</v>
      </c>
      <c r="M240" s="80"/>
      <c r="N240" s="71" t="s">
        <v>1248</v>
      </c>
      <c r="O240" s="533" t="str">
        <f>VLOOKUP(C240,A!A$1:G$669,2,FALSE)</f>
        <v>y</v>
      </c>
      <c r="P240" s="533" t="s">
        <v>467</v>
      </c>
      <c r="Q240" s="533" t="str">
        <f>IF(S240=0,"",COUNTIF(Q$12:Q239,"&gt;0")+1)</f>
        <v/>
      </c>
      <c r="R240" s="533" t="str">
        <f>IF(S240=0,"",COUNTIF(R$12:R239,"&gt;0")+1)</f>
        <v/>
      </c>
      <c r="S240" s="533">
        <f t="shared" si="58"/>
        <v>0</v>
      </c>
      <c r="T240" s="533">
        <f>VLOOKUP(C240,A!A$1:AH$669,31,FALSE)</f>
        <v>25</v>
      </c>
      <c r="U240" s="533">
        <v>0.16500000000000001</v>
      </c>
      <c r="V240" s="533">
        <v>4</v>
      </c>
      <c r="W240" s="533" t="str">
        <f t="shared" si="57"/>
        <v/>
      </c>
      <c r="X240" s="533">
        <f>IF(V240&lt;&gt;"",COUNTIF(V$46:V240,V240)-1,0)</f>
        <v>0</v>
      </c>
      <c r="Y240" s="533"/>
      <c r="Z240" s="533">
        <f t="shared" si="55"/>
        <v>-225</v>
      </c>
      <c r="AA240" s="533">
        <f>IFERROR(RANK(Z240,Z$232:Z$252,0)+COUNTIF(Z$232:Z240,Z240)-1,"")</f>
        <v>8</v>
      </c>
      <c r="AB240" s="533">
        <f t="shared" si="53"/>
        <v>0</v>
      </c>
      <c r="AC240" s="533"/>
      <c r="AD240" s="533"/>
      <c r="AE240" s="533"/>
      <c r="AF240" s="533"/>
      <c r="AG240" s="533"/>
      <c r="AH240" s="533"/>
      <c r="AI240" s="533"/>
      <c r="AJ240" s="533"/>
      <c r="AK240" s="533"/>
      <c r="AL240" s="533"/>
      <c r="AM240" s="533"/>
      <c r="AN240" s="533"/>
      <c r="AO240" s="533"/>
      <c r="AP240" s="533"/>
      <c r="AQ240" s="533"/>
      <c r="AR240" s="533"/>
      <c r="AS240" s="533"/>
      <c r="AT240" s="533"/>
      <c r="AU240" s="533"/>
    </row>
    <row r="241" spans="1:47" ht="13.5" customHeight="1" x14ac:dyDescent="0.25">
      <c r="A241" s="72"/>
      <c r="B241" s="104" t="s">
        <v>18</v>
      </c>
      <c r="C241" s="695" t="s">
        <v>993</v>
      </c>
      <c r="D241" s="728"/>
      <c r="E241" s="711"/>
      <c r="F241" s="688" t="s">
        <v>994</v>
      </c>
      <c r="G241" s="26" t="s">
        <v>995</v>
      </c>
      <c r="H241" s="27">
        <v>2</v>
      </c>
      <c r="I241" s="27"/>
      <c r="J241" s="28">
        <f>IF(VLOOKUP(C241,A!A$1:H$669,4,FALSE)="y",1,0)</f>
        <v>1</v>
      </c>
      <c r="K241" s="28"/>
      <c r="L241" s="544" t="str">
        <f t="shared" si="56"/>
        <v>Low</v>
      </c>
      <c r="M241" s="80"/>
      <c r="N241" s="71" t="s">
        <v>31</v>
      </c>
      <c r="O241" s="533" t="str">
        <f>VLOOKUP(C241,A!A$1:G$669,2,FALSE)</f>
        <v>y</v>
      </c>
      <c r="P241" s="533" t="s">
        <v>467</v>
      </c>
      <c r="Q241" s="533" t="str">
        <f>IF(S241=0,"",COUNTIF(Q$12:Q240,"&gt;0")+1)</f>
        <v/>
      </c>
      <c r="R241" s="533" t="str">
        <f>IF(S241=0,"",COUNTIF(R$12:R240,"&gt;0")+1)</f>
        <v/>
      </c>
      <c r="S241" s="533">
        <f t="shared" ref="S241:S251" si="59">A241+Y241+AB241</f>
        <v>0</v>
      </c>
      <c r="T241" s="533">
        <f>VLOOKUP(C241,A!A$1:AH$669,31,FALSE)</f>
        <v>25</v>
      </c>
      <c r="U241" s="533">
        <v>0.16500000000000001</v>
      </c>
      <c r="V241" s="533">
        <v>5</v>
      </c>
      <c r="W241" s="533" t="str">
        <f t="shared" si="57"/>
        <v/>
      </c>
      <c r="X241" s="533">
        <f>IF(V241&lt;&gt;"",COUNTIF(V$46:V241,V241)-1,0)</f>
        <v>0</v>
      </c>
      <c r="Y241" s="533"/>
      <c r="Z241" s="533">
        <f t="shared" si="55"/>
        <v>-225</v>
      </c>
      <c r="AA241" s="533">
        <f>IFERROR(RANK(Z241,Z$232:Z$252,0)+COUNTIF(Z$232:Z241,Z241)-1,"")</f>
        <v>9</v>
      </c>
      <c r="AB241" s="533">
        <f t="shared" si="53"/>
        <v>0</v>
      </c>
      <c r="AC241" s="533"/>
      <c r="AD241" s="533"/>
      <c r="AE241" s="533"/>
      <c r="AF241" s="533"/>
      <c r="AG241" s="533"/>
      <c r="AH241" s="533"/>
      <c r="AI241" s="533"/>
      <c r="AJ241" s="533"/>
      <c r="AK241" s="533"/>
      <c r="AL241" s="533"/>
      <c r="AM241" s="533"/>
      <c r="AN241" s="533"/>
      <c r="AO241" s="533"/>
      <c r="AP241" s="533"/>
      <c r="AQ241" s="533"/>
      <c r="AR241" s="533"/>
      <c r="AS241" s="533"/>
      <c r="AT241" s="533"/>
      <c r="AU241" s="533"/>
    </row>
    <row r="242" spans="1:47" ht="13.5" customHeight="1" x14ac:dyDescent="0.25">
      <c r="A242" s="72"/>
      <c r="B242" s="104" t="s">
        <v>18</v>
      </c>
      <c r="C242" s="695" t="s">
        <v>1260</v>
      </c>
      <c r="D242" s="727"/>
      <c r="E242" s="711"/>
      <c r="F242" s="688" t="s">
        <v>1261</v>
      </c>
      <c r="G242" s="26" t="s">
        <v>995</v>
      </c>
      <c r="H242" s="27">
        <v>1</v>
      </c>
      <c r="I242" s="27"/>
      <c r="J242" s="28">
        <f>IF(VLOOKUP(C242,A!A$1:H$669,4,FALSE)="y",1,0)</f>
        <v>1</v>
      </c>
      <c r="K242" s="28"/>
      <c r="L242" s="544" t="str">
        <f t="shared" si="56"/>
        <v>Low</v>
      </c>
      <c r="M242" s="80"/>
      <c r="N242" s="71" t="s">
        <v>31</v>
      </c>
      <c r="O242" s="533" t="str">
        <f>VLOOKUP(C242,A!A$1:G$669,2,FALSE)</f>
        <v>y</v>
      </c>
      <c r="P242" s="533" t="s">
        <v>467</v>
      </c>
      <c r="Q242" s="533" t="str">
        <f>IF(S242=0,"",COUNTIF(Q$12:Q241,"&gt;0")+1)</f>
        <v/>
      </c>
      <c r="R242" s="533" t="str">
        <f>IF(S242=0,"",COUNTIF(R$12:R241,"&gt;0")+1)</f>
        <v/>
      </c>
      <c r="S242" s="533">
        <f t="shared" si="59"/>
        <v>0</v>
      </c>
      <c r="T242" s="533">
        <f>VLOOKUP(C242,A!A$1:AH$669,31,FALSE)</f>
        <v>25</v>
      </c>
      <c r="U242" s="533">
        <v>0.16500000000000001</v>
      </c>
      <c r="V242" s="533">
        <v>6</v>
      </c>
      <c r="W242" s="533" t="str">
        <f t="shared" ref="W242:W251" si="60">IF(AND(V242&lt;&gt;"",O242=0),"Check",IF(AND(V242=0,O242="Y"),"Check",""))</f>
        <v/>
      </c>
      <c r="X242" s="533">
        <f>IF(V242&lt;&gt;"",COUNTIF(V$46:V242,V242)-1,0)</f>
        <v>0</v>
      </c>
      <c r="Y242" s="533"/>
      <c r="Z242" s="533">
        <f t="shared" si="55"/>
        <v>-125</v>
      </c>
      <c r="AA242" s="533">
        <f>IFERROR(RANK(Z242,Z$232:Z$252,0)+COUNTIF(Z$232:Z242,Z242)-1,"")</f>
        <v>2</v>
      </c>
      <c r="AB242" s="533">
        <f t="shared" si="53"/>
        <v>0</v>
      </c>
      <c r="AC242" s="533"/>
      <c r="AD242" s="533"/>
      <c r="AE242" s="533"/>
      <c r="AF242" s="533"/>
      <c r="AG242" s="533"/>
      <c r="AH242" s="533"/>
      <c r="AI242" s="533"/>
      <c r="AJ242" s="533"/>
      <c r="AK242" s="533"/>
      <c r="AL242" s="533"/>
      <c r="AM242" s="533"/>
      <c r="AN242" s="533"/>
      <c r="AO242" s="533"/>
      <c r="AP242" s="533"/>
      <c r="AQ242" s="533"/>
      <c r="AR242" s="533"/>
      <c r="AS242" s="533"/>
      <c r="AT242" s="533"/>
      <c r="AU242" s="533"/>
    </row>
    <row r="243" spans="1:47" ht="13.5" hidden="1" customHeight="1" x14ac:dyDescent="0.25">
      <c r="A243" s="72"/>
      <c r="B243" s="598" t="s">
        <v>18</v>
      </c>
      <c r="C243" s="721" t="s">
        <v>1295</v>
      </c>
      <c r="D243" s="733"/>
      <c r="E243" s="838"/>
      <c r="F243" s="689" t="s">
        <v>1296</v>
      </c>
      <c r="G243" s="26" t="s">
        <v>1300</v>
      </c>
      <c r="H243" s="27">
        <v>2</v>
      </c>
      <c r="I243" s="27"/>
      <c r="J243" s="28"/>
      <c r="K243" s="28"/>
      <c r="L243" s="544" t="str">
        <f t="shared" si="56"/>
        <v>Low</v>
      </c>
      <c r="M243" s="80"/>
      <c r="N243" s="71" t="s">
        <v>31</v>
      </c>
      <c r="O243" s="533">
        <f>VLOOKUP(C243,A!A$1:G$669,2,FALSE)</f>
        <v>0</v>
      </c>
      <c r="P243" s="533" t="s">
        <v>467</v>
      </c>
      <c r="Q243" s="533" t="str">
        <f>IF(S243=0,"",COUNTIF(Q$12:Q242,"&gt;0")+1)</f>
        <v/>
      </c>
      <c r="R243" s="533" t="str">
        <f>IF(S243=0,"",COUNTIF(R$12:R242,"&gt;0")+1)</f>
        <v/>
      </c>
      <c r="S243" s="533">
        <f t="shared" si="59"/>
        <v>0</v>
      </c>
      <c r="T243" s="533">
        <f>VLOOKUP(C243,A!A$1:AH$669,31,FALSE)</f>
        <v>25</v>
      </c>
      <c r="U243" s="533">
        <v>0.16500000000000001</v>
      </c>
      <c r="V243" s="533"/>
      <c r="W243" s="533" t="str">
        <f t="shared" si="60"/>
        <v/>
      </c>
      <c r="X243" s="533">
        <f>IF(V243&lt;&gt;"",COUNTIF(V$46:V243,V243)-1,0)</f>
        <v>0</v>
      </c>
      <c r="Y243" s="533"/>
      <c r="Z243" s="533" t="str">
        <f t="shared" si="55"/>
        <v/>
      </c>
      <c r="AA243" s="533" t="str">
        <f>IFERROR(RANK(Z243,Z$232:Z$252,0)+COUNTIF(Z$232:Z243,Z243)-1,"")</f>
        <v/>
      </c>
      <c r="AB243" s="533">
        <f t="shared" si="53"/>
        <v>0</v>
      </c>
      <c r="AC243" s="533"/>
      <c r="AD243" s="533"/>
      <c r="AE243" s="533"/>
      <c r="AF243" s="533"/>
      <c r="AG243" s="533"/>
      <c r="AH243" s="533"/>
      <c r="AI243" s="533"/>
      <c r="AJ243" s="533"/>
      <c r="AK243" s="533"/>
      <c r="AL243" s="533"/>
      <c r="AM243" s="533"/>
      <c r="AN243" s="533"/>
      <c r="AO243" s="533"/>
      <c r="AP243" s="533"/>
      <c r="AQ243" s="533"/>
      <c r="AR243" s="533"/>
      <c r="AS243" s="533"/>
      <c r="AT243" s="533"/>
      <c r="AU243" s="533"/>
    </row>
    <row r="244" spans="1:47" ht="13.5" customHeight="1" x14ac:dyDescent="0.25">
      <c r="A244" s="72"/>
      <c r="B244" s="104" t="s">
        <v>18</v>
      </c>
      <c r="C244" s="695" t="s">
        <v>1217</v>
      </c>
      <c r="D244" s="727"/>
      <c r="E244" s="828"/>
      <c r="F244" s="688" t="s">
        <v>486</v>
      </c>
      <c r="G244" s="26" t="s">
        <v>487</v>
      </c>
      <c r="H244" s="27">
        <f>VLOOKUP(C244,A!A$1:H$669,8,FALSE)</f>
        <v>1</v>
      </c>
      <c r="I244" s="27"/>
      <c r="J244" s="28">
        <f>IF(VLOOKUP(C244,A!A$1:H$669,4,FALSE)="y",1,0)</f>
        <v>1</v>
      </c>
      <c r="K244" s="28">
        <f>IF(VLOOKUP(C244,A!A$1:H$669,5,FALSE)="y",1,0)</f>
        <v>1</v>
      </c>
      <c r="L244" s="544" t="str">
        <f t="shared" si="56"/>
        <v>Low</v>
      </c>
      <c r="M244" s="80">
        <f>VLOOKUP(C244,A!A$1:H$669,6,FALSE)</f>
        <v>0</v>
      </c>
      <c r="N244" s="71" t="s">
        <v>31</v>
      </c>
      <c r="O244" s="533" t="str">
        <f>VLOOKUP(C244,A!A$1:G$669,2,FALSE)</f>
        <v>y</v>
      </c>
      <c r="P244" s="533" t="s">
        <v>467</v>
      </c>
      <c r="Q244" s="533" t="str">
        <f>IF(S244=0,"",COUNTIF(Q$12:Q243,"&gt;0")+1)</f>
        <v/>
      </c>
      <c r="R244" s="533" t="str">
        <f>IF(S244=0,"",COUNTIF(R$12:R243,"&gt;0")+1)</f>
        <v/>
      </c>
      <c r="S244" s="533">
        <f t="shared" si="59"/>
        <v>0</v>
      </c>
      <c r="T244" s="533">
        <f>VLOOKUP(C244,A!A$1:AH$669,31,FALSE)</f>
        <v>25</v>
      </c>
      <c r="U244" s="533">
        <v>0.16500000000000001</v>
      </c>
      <c r="V244" s="533">
        <v>7</v>
      </c>
      <c r="W244" s="533" t="str">
        <f t="shared" si="60"/>
        <v/>
      </c>
      <c r="X244" s="533">
        <f>IF(V244&lt;&gt;"",COUNTIF(V$46:V244,V244)-1,0)</f>
        <v>0</v>
      </c>
      <c r="Y244" s="533"/>
      <c r="Z244" s="533">
        <f t="shared" si="55"/>
        <v>-125</v>
      </c>
      <c r="AA244" s="533">
        <f>IFERROR(RANK(Z244,Z$232:Z$252,0)+COUNTIF(Z$232:Z244,Z244)-1,"")</f>
        <v>3</v>
      </c>
      <c r="AB244" s="533">
        <f t="shared" si="53"/>
        <v>0</v>
      </c>
      <c r="AC244" s="533"/>
      <c r="AD244" s="533"/>
      <c r="AE244" s="533"/>
      <c r="AF244" s="533"/>
      <c r="AG244" s="533"/>
      <c r="AH244" s="533"/>
      <c r="AI244" s="533"/>
      <c r="AJ244" s="533"/>
      <c r="AK244" s="533"/>
      <c r="AL244" s="533"/>
      <c r="AM244" s="533"/>
      <c r="AN244" s="533"/>
      <c r="AO244" s="533"/>
      <c r="AP244" s="533"/>
      <c r="AQ244" s="533"/>
      <c r="AR244" s="533"/>
      <c r="AS244" s="533"/>
      <c r="AT244" s="533"/>
      <c r="AU244" s="533"/>
    </row>
    <row r="245" spans="1:47" ht="13.5" customHeight="1" x14ac:dyDescent="0.25">
      <c r="A245" s="72"/>
      <c r="B245" s="104" t="s">
        <v>18</v>
      </c>
      <c r="C245" s="695" t="s">
        <v>488</v>
      </c>
      <c r="D245" s="728"/>
      <c r="E245" s="711"/>
      <c r="F245" s="688" t="s">
        <v>489</v>
      </c>
      <c r="G245" s="26" t="s">
        <v>490</v>
      </c>
      <c r="H245" s="27">
        <f>VLOOKUP(C245,A!A$1:H$669,8,FALSE)</f>
        <v>1</v>
      </c>
      <c r="I245" s="27"/>
      <c r="J245" s="28">
        <f>IF(VLOOKUP(C245,A!A$1:H$669,4,FALSE)="y",1,0)</f>
        <v>1</v>
      </c>
      <c r="K245" s="28">
        <f>IF(VLOOKUP(C245,A!A$1:H$669,5,FALSE)="y",1,0)</f>
        <v>1</v>
      </c>
      <c r="L245" s="544" t="str">
        <f t="shared" si="56"/>
        <v>Low</v>
      </c>
      <c r="M245" s="80">
        <f>VLOOKUP(C245,A!A$1:H$669,6,FALSE)</f>
        <v>0</v>
      </c>
      <c r="N245" s="71" t="s">
        <v>31</v>
      </c>
      <c r="O245" s="533" t="str">
        <f>VLOOKUP(C245,A!A$1:G$669,2,FALSE)</f>
        <v>y</v>
      </c>
      <c r="P245" s="533" t="s">
        <v>467</v>
      </c>
      <c r="Q245" s="533" t="str">
        <f>IF(S245=0,"",COUNTIF(Q$12:Q244,"&gt;0")+1)</f>
        <v/>
      </c>
      <c r="R245" s="533" t="str">
        <f>IF(S245=0,"",COUNTIF(R$12:R244,"&gt;0")+1)</f>
        <v/>
      </c>
      <c r="S245" s="533">
        <f t="shared" si="59"/>
        <v>0</v>
      </c>
      <c r="T245" s="533">
        <f>VLOOKUP(C245,A!A$1:AH$669,31,FALSE)</f>
        <v>25</v>
      </c>
      <c r="U245" s="533">
        <v>0.16500000000000001</v>
      </c>
      <c r="V245" s="533">
        <v>8</v>
      </c>
      <c r="W245" s="533" t="str">
        <f t="shared" si="60"/>
        <v/>
      </c>
      <c r="X245" s="533">
        <f>IF(V245&lt;&gt;"",COUNTIF(V$46:V245,V245)-1,0)</f>
        <v>0</v>
      </c>
      <c r="Y245" s="533"/>
      <c r="Z245" s="533">
        <f t="shared" si="55"/>
        <v>-125</v>
      </c>
      <c r="AA245" s="533">
        <f>IFERROR(RANK(Z245,Z$232:Z$252,0)+COUNTIF(Z$232:Z245,Z245)-1,"")</f>
        <v>4</v>
      </c>
      <c r="AB245" s="533">
        <f t="shared" ref="AB245" si="61">IF(AA245&lt;=AB$230,1,0)+IF(O245="y",AB$229,0)</f>
        <v>0</v>
      </c>
      <c r="AC245" s="533"/>
      <c r="AD245" s="533"/>
      <c r="AE245" s="533"/>
      <c r="AF245" s="533"/>
      <c r="AG245" s="533"/>
      <c r="AH245" s="533"/>
      <c r="AI245" s="533"/>
      <c r="AJ245" s="533"/>
      <c r="AK245" s="533"/>
      <c r="AL245" s="533"/>
      <c r="AM245" s="533"/>
      <c r="AN245" s="533"/>
      <c r="AO245" s="533"/>
      <c r="AP245" s="533"/>
      <c r="AQ245" s="533"/>
      <c r="AR245" s="533"/>
      <c r="AS245" s="533"/>
      <c r="AT245" s="533"/>
      <c r="AU245" s="533"/>
    </row>
    <row r="246" spans="1:47" ht="11.25" hidden="1" customHeight="1" x14ac:dyDescent="0.25">
      <c r="A246" s="72"/>
      <c r="B246" s="104" t="s">
        <v>18</v>
      </c>
      <c r="C246" s="695" t="s">
        <v>491</v>
      </c>
      <c r="D246" s="728"/>
      <c r="E246" s="711"/>
      <c r="F246" s="688" t="s">
        <v>492</v>
      </c>
      <c r="G246" s="26" t="s">
        <v>493</v>
      </c>
      <c r="H246" s="27">
        <f>VLOOKUP(C246,A!A$1:H$669,8,FALSE)</f>
        <v>2</v>
      </c>
      <c r="I246" s="27"/>
      <c r="J246" s="28">
        <f>IF(VLOOKUP(C246,A!A$1:H$669,4,FALSE)="y",1,0)</f>
        <v>0</v>
      </c>
      <c r="K246" s="28">
        <f>IF(VLOOKUP(C246,A!A$1:H$669,5,FALSE)="y",1,0)</f>
        <v>0</v>
      </c>
      <c r="L246" s="544" t="str">
        <f t="shared" si="56"/>
        <v>Low</v>
      </c>
      <c r="M246" s="80">
        <f>VLOOKUP(C246,A!A$1:H$669,6,FALSE)</f>
        <v>0</v>
      </c>
      <c r="N246" s="71" t="s">
        <v>1297</v>
      </c>
      <c r="O246" s="533">
        <f>VLOOKUP(C246,A!A$1:G$669,2,FALSE)</f>
        <v>0</v>
      </c>
      <c r="P246" s="533" t="s">
        <v>467</v>
      </c>
      <c r="Q246" s="533" t="str">
        <f>IF(S246=0,"",COUNTIF(Q$12:Q245,"&gt;0")+1)</f>
        <v/>
      </c>
      <c r="R246" s="533" t="str">
        <f>IF(S246=0,"",COUNTIF(R$12:R245,"&gt;0")+1)</f>
        <v/>
      </c>
      <c r="S246" s="533">
        <f t="shared" si="59"/>
        <v>0</v>
      </c>
      <c r="T246" s="533">
        <f>VLOOKUP(C246,A!A$1:AH$669,31,FALSE)</f>
        <v>25</v>
      </c>
      <c r="U246" s="533">
        <v>0.16500000000000001</v>
      </c>
      <c r="V246" s="533"/>
      <c r="W246" s="533" t="str">
        <f t="shared" si="60"/>
        <v/>
      </c>
      <c r="X246" s="533">
        <f>IF(V246&lt;&gt;"",COUNTIF(V$46:V246,V246)-1,0)</f>
        <v>0</v>
      </c>
      <c r="Y246" s="533"/>
      <c r="Z246" s="533" t="str">
        <f t="shared" si="55"/>
        <v/>
      </c>
      <c r="AA246" s="533" t="str">
        <f>IFERROR(RANK(Z246,Z$232:Z$252,0)+COUNTIF(Z$232:Z246,Z246)-1,"")</f>
        <v/>
      </c>
      <c r="AB246" s="533">
        <f t="shared" ref="AB246:AB252" si="62">IF(AA246&lt;=AB$230,1,0)+IF(O246="y",AB$229,0)</f>
        <v>0</v>
      </c>
      <c r="AC246" s="533"/>
      <c r="AD246" s="533"/>
      <c r="AE246" s="533"/>
      <c r="AF246" s="533"/>
      <c r="AG246" s="533"/>
      <c r="AH246" s="533"/>
      <c r="AI246" s="533"/>
      <c r="AJ246" s="533"/>
      <c r="AK246" s="533"/>
      <c r="AL246" s="533"/>
      <c r="AM246" s="533"/>
      <c r="AN246" s="533"/>
      <c r="AO246" s="533"/>
      <c r="AP246" s="533"/>
      <c r="AQ246" s="533"/>
      <c r="AR246" s="533"/>
      <c r="AS246" s="533"/>
      <c r="AT246" s="533"/>
      <c r="AU246" s="533"/>
    </row>
    <row r="247" spans="1:47" ht="13.5" hidden="1" customHeight="1" x14ac:dyDescent="0.25">
      <c r="A247" s="72"/>
      <c r="B247" s="104" t="s">
        <v>18</v>
      </c>
      <c r="C247" s="695" t="s">
        <v>495</v>
      </c>
      <c r="D247" s="728"/>
      <c r="E247" s="711"/>
      <c r="F247" s="688" t="s">
        <v>496</v>
      </c>
      <c r="G247" s="26" t="s">
        <v>497</v>
      </c>
      <c r="H247" s="27">
        <f>VLOOKUP(C247,A!A$1:H$669,8,FALSE)</f>
        <v>2</v>
      </c>
      <c r="I247" s="27" t="s">
        <v>30</v>
      </c>
      <c r="J247" s="28">
        <f>IF(VLOOKUP(C247,A!A$1:H$669,4,FALSE)="y",1,0)</f>
        <v>0</v>
      </c>
      <c r="K247" s="28">
        <f>IF(VLOOKUP(C247,A!A$1:H$669,5,FALSE)="y",1,0)</f>
        <v>0</v>
      </c>
      <c r="L247" s="544" t="str">
        <f t="shared" si="56"/>
        <v>Low</v>
      </c>
      <c r="M247" s="80">
        <f>VLOOKUP(C247,A!A$1:H$669,6,FALSE)</f>
        <v>0</v>
      </c>
      <c r="N247" s="71" t="s">
        <v>1298</v>
      </c>
      <c r="O247" s="533">
        <f>VLOOKUP(C247,A!A$1:G$669,2,FALSE)</f>
        <v>0</v>
      </c>
      <c r="P247" s="533" t="s">
        <v>467</v>
      </c>
      <c r="Q247" s="533" t="str">
        <f>IF(S247=0,"",COUNTIF(Q$12:Q246,"&gt;0")+1)</f>
        <v/>
      </c>
      <c r="R247" s="533" t="str">
        <f>IF(S247=0,"",COUNTIF(R$12:R246,"&gt;0")+1)</f>
        <v/>
      </c>
      <c r="S247" s="533">
        <f t="shared" si="59"/>
        <v>0</v>
      </c>
      <c r="T247" s="533">
        <f>VLOOKUP(C247,A!A$1:AH$669,31,FALSE)</f>
        <v>25</v>
      </c>
      <c r="U247" s="533">
        <v>0.16500000000000001</v>
      </c>
      <c r="V247" s="533"/>
      <c r="W247" s="533" t="str">
        <f t="shared" si="60"/>
        <v/>
      </c>
      <c r="X247" s="533">
        <f>IF(V247&lt;&gt;"",COUNTIF(V$46:V247,V247)-1,0)</f>
        <v>0</v>
      </c>
      <c r="Y247" s="533"/>
      <c r="Z247" s="533" t="str">
        <f t="shared" si="55"/>
        <v/>
      </c>
      <c r="AA247" s="533" t="str">
        <f>IFERROR(RANK(Z247,Z$232:Z$252,0)+COUNTIF(Z$232:Z247,Z247)-1,"")</f>
        <v/>
      </c>
      <c r="AB247" s="533">
        <f t="shared" si="62"/>
        <v>0</v>
      </c>
      <c r="AC247" s="533"/>
      <c r="AD247" s="533"/>
      <c r="AE247" s="533"/>
      <c r="AF247" s="533"/>
      <c r="AG247" s="533"/>
      <c r="AH247" s="533"/>
      <c r="AI247" s="533"/>
      <c r="AJ247" s="533"/>
      <c r="AK247" s="533"/>
      <c r="AL247" s="533"/>
      <c r="AM247" s="533"/>
      <c r="AN247" s="533"/>
      <c r="AO247" s="533"/>
      <c r="AP247" s="533"/>
      <c r="AQ247" s="533"/>
      <c r="AR247" s="533"/>
      <c r="AS247" s="533"/>
      <c r="AT247" s="533"/>
      <c r="AU247" s="533"/>
    </row>
    <row r="248" spans="1:47" ht="13.5" hidden="1" customHeight="1" x14ac:dyDescent="0.25">
      <c r="A248" s="72"/>
      <c r="B248" s="104" t="s">
        <v>18</v>
      </c>
      <c r="C248" s="695" t="s">
        <v>498</v>
      </c>
      <c r="D248" s="728"/>
      <c r="E248" s="711"/>
      <c r="F248" s="688" t="s">
        <v>464</v>
      </c>
      <c r="G248" s="26" t="s">
        <v>499</v>
      </c>
      <c r="H248" s="27">
        <f>VLOOKUP(C248,A!A$1:H$669,8,FALSE)</f>
        <v>3</v>
      </c>
      <c r="I248" s="27"/>
      <c r="J248" s="28">
        <f>IF(VLOOKUP(C248,A!A$1:H$669,4,FALSE)="y",1,0)</f>
        <v>0</v>
      </c>
      <c r="K248" s="28">
        <f>IF(VLOOKUP(C248,A!A$1:H$669,5,FALSE)="y",1,0)</f>
        <v>0</v>
      </c>
      <c r="L248" s="544" t="str">
        <f t="shared" si="56"/>
        <v>Low</v>
      </c>
      <c r="M248" s="80">
        <f>VLOOKUP(C248,A!A$1:H$669,6,FALSE)</f>
        <v>0</v>
      </c>
      <c r="N248" s="71" t="s">
        <v>31</v>
      </c>
      <c r="O248" s="533">
        <f>VLOOKUP(C248,A!A$1:G$669,2,FALSE)</f>
        <v>0</v>
      </c>
      <c r="P248" s="533" t="s">
        <v>467</v>
      </c>
      <c r="Q248" s="533" t="str">
        <f>IF(S248=0,"",COUNTIF(Q$12:Q247,"&gt;0")+1)</f>
        <v/>
      </c>
      <c r="R248" s="533" t="str">
        <f>IF(S248=0,"",COUNTIF(R$12:R247,"&gt;0")+1)</f>
        <v/>
      </c>
      <c r="S248" s="533">
        <f t="shared" si="59"/>
        <v>0</v>
      </c>
      <c r="T248" s="533">
        <f>VLOOKUP(C248,A!A$1:AH$669,31,FALSE)</f>
        <v>25</v>
      </c>
      <c r="U248" s="533">
        <v>0.16500000000000001</v>
      </c>
      <c r="V248" s="533"/>
      <c r="W248" s="533" t="str">
        <f t="shared" si="60"/>
        <v/>
      </c>
      <c r="X248" s="533">
        <f>IF(V248&lt;&gt;"",COUNTIF(V$46:V248,V248)-1,0)</f>
        <v>0</v>
      </c>
      <c r="Y248" s="533"/>
      <c r="Z248" s="533" t="str">
        <f t="shared" si="55"/>
        <v/>
      </c>
      <c r="AA248" s="533" t="str">
        <f>IFERROR(RANK(Z248,Z$232:Z$252,0)+COUNTIF(Z$232:Z248,Z248)-1,"")</f>
        <v/>
      </c>
      <c r="AB248" s="533">
        <f t="shared" si="62"/>
        <v>0</v>
      </c>
      <c r="AC248" s="533"/>
      <c r="AD248" s="533"/>
      <c r="AE248" s="533"/>
      <c r="AF248" s="533"/>
      <c r="AG248" s="533"/>
      <c r="AH248" s="533"/>
      <c r="AI248" s="533"/>
      <c r="AJ248" s="533"/>
      <c r="AK248" s="533"/>
      <c r="AL248" s="533"/>
      <c r="AM248" s="533"/>
      <c r="AN248" s="533"/>
      <c r="AO248" s="533"/>
      <c r="AP248" s="533"/>
      <c r="AQ248" s="533"/>
      <c r="AR248" s="533"/>
      <c r="AS248" s="533"/>
      <c r="AT248" s="533"/>
      <c r="AU248" s="533"/>
    </row>
    <row r="249" spans="1:47" ht="13.5" hidden="1" customHeight="1" x14ac:dyDescent="0.25">
      <c r="A249" s="72"/>
      <c r="B249" s="590" t="s">
        <v>18</v>
      </c>
      <c r="C249" s="694" t="s">
        <v>971</v>
      </c>
      <c r="D249" s="728"/>
      <c r="E249" s="711"/>
      <c r="F249" s="688" t="s">
        <v>972</v>
      </c>
      <c r="G249" s="26"/>
      <c r="H249" s="27">
        <v>1</v>
      </c>
      <c r="I249" s="27"/>
      <c r="J249" s="28">
        <f>IF(VLOOKUP(C249,A!A$1:H$669,4,FALSE)="y",1,0)</f>
        <v>0</v>
      </c>
      <c r="K249" s="28">
        <v>0</v>
      </c>
      <c r="L249" s="544" t="str">
        <f t="shared" si="56"/>
        <v>Low</v>
      </c>
      <c r="M249" s="80"/>
      <c r="N249" s="71" t="s">
        <v>1299</v>
      </c>
      <c r="O249" s="533">
        <f>VLOOKUP(C249,A!A$1:G$669,2,FALSE)</f>
        <v>0</v>
      </c>
      <c r="P249" s="533" t="s">
        <v>467</v>
      </c>
      <c r="Q249" s="533" t="str">
        <f>IF(S249=0,"",COUNTIF(Q$12:Q248,"&gt;0")+1)</f>
        <v/>
      </c>
      <c r="R249" s="533" t="str">
        <f>IF(S249=0,"",COUNTIF(R$12:R248,"&gt;0")+1)</f>
        <v/>
      </c>
      <c r="S249" s="533">
        <f t="shared" si="59"/>
        <v>0</v>
      </c>
      <c r="T249" s="533">
        <f>VLOOKUP(C249,A!A$1:AH$669,31,FALSE)</f>
        <v>25</v>
      </c>
      <c r="U249" s="533">
        <v>0.16500000000000001</v>
      </c>
      <c r="V249" s="533"/>
      <c r="W249" s="533" t="str">
        <f t="shared" si="60"/>
        <v/>
      </c>
      <c r="X249" s="533">
        <f>IF(V249&lt;&gt;"",COUNTIF(V$46:V249,V249)-1,0)</f>
        <v>0</v>
      </c>
      <c r="Y249" s="533"/>
      <c r="Z249" s="533" t="str">
        <f t="shared" si="55"/>
        <v/>
      </c>
      <c r="AA249" s="533" t="str">
        <f>IFERROR(RANK(Z249,Z$232:Z$252,0)+COUNTIF(Z$232:Z249,Z249)-1,"")</f>
        <v/>
      </c>
      <c r="AB249" s="533">
        <f t="shared" si="62"/>
        <v>0</v>
      </c>
      <c r="AC249" s="533"/>
      <c r="AD249" s="533"/>
      <c r="AE249" s="533"/>
      <c r="AF249" s="533"/>
      <c r="AG249" s="533"/>
      <c r="AH249" s="533"/>
      <c r="AI249" s="533"/>
      <c r="AJ249" s="533"/>
      <c r="AK249" s="533"/>
      <c r="AL249" s="533"/>
      <c r="AM249" s="533"/>
      <c r="AN249" s="533"/>
      <c r="AO249" s="533"/>
      <c r="AP249" s="533"/>
      <c r="AQ249" s="533"/>
      <c r="AR249" s="533"/>
      <c r="AS249" s="533"/>
      <c r="AT249" s="533"/>
      <c r="AU249" s="533"/>
    </row>
    <row r="250" spans="1:47" ht="13.5" customHeight="1" x14ac:dyDescent="0.25">
      <c r="A250" s="72"/>
      <c r="B250" s="590" t="s">
        <v>18</v>
      </c>
      <c r="C250" s="721" t="s">
        <v>987</v>
      </c>
      <c r="D250" s="728"/>
      <c r="E250" s="711"/>
      <c r="F250" s="688" t="s">
        <v>991</v>
      </c>
      <c r="G250" s="26" t="s">
        <v>992</v>
      </c>
      <c r="H250" s="27">
        <v>2</v>
      </c>
      <c r="I250" s="27"/>
      <c r="J250" s="28">
        <f>IF(VLOOKUP(C250,A!A$1:H$669,4,FALSE)="y",1,0)</f>
        <v>1</v>
      </c>
      <c r="K250" s="28"/>
      <c r="L250" s="544" t="str">
        <f t="shared" si="56"/>
        <v>Low</v>
      </c>
      <c r="M250" s="80"/>
      <c r="N250" s="71" t="s">
        <v>31</v>
      </c>
      <c r="O250" s="533" t="str">
        <f>VLOOKUP(C250,A!A$1:G$669,2,FALSE)</f>
        <v>y</v>
      </c>
      <c r="P250" s="533" t="s">
        <v>467</v>
      </c>
      <c r="Q250" s="533" t="str">
        <f>IF(S250=0,"",COUNTIF(Q$12:Q249,"&gt;0")+1)</f>
        <v/>
      </c>
      <c r="R250" s="533" t="str">
        <f>IF(S250=0,"",COUNTIF(R$12:R249,"&gt;0")+1)</f>
        <v/>
      </c>
      <c r="S250" s="533">
        <f t="shared" si="59"/>
        <v>0</v>
      </c>
      <c r="T250" s="533">
        <f>VLOOKUP(C250,A!A$1:AH$669,31,FALSE)</f>
        <v>25</v>
      </c>
      <c r="U250" s="533">
        <v>0.16500000000000001</v>
      </c>
      <c r="V250" s="533">
        <v>9</v>
      </c>
      <c r="W250" s="533" t="str">
        <f t="shared" si="60"/>
        <v/>
      </c>
      <c r="X250" s="533">
        <f>IF(V250&lt;&gt;"",COUNTIF(V$46:V250,V250)-1,0)</f>
        <v>0</v>
      </c>
      <c r="Y250" s="533"/>
      <c r="Z250" s="533">
        <f t="shared" si="55"/>
        <v>-225</v>
      </c>
      <c r="AA250" s="533">
        <f>IFERROR(RANK(Z250,Z$232:Z$252,0)+COUNTIF(Z$232:Z250,Z250)-1,"")</f>
        <v>10</v>
      </c>
      <c r="AB250" s="533">
        <f t="shared" si="62"/>
        <v>0</v>
      </c>
      <c r="AC250" s="533"/>
      <c r="AD250" s="533"/>
      <c r="AE250" s="533"/>
      <c r="AF250" s="533"/>
      <c r="AG250" s="533"/>
      <c r="AH250" s="533"/>
      <c r="AI250" s="533"/>
      <c r="AJ250" s="533"/>
      <c r="AK250" s="533"/>
      <c r="AL250" s="533"/>
      <c r="AM250" s="533"/>
      <c r="AN250" s="533"/>
      <c r="AO250" s="533"/>
      <c r="AP250" s="533"/>
      <c r="AQ250" s="533"/>
      <c r="AR250" s="533"/>
      <c r="AS250" s="533"/>
      <c r="AT250" s="533"/>
      <c r="AU250" s="533"/>
    </row>
    <row r="251" spans="1:47" ht="14.25" customHeight="1" x14ac:dyDescent="0.25">
      <c r="A251" s="72"/>
      <c r="B251" s="104" t="s">
        <v>18</v>
      </c>
      <c r="C251" s="695" t="s">
        <v>500</v>
      </c>
      <c r="D251" s="642"/>
      <c r="E251" s="711"/>
      <c r="F251" s="688" t="s">
        <v>501</v>
      </c>
      <c r="G251" s="26" t="s">
        <v>502</v>
      </c>
      <c r="H251" s="27">
        <f>VLOOKUP(C251,A!A$1:H$669,8,FALSE)</f>
        <v>1</v>
      </c>
      <c r="I251" s="27"/>
      <c r="J251" s="28">
        <f>IF(VLOOKUP(C251,A!A$1:H$669,4,FALSE)="y",1,0)</f>
        <v>1</v>
      </c>
      <c r="K251" s="28">
        <f>IF(VLOOKUP(C251,A!A$1:H$669,5,FALSE)="y",1,0)</f>
        <v>1</v>
      </c>
      <c r="L251" s="544" t="str">
        <f t="shared" si="56"/>
        <v>Low</v>
      </c>
      <c r="M251" s="80">
        <f>VLOOKUP(C251,A!A$1:H$669,6,FALSE)</f>
        <v>0</v>
      </c>
      <c r="N251" s="71" t="s">
        <v>31</v>
      </c>
      <c r="O251" s="533" t="str">
        <f>VLOOKUP(C251,A!A$1:G$669,2,FALSE)</f>
        <v>y</v>
      </c>
      <c r="P251" s="533" t="s">
        <v>467</v>
      </c>
      <c r="Q251" s="533" t="str">
        <f>IF(S251=0,"",COUNTIF(Q$12:Q250,"&gt;0")+1)</f>
        <v/>
      </c>
      <c r="R251" s="533" t="str">
        <f>IF(S251=0,"",COUNTIF(R$12:R250,"&gt;0")+1)</f>
        <v/>
      </c>
      <c r="S251" s="533">
        <f t="shared" si="59"/>
        <v>0</v>
      </c>
      <c r="T251" s="533">
        <f>VLOOKUP(C251,A!A$1:AH$669,31,FALSE)</f>
        <v>25</v>
      </c>
      <c r="U251" s="533">
        <v>0.16500000000000001</v>
      </c>
      <c r="V251" s="533">
        <v>31</v>
      </c>
      <c r="W251" s="533" t="str">
        <f t="shared" si="60"/>
        <v/>
      </c>
      <c r="X251" s="533">
        <f>IF(V251&lt;&gt;"",COUNTIF(V$46:V251,V251)-1,0)</f>
        <v>0</v>
      </c>
      <c r="Y251" s="533"/>
      <c r="Z251" s="533">
        <f>IFERROR(IF(AND(O251="y",IF(AND(A251&lt;&gt;"",A251=0),0,1)),H251*-100-A251*1000-T251,""),"")</f>
        <v>-125</v>
      </c>
      <c r="AA251" s="533">
        <f>IFERROR(RANK(Z251,Z$232:Z$252,0)+COUNTIF(Z$232:Z251,Z251)-1,"")</f>
        <v>5</v>
      </c>
      <c r="AB251" s="533">
        <f t="shared" si="62"/>
        <v>0</v>
      </c>
      <c r="AC251" s="533"/>
      <c r="AD251" s="533"/>
      <c r="AE251" s="533"/>
      <c r="AF251" s="533"/>
      <c r="AG251" s="533"/>
      <c r="AH251" s="533"/>
      <c r="AI251" s="533"/>
      <c r="AJ251" s="533"/>
      <c r="AK251" s="533"/>
      <c r="AL251" s="533"/>
      <c r="AM251" s="533"/>
      <c r="AN251" s="533"/>
      <c r="AO251" s="533"/>
      <c r="AP251" s="533"/>
      <c r="AQ251" s="533"/>
      <c r="AR251" s="533"/>
      <c r="AS251" s="533"/>
      <c r="AT251" s="533"/>
      <c r="AU251" s="533"/>
    </row>
    <row r="252" spans="1:47" ht="13.5" customHeight="1" thickBot="1" x14ac:dyDescent="0.3">
      <c r="A252" s="81"/>
      <c r="B252" s="591" t="s">
        <v>18</v>
      </c>
      <c r="C252" s="804" t="s">
        <v>503</v>
      </c>
      <c r="D252" s="646"/>
      <c r="E252" s="865"/>
      <c r="F252" s="761" t="s">
        <v>504</v>
      </c>
      <c r="G252" s="82" t="s">
        <v>505</v>
      </c>
      <c r="H252" s="27">
        <f>VLOOKUP(C252,A!A$1:H$669,8,FALSE)</f>
        <v>3</v>
      </c>
      <c r="I252" s="83"/>
      <c r="J252" s="28">
        <f>IF(VLOOKUP(C252,A!A$1:H$669,4,FALSE)="y",1,0)</f>
        <v>1</v>
      </c>
      <c r="K252" s="28">
        <f>IF(VLOOKUP(C252,A!A$1:H$669,5,FALSE)="y",1,0)</f>
        <v>1</v>
      </c>
      <c r="L252" s="544" t="str">
        <f t="shared" si="56"/>
        <v>Low</v>
      </c>
      <c r="M252" s="80">
        <f>VLOOKUP(C252,A!A$1:H$669,6,FALSE)</f>
        <v>0</v>
      </c>
      <c r="N252" s="84" t="s">
        <v>31</v>
      </c>
      <c r="O252" s="533" t="str">
        <f>VLOOKUP(C252,A!A$1:G$669,2,FALSE)</f>
        <v>y</v>
      </c>
      <c r="P252" s="533" t="s">
        <v>467</v>
      </c>
      <c r="Q252" s="533" t="str">
        <f>IF(S252=0,"",COUNTIF(Q$12:Q251,"&gt;0")+1)</f>
        <v/>
      </c>
      <c r="R252" s="533" t="str">
        <f>IF(S252=0,"",COUNTIF(R$12:R251,"&gt;0")+1)</f>
        <v/>
      </c>
      <c r="S252" s="533">
        <f>A252+Y252+AB252</f>
        <v>0</v>
      </c>
      <c r="T252" s="533">
        <f>VLOOKUP(C252,A!A$1:AH$669,31,FALSE)</f>
        <v>25</v>
      </c>
      <c r="U252" s="533">
        <v>0.16500000000000001</v>
      </c>
      <c r="V252" s="533">
        <v>32</v>
      </c>
      <c r="W252" s="533" t="str">
        <f t="shared" si="57"/>
        <v/>
      </c>
      <c r="X252" s="533">
        <f>IF(V252&lt;&gt;"",COUNTIF(V$46:V252,V252)-1,0)</f>
        <v>0</v>
      </c>
      <c r="Y252" s="533"/>
      <c r="Z252" s="533">
        <f>IFERROR(IF(AND(O252="y",IF(AND(A252&lt;&gt;"",A252=0),0,1)),H252*-100-A252*1000-T252,""),"")</f>
        <v>-325</v>
      </c>
      <c r="AA252" s="533">
        <f>IFERROR(RANK(Z252,Z$232:Z$252,0)+COUNTIF(Z$232:Z252,Z252)-1,"")</f>
        <v>11</v>
      </c>
      <c r="AB252" s="533">
        <f t="shared" si="62"/>
        <v>0</v>
      </c>
      <c r="AC252" s="533"/>
      <c r="AD252" s="533"/>
      <c r="AE252" s="533"/>
      <c r="AF252" s="533"/>
      <c r="AG252" s="533"/>
      <c r="AH252" s="533"/>
      <c r="AI252" s="533"/>
      <c r="AJ252" s="533"/>
      <c r="AK252" s="533"/>
      <c r="AL252" s="533"/>
      <c r="AM252" s="533"/>
      <c r="AN252" s="533"/>
      <c r="AO252" s="533"/>
      <c r="AP252" s="533"/>
      <c r="AQ252" s="533"/>
      <c r="AR252" s="533"/>
      <c r="AS252" s="533"/>
      <c r="AT252" s="533"/>
      <c r="AU252" s="533"/>
    </row>
    <row r="253" spans="1:47" ht="12.95" customHeight="1" x14ac:dyDescent="0.25">
      <c r="A253" s="77">
        <f>SUM(A231:A252)</f>
        <v>0</v>
      </c>
      <c r="B253" s="592" t="s">
        <v>18</v>
      </c>
      <c r="C253" s="85" t="s">
        <v>506</v>
      </c>
      <c r="D253" s="647"/>
      <c r="E253" s="866"/>
      <c r="F253" s="86"/>
      <c r="G253" s="86"/>
      <c r="H253" s="86"/>
      <c r="I253" s="86"/>
      <c r="J253" s="86"/>
      <c r="K253" s="86"/>
      <c r="L253" s="87"/>
      <c r="M253" s="86"/>
      <c r="N253" s="88"/>
      <c r="O253" s="1069"/>
      <c r="P253" s="533" t="s">
        <v>467</v>
      </c>
      <c r="Q253" s="533" t="str">
        <f>IF(S253=0,"",COUNTIF(Q$12:Q252,"&gt;0")+1)</f>
        <v/>
      </c>
      <c r="R253" s="533"/>
      <c r="S253" s="533">
        <f>SUM(S232:S252)</f>
        <v>0</v>
      </c>
      <c r="T253" s="533"/>
      <c r="U253" s="533"/>
      <c r="V253" s="533"/>
      <c r="W253" s="533" t="str">
        <f t="shared" si="57"/>
        <v/>
      </c>
      <c r="X253" s="533">
        <f>IF(V253&lt;&gt;"",COUNTIF(V$46:V253,V253)-1,0)</f>
        <v>0</v>
      </c>
      <c r="Y253" s="533"/>
      <c r="Z253" s="533"/>
      <c r="AA253" s="533"/>
      <c r="AB253" s="533"/>
      <c r="AC253" s="533"/>
      <c r="AD253" s="533"/>
      <c r="AE253" s="533"/>
      <c r="AF253" s="533"/>
      <c r="AG253" s="533"/>
      <c r="AH253" s="533"/>
      <c r="AI253" s="533"/>
      <c r="AJ253" s="533"/>
      <c r="AK253" s="533"/>
      <c r="AL253" s="533"/>
      <c r="AM253" s="533"/>
      <c r="AN253" s="533"/>
      <c r="AO253" s="533"/>
      <c r="AP253" s="533"/>
      <c r="AQ253" s="533"/>
      <c r="AR253" s="533"/>
      <c r="AS253" s="533"/>
      <c r="AT253" s="533"/>
      <c r="AU253" s="533"/>
    </row>
    <row r="254" spans="1:47" ht="12" customHeight="1" thickBot="1" x14ac:dyDescent="0.3">
      <c r="A254" s="2"/>
      <c r="L254" s="3"/>
      <c r="M254" s="2"/>
      <c r="P254" s="533"/>
      <c r="Q254" s="533" t="str">
        <f>IF(S254=0,"",COUNTIF(Q$12:Q253,"&gt;0")+1)</f>
        <v/>
      </c>
      <c r="R254" s="533" t="str">
        <f>IF(S254=0,"",COUNTIF(R$12:R253,"&gt;0")+1)</f>
        <v/>
      </c>
      <c r="S254" s="533"/>
      <c r="T254" s="533"/>
      <c r="U254" s="533"/>
      <c r="V254" s="533"/>
      <c r="W254" s="533" t="str">
        <f t="shared" si="57"/>
        <v/>
      </c>
      <c r="X254" s="533">
        <f>IF(V254&lt;&gt;"",COUNTIF(V$46:V254,V254)-1,0)</f>
        <v>0</v>
      </c>
      <c r="Y254" s="533"/>
      <c r="Z254" s="533"/>
      <c r="AA254" s="533"/>
      <c r="AB254" s="533"/>
      <c r="AC254" s="533"/>
      <c r="AD254" s="533"/>
      <c r="AE254" s="533"/>
      <c r="AF254" s="533"/>
      <c r="AG254" s="533"/>
      <c r="AH254" s="533"/>
      <c r="AI254" s="533"/>
      <c r="AJ254" s="533"/>
      <c r="AK254" s="533"/>
      <c r="AL254" s="533"/>
      <c r="AM254" s="533"/>
      <c r="AN254" s="533"/>
      <c r="AO254" s="533"/>
      <c r="AP254" s="533"/>
      <c r="AQ254" s="533"/>
      <c r="AR254" s="533"/>
      <c r="AS254" s="533"/>
      <c r="AT254" s="533"/>
      <c r="AU254" s="533"/>
    </row>
    <row r="255" spans="1:47" ht="11.25" customHeight="1" x14ac:dyDescent="0.25">
      <c r="A255" s="1159" t="s">
        <v>11</v>
      </c>
      <c r="B255" s="1160"/>
      <c r="C255" s="1142" t="s">
        <v>1294</v>
      </c>
      <c r="D255" s="1143"/>
      <c r="E255" s="1143"/>
      <c r="F255" s="1143"/>
      <c r="G255" s="1140" t="s">
        <v>507</v>
      </c>
      <c r="H255" s="61" t="s">
        <v>508</v>
      </c>
      <c r="I255" s="61"/>
      <c r="J255" s="61"/>
      <c r="K255" s="61"/>
      <c r="L255" s="61"/>
      <c r="M255" s="61"/>
      <c r="N255" s="62"/>
      <c r="P255" s="533"/>
      <c r="Q255" s="533" t="str">
        <f>IF(S255=0,"",COUNTIF(Q$12:Q254,"&gt;0")+1)</f>
        <v/>
      </c>
      <c r="R255" s="533" t="str">
        <f>IF(S255=0,"",COUNTIF(R$12:R254,"&gt;0")+1)</f>
        <v/>
      </c>
      <c r="S255" s="533"/>
      <c r="T255" s="533"/>
      <c r="U255" s="533"/>
      <c r="V255" s="533"/>
      <c r="W255" s="533" t="str">
        <f t="shared" si="57"/>
        <v/>
      </c>
      <c r="X255" s="533">
        <f>IF(V255&lt;&gt;"",COUNTIF(V$46:V255,V255)-1,0)</f>
        <v>0</v>
      </c>
      <c r="Y255" s="533"/>
      <c r="Z255" s="533"/>
      <c r="AA255" s="533"/>
      <c r="AB255" s="533">
        <f>ROUNDDOWN(AB257/COUNTIF(O259:O274,"y"),0)</f>
        <v>0</v>
      </c>
      <c r="AC255" s="533"/>
      <c r="AD255" s="533"/>
      <c r="AE255" s="533"/>
      <c r="AF255" s="533"/>
      <c r="AG255" s="533"/>
      <c r="AH255" s="533"/>
      <c r="AI255" s="533"/>
      <c r="AJ255" s="533"/>
      <c r="AK255" s="533"/>
      <c r="AL255" s="533"/>
      <c r="AM255" s="533"/>
      <c r="AN255" s="533"/>
      <c r="AO255" s="533"/>
      <c r="AP255" s="533"/>
      <c r="AQ255" s="533"/>
      <c r="AR255" s="533"/>
      <c r="AS255" s="533"/>
      <c r="AT255" s="533"/>
      <c r="AU255" s="533"/>
    </row>
    <row r="256" spans="1:47" ht="11.25" customHeight="1" thickBot="1" x14ac:dyDescent="0.3">
      <c r="A256" s="1174" t="s">
        <v>509</v>
      </c>
      <c r="B256" s="1175"/>
      <c r="C256" s="1144"/>
      <c r="D256" s="1145"/>
      <c r="E256" s="1145"/>
      <c r="F256" s="1145"/>
      <c r="G256" s="1141"/>
      <c r="H256" s="63" t="s">
        <v>15</v>
      </c>
      <c r="I256" s="64"/>
      <c r="J256" s="64"/>
      <c r="K256" s="64"/>
      <c r="L256" s="551" t="s">
        <v>1</v>
      </c>
      <c r="M256" s="64"/>
      <c r="N256" s="84" t="s">
        <v>16</v>
      </c>
      <c r="O256" s="1068"/>
      <c r="P256" s="533"/>
      <c r="Q256" s="533" t="str">
        <f>IF(S256=0,"",COUNTIF(Q$12:Q255,"&gt;0")+1)</f>
        <v/>
      </c>
      <c r="R256" s="533" t="str">
        <f>IF(S256=0,"",COUNTIF(R$12:R255,"&gt;0")+1)</f>
        <v/>
      </c>
      <c r="S256" s="533"/>
      <c r="T256" s="533"/>
      <c r="U256" s="533"/>
      <c r="V256" s="533"/>
      <c r="W256" s="533" t="str">
        <f t="shared" si="57"/>
        <v/>
      </c>
      <c r="X256" s="533">
        <f>IF(V256&lt;&gt;"",COUNTIF(V$46:V256,V256)-1,0)</f>
        <v>0</v>
      </c>
      <c r="Y256" s="533"/>
      <c r="Z256" s="533"/>
      <c r="AA256" s="533"/>
      <c r="AB256" s="533">
        <f>AB257-COUNTIF(O259:O274,"y")*AB255</f>
        <v>0</v>
      </c>
      <c r="AC256" s="533"/>
      <c r="AD256" s="533"/>
      <c r="AE256" s="533"/>
      <c r="AF256" s="533"/>
      <c r="AG256" s="533"/>
      <c r="AH256" s="533"/>
      <c r="AI256" s="533"/>
      <c r="AJ256" s="533"/>
      <c r="AK256" s="533"/>
      <c r="AL256" s="533"/>
      <c r="AM256" s="533"/>
      <c r="AN256" s="533"/>
      <c r="AO256" s="533"/>
      <c r="AP256" s="533"/>
      <c r="AQ256" s="533"/>
      <c r="AR256" s="533"/>
      <c r="AS256" s="533"/>
      <c r="AT256" s="533"/>
      <c r="AU256" s="533"/>
    </row>
    <row r="257" spans="1:47" ht="13.5" customHeight="1" x14ac:dyDescent="0.25">
      <c r="A257" s="89"/>
      <c r="B257" s="209" t="s">
        <v>510</v>
      </c>
      <c r="C257" s="702" t="s">
        <v>466</v>
      </c>
      <c r="D257" s="648"/>
      <c r="E257" s="867"/>
      <c r="F257" s="691" t="s">
        <v>20</v>
      </c>
      <c r="G257" s="93" t="s">
        <v>26</v>
      </c>
      <c r="H257" s="27">
        <f>VLOOKUP(C257,A!A$1:O$669,15,FALSE)</f>
        <v>1</v>
      </c>
      <c r="J257" s="28">
        <f>IF(VLOOKUP(C257,A!A$1:O$669,11,FALSE)="y",1,0)</f>
        <v>1</v>
      </c>
      <c r="K257" s="28">
        <f>IF(VLOOKUP(C257,A!A$1:O$669,12,FALSE)="y",1,0)</f>
        <v>0</v>
      </c>
      <c r="L257" s="546" t="str">
        <f>IF(VLOOKUP(C257,A!A$1:O$669,10,FALSE)="y","NEW","")</f>
        <v/>
      </c>
      <c r="M257" s="482">
        <f>VLOOKUP(C257,A!A$1:O$669,13,FALSE)</f>
        <v>0</v>
      </c>
      <c r="N257" s="94" t="s">
        <v>31</v>
      </c>
      <c r="O257" s="533" t="str">
        <f>VLOOKUP(C257,A!A$1:O$669,9,FALSE)</f>
        <v>y</v>
      </c>
      <c r="P257" s="533" t="s">
        <v>1250</v>
      </c>
      <c r="Q257" s="533"/>
      <c r="R257" s="533"/>
      <c r="S257" s="533">
        <f>A257</f>
        <v>0</v>
      </c>
      <c r="T257" s="533">
        <f>VLOOKUP(C257,A!A$1:AH$669,32,FALSE)</f>
        <v>30</v>
      </c>
      <c r="U257" s="533">
        <v>0.11</v>
      </c>
      <c r="V257" s="533"/>
      <c r="W257" s="533"/>
      <c r="X257" s="533">
        <f>IF(V257&lt;&gt;"",COUNTIF(V$46:V257,V257)-1,0)</f>
        <v>0</v>
      </c>
      <c r="Y257" s="533"/>
      <c r="Z257" s="533"/>
      <c r="AA257" s="533"/>
      <c r="AB257" s="533">
        <f>S257</f>
        <v>0</v>
      </c>
      <c r="AC257" s="533"/>
      <c r="AD257" s="533"/>
      <c r="AE257" s="533"/>
      <c r="AF257" s="533"/>
      <c r="AG257" s="533"/>
      <c r="AH257" s="533"/>
      <c r="AI257" s="533"/>
      <c r="AJ257" s="533"/>
      <c r="AK257" s="533"/>
      <c r="AL257" s="533"/>
      <c r="AM257" s="533"/>
      <c r="AN257" s="533"/>
      <c r="AO257" s="533"/>
      <c r="AP257" s="533"/>
      <c r="AQ257" s="533"/>
      <c r="AR257" s="533"/>
      <c r="AS257" s="533"/>
      <c r="AT257" s="533"/>
      <c r="AU257" s="533"/>
    </row>
    <row r="258" spans="1:47" ht="13.5" hidden="1" customHeight="1" x14ac:dyDescent="0.25">
      <c r="A258" s="89"/>
      <c r="B258" s="209" t="s">
        <v>510</v>
      </c>
      <c r="C258" s="699" t="s">
        <v>1077</v>
      </c>
      <c r="D258" s="793"/>
      <c r="E258" s="868"/>
      <c r="F258" s="691" t="s">
        <v>1078</v>
      </c>
      <c r="G258" s="93" t="s">
        <v>982</v>
      </c>
      <c r="H258" s="27">
        <f>VLOOKUP(C258,A!A$1:O$669,15,FALSE)</f>
        <v>2</v>
      </c>
      <c r="I258" s="2" t="s">
        <v>30</v>
      </c>
      <c r="J258" s="28">
        <v>1</v>
      </c>
      <c r="K258" s="28">
        <v>0</v>
      </c>
      <c r="L258" s="546" t="s">
        <v>1781</v>
      </c>
      <c r="M258" s="767">
        <v>0</v>
      </c>
      <c r="N258" s="94" t="s">
        <v>31</v>
      </c>
      <c r="O258" s="533">
        <f>VLOOKUP(C258,A!A$1:O$669,9,FALSE)</f>
        <v>0</v>
      </c>
      <c r="P258" s="533" t="s">
        <v>1250</v>
      </c>
      <c r="Q258" s="533" t="str">
        <f>IF(S258=0,"",COUNTIF(Q$12:Q257,"&gt;0")+1)</f>
        <v/>
      </c>
      <c r="R258" s="533" t="str">
        <f>IF(S258=0,"",COUNTIF(R$12:R257,"&gt;0")+1)</f>
        <v/>
      </c>
      <c r="S258" s="533">
        <f>A258</f>
        <v>0</v>
      </c>
      <c r="T258" s="533">
        <f>VLOOKUP(C258,A!A$1:AH$669,32,FALSE)</f>
        <v>30</v>
      </c>
      <c r="U258" s="533">
        <v>1.1100000000000001</v>
      </c>
      <c r="V258" s="533"/>
      <c r="W258" s="533"/>
      <c r="X258" s="533">
        <f>IF(V258&lt;&gt;"",COUNTIF(V$46:V258,V258)-1,0)</f>
        <v>0</v>
      </c>
      <c r="Y258" s="533"/>
      <c r="Z258" s="533"/>
      <c r="AA258" s="533"/>
      <c r="AB258" s="533">
        <f>S258</f>
        <v>0</v>
      </c>
      <c r="AC258" s="533"/>
      <c r="AD258" s="533"/>
      <c r="AE258" s="533"/>
      <c r="AF258" s="533"/>
      <c r="AG258" s="533"/>
      <c r="AH258" s="533"/>
      <c r="AI258" s="533"/>
      <c r="AJ258" s="533"/>
      <c r="AK258" s="533"/>
      <c r="AL258" s="533"/>
      <c r="AM258" s="533"/>
      <c r="AN258" s="533"/>
      <c r="AO258" s="533"/>
      <c r="AP258" s="533"/>
      <c r="AQ258" s="533"/>
      <c r="AR258" s="533"/>
      <c r="AS258" s="533"/>
      <c r="AT258" s="533"/>
      <c r="AU258" s="533"/>
    </row>
    <row r="259" spans="1:47" ht="11.25" hidden="1" customHeight="1" x14ac:dyDescent="0.25">
      <c r="A259" s="72"/>
      <c r="B259" s="104" t="s">
        <v>510</v>
      </c>
      <c r="C259" s="695" t="s">
        <v>469</v>
      </c>
      <c r="D259" s="727"/>
      <c r="E259" s="869"/>
      <c r="F259" s="688" t="s">
        <v>470</v>
      </c>
      <c r="G259" s="26" t="s">
        <v>471</v>
      </c>
      <c r="H259" s="27">
        <f>VLOOKUP(C259,A!A$1:O$669,15,FALSE)</f>
        <v>2</v>
      </c>
      <c r="I259" s="27" t="s">
        <v>30</v>
      </c>
      <c r="J259" s="28">
        <f>IF(VLOOKUP(C259,A!A$1:O$669,11,FALSE)="y",1,0)</f>
        <v>0</v>
      </c>
      <c r="K259" s="28">
        <f>IF(VLOOKUP(C259,A!A$1:O$669,12,FALSE)="y",1,0)</f>
        <v>0</v>
      </c>
      <c r="L259" s="483" t="str">
        <f>IF(VLOOKUP(C259,A!A$1:O$669,10,FALSE)="y","NEW","")</f>
        <v/>
      </c>
      <c r="M259" s="367">
        <f>VLOOKUP(C259,A!A$1:O$669,13,FALSE)</f>
        <v>0</v>
      </c>
      <c r="N259" s="71" t="s">
        <v>31</v>
      </c>
      <c r="O259" s="533">
        <f>VLOOKUP(C259,A!A$1:O$669,9,FALSE)</f>
        <v>0</v>
      </c>
      <c r="P259" s="533" t="s">
        <v>1250</v>
      </c>
      <c r="Q259" s="533" t="str">
        <f>IF(S259=0,"",COUNTIF(Q$12:Q258,"&gt;0")+1)</f>
        <v/>
      </c>
      <c r="R259" s="533" t="str">
        <f>IF(S259=0,"",COUNTIF(R$12:R258,"&gt;0")+1)</f>
        <v/>
      </c>
      <c r="S259" s="533">
        <f t="shared" ref="S259:S274" si="63">A259+Y259+AB259</f>
        <v>0</v>
      </c>
      <c r="T259" s="533">
        <f>VLOOKUP(C259,A!A$1:AH$669,32,FALSE)</f>
        <v>30</v>
      </c>
      <c r="U259" s="533">
        <v>0.11</v>
      </c>
      <c r="V259" s="533"/>
      <c r="W259" s="533" t="str">
        <f t="shared" ref="W259:W278" si="64">IF(AND(V259&lt;&gt;"",O259=0),"Check",IF(AND(V259=0,O259="Y"),"Check",""))</f>
        <v/>
      </c>
      <c r="X259" s="533">
        <f>IF(V259&lt;&gt;"",COUNTIF(V$46:V259,V259)-1,0)</f>
        <v>0</v>
      </c>
      <c r="Y259" s="533"/>
      <c r="Z259" s="533" t="str">
        <f t="shared" ref="Z259:Z266" si="65">IFERROR(IF(O259="y",H259*-100-A259*1000-T259,""),"")</f>
        <v/>
      </c>
      <c r="AA259" s="533" t="str">
        <f t="shared" ref="AA259:AA274" si="66">IFERROR(RANK(Z259,Z$259:Z$274,0)+COUNTIF(Z$259:Z$274,Z259)-1,"")</f>
        <v/>
      </c>
      <c r="AB259" s="533">
        <f t="shared" ref="AB259:AB274" si="67">IF(AA259&lt;=AB$256,1,0)+IF(O259="y",AB$255,0)</f>
        <v>0</v>
      </c>
      <c r="AC259" s="533"/>
      <c r="AD259" s="533"/>
      <c r="AE259" s="533"/>
      <c r="AF259" s="533"/>
      <c r="AG259" s="533"/>
      <c r="AH259" s="533"/>
      <c r="AI259" s="533"/>
      <c r="AJ259" s="533"/>
      <c r="AK259" s="533"/>
      <c r="AL259" s="533"/>
      <c r="AM259" s="533"/>
      <c r="AN259" s="533"/>
      <c r="AO259" s="533"/>
      <c r="AP259" s="533"/>
      <c r="AQ259" s="533"/>
      <c r="AR259" s="533"/>
      <c r="AS259" s="533"/>
      <c r="AT259" s="533"/>
      <c r="AU259" s="533"/>
    </row>
    <row r="260" spans="1:47" ht="13.5" hidden="1" customHeight="1" x14ac:dyDescent="0.25">
      <c r="A260" s="72"/>
      <c r="B260" s="104" t="s">
        <v>510</v>
      </c>
      <c r="C260" s="695" t="s">
        <v>472</v>
      </c>
      <c r="D260" s="727"/>
      <c r="E260" s="828"/>
      <c r="F260" s="688" t="s">
        <v>473</v>
      </c>
      <c r="G260" s="26" t="s">
        <v>474</v>
      </c>
      <c r="H260" s="27">
        <f>VLOOKUP(C260,A!A$1:O$669,15,FALSE)</f>
        <v>2</v>
      </c>
      <c r="I260" s="27" t="s">
        <v>30</v>
      </c>
      <c r="J260" s="28">
        <f>IF(VLOOKUP(C260,A!A$1:O$669,11,FALSE)="y",1,0)</f>
        <v>0</v>
      </c>
      <c r="K260" s="28">
        <f>IF(VLOOKUP(C260,A!A$1:O$669,12,FALSE)="y",1,0)</f>
        <v>0</v>
      </c>
      <c r="L260" s="544" t="str">
        <f t="shared" ref="L260:L273" si="68">IF(T260&lt;35,"Low",IF(T260&gt;40,"High","Med"))</f>
        <v>Low</v>
      </c>
      <c r="M260" s="367">
        <f>VLOOKUP(C260,A!A$1:O$669,13,FALSE)</f>
        <v>0</v>
      </c>
      <c r="N260" s="71" t="s">
        <v>31</v>
      </c>
      <c r="O260" s="533">
        <f>VLOOKUP(C260,A!A$1:O$669,9,FALSE)</f>
        <v>0</v>
      </c>
      <c r="P260" s="533" t="s">
        <v>1250</v>
      </c>
      <c r="Q260" s="533" t="str">
        <f>IF(S260=0,"",COUNTIF(Q$12:Q259,"&gt;0")+1)</f>
        <v/>
      </c>
      <c r="R260" s="533" t="str">
        <f>IF(S260=0,"",COUNTIF(R$12:R259,"&gt;0")+1)</f>
        <v/>
      </c>
      <c r="S260" s="533">
        <f t="shared" si="63"/>
        <v>0</v>
      </c>
      <c r="T260" s="533">
        <f>VLOOKUP(C260,A!A$1:AH$669,32,FALSE)</f>
        <v>30</v>
      </c>
      <c r="U260" s="533">
        <v>0.11</v>
      </c>
      <c r="V260" s="533"/>
      <c r="W260" s="533" t="str">
        <f t="shared" si="64"/>
        <v/>
      </c>
      <c r="X260" s="533">
        <f>IF(V260&lt;&gt;"",COUNTIF(V$46:V260,V260)-1,0)</f>
        <v>0</v>
      </c>
      <c r="Y260" s="533"/>
      <c r="Z260" s="533" t="str">
        <f t="shared" si="65"/>
        <v/>
      </c>
      <c r="AA260" s="533" t="str">
        <f t="shared" si="66"/>
        <v/>
      </c>
      <c r="AB260" s="533">
        <f t="shared" si="67"/>
        <v>0</v>
      </c>
      <c r="AC260" s="533"/>
      <c r="AD260" s="533"/>
      <c r="AE260" s="533"/>
      <c r="AF260" s="533"/>
      <c r="AG260" s="533"/>
      <c r="AH260" s="533"/>
      <c r="AI260" s="533"/>
      <c r="AJ260" s="533"/>
      <c r="AK260" s="533"/>
      <c r="AL260" s="533"/>
      <c r="AM260" s="533"/>
      <c r="AN260" s="533"/>
      <c r="AO260" s="533"/>
      <c r="AP260" s="533"/>
      <c r="AQ260" s="533"/>
      <c r="AR260" s="533"/>
      <c r="AS260" s="533"/>
      <c r="AT260" s="533"/>
      <c r="AU260" s="533"/>
    </row>
    <row r="261" spans="1:47" ht="13.5" customHeight="1" x14ac:dyDescent="0.25">
      <c r="A261" s="72"/>
      <c r="B261" s="104" t="s">
        <v>510</v>
      </c>
      <c r="C261" s="695" t="s">
        <v>475</v>
      </c>
      <c r="D261" s="728"/>
      <c r="E261" s="711"/>
      <c r="F261" s="688" t="s">
        <v>476</v>
      </c>
      <c r="G261" s="26" t="s">
        <v>477</v>
      </c>
      <c r="H261" s="27">
        <f>VLOOKUP(C261,A!A$1:O$669,15,FALSE)</f>
        <v>1</v>
      </c>
      <c r="I261" s="27" t="s">
        <v>30</v>
      </c>
      <c r="J261" s="28">
        <f>IF(VLOOKUP(C261,A!A$1:O$669,11,FALSE)="y",1,0)</f>
        <v>1</v>
      </c>
      <c r="K261" s="28">
        <f>IF(VLOOKUP(C261,A!A$1:O$669,12,FALSE)="y",1,0)</f>
        <v>0</v>
      </c>
      <c r="L261" s="544" t="str">
        <f t="shared" si="68"/>
        <v>Low</v>
      </c>
      <c r="M261" s="367">
        <f>VLOOKUP(C261,A!A$1:O$669,13,FALSE)</f>
        <v>0</v>
      </c>
      <c r="N261" s="71" t="s">
        <v>31</v>
      </c>
      <c r="O261" s="533" t="str">
        <f>VLOOKUP(C261,A!A$1:O$669,9,FALSE)</f>
        <v>y</v>
      </c>
      <c r="P261" s="533" t="s">
        <v>1250</v>
      </c>
      <c r="Q261" s="533" t="str">
        <f>IF(S261=0,"",COUNTIF(Q$12:Q260,"&gt;0")+1)</f>
        <v/>
      </c>
      <c r="R261" s="533" t="str">
        <f>IF(S261=0,"",COUNTIF(R$12:R260,"&gt;0")+1)</f>
        <v/>
      </c>
      <c r="S261" s="533">
        <f t="shared" si="63"/>
        <v>0</v>
      </c>
      <c r="T261" s="533">
        <f>VLOOKUP(C261,A!A$1:AH$669,32,FALSE)</f>
        <v>30</v>
      </c>
      <c r="U261" s="533">
        <v>0.11</v>
      </c>
      <c r="V261" s="533">
        <v>37</v>
      </c>
      <c r="W261" s="533" t="str">
        <f t="shared" si="64"/>
        <v/>
      </c>
      <c r="X261" s="533">
        <f>IF(V261&lt;&gt;"",COUNTIF(V$46:V261,V261)-1,0)</f>
        <v>0</v>
      </c>
      <c r="Y261" s="533"/>
      <c r="Z261" s="533">
        <f t="shared" si="65"/>
        <v>-130</v>
      </c>
      <c r="AA261" s="533">
        <f t="shared" si="66"/>
        <v>3</v>
      </c>
      <c r="AB261" s="533">
        <f>IF(AA261&lt;=AB$256,1,0)+IF(O261="y",AB$255,0)</f>
        <v>0</v>
      </c>
      <c r="AC261" s="533"/>
      <c r="AD261" s="533"/>
      <c r="AE261" s="533"/>
      <c r="AF261" s="533"/>
      <c r="AG261" s="533"/>
      <c r="AH261" s="533"/>
      <c r="AI261" s="533"/>
      <c r="AJ261" s="533"/>
      <c r="AK261" s="533"/>
      <c r="AL261" s="533"/>
      <c r="AM261" s="533"/>
      <c r="AN261" s="533"/>
      <c r="AO261" s="533"/>
      <c r="AP261" s="533"/>
      <c r="AQ261" s="533"/>
      <c r="AR261" s="533"/>
      <c r="AS261" s="533"/>
      <c r="AT261" s="533"/>
      <c r="AU261" s="533"/>
    </row>
    <row r="262" spans="1:47" ht="12" hidden="1" customHeight="1" x14ac:dyDescent="0.25">
      <c r="A262" s="72"/>
      <c r="B262" s="104" t="s">
        <v>510</v>
      </c>
      <c r="C262" s="695" t="s">
        <v>478</v>
      </c>
      <c r="D262" s="727"/>
      <c r="E262" s="828"/>
      <c r="F262" s="688" t="s">
        <v>463</v>
      </c>
      <c r="G262" s="26" t="s">
        <v>479</v>
      </c>
      <c r="H262" s="27">
        <f>VLOOKUP(C262,A!A$1:O$669,15,FALSE)</f>
        <v>1</v>
      </c>
      <c r="I262" s="27" t="s">
        <v>30</v>
      </c>
      <c r="J262" s="28">
        <f>IF(VLOOKUP(C262,A!A$1:O$669,11,FALSE)="y",1,0)</f>
        <v>0</v>
      </c>
      <c r="K262" s="28">
        <f>IF(VLOOKUP(C262,A!A$1:O$669,12,FALSE)="y",1,0)</f>
        <v>0</v>
      </c>
      <c r="L262" s="544" t="str">
        <f t="shared" si="68"/>
        <v>Low</v>
      </c>
      <c r="M262" s="367">
        <f>VLOOKUP(C262,A!A$1:O$669,13,FALSE)</f>
        <v>0</v>
      </c>
      <c r="N262" s="71" t="s">
        <v>31</v>
      </c>
      <c r="O262" s="533">
        <f>VLOOKUP(C262,A!A$1:O$669,9,FALSE)</f>
        <v>0</v>
      </c>
      <c r="P262" s="533" t="s">
        <v>1250</v>
      </c>
      <c r="Q262" s="533" t="str">
        <f>IF(S262=0,"",COUNTIF(Q$12:Q261,"&gt;0")+1)</f>
        <v/>
      </c>
      <c r="R262" s="533" t="str">
        <f>IF(S262=0,"",COUNTIF(R$12:R261,"&gt;0")+1)</f>
        <v/>
      </c>
      <c r="S262" s="533">
        <f t="shared" si="63"/>
        <v>0</v>
      </c>
      <c r="T262" s="533">
        <f>VLOOKUP(C262,A!A$1:AH$669,32,FALSE)</f>
        <v>30</v>
      </c>
      <c r="U262" s="533">
        <v>0.11</v>
      </c>
      <c r="V262" s="533"/>
      <c r="W262" s="533" t="str">
        <f t="shared" si="64"/>
        <v/>
      </c>
      <c r="X262" s="533">
        <f>IF(V262&lt;&gt;"",COUNTIF(V$46:V262,V262)-1,0)</f>
        <v>0</v>
      </c>
      <c r="Y262" s="533"/>
      <c r="Z262" s="533" t="str">
        <f t="shared" si="65"/>
        <v/>
      </c>
      <c r="AA262" s="533" t="str">
        <f t="shared" si="66"/>
        <v/>
      </c>
      <c r="AB262" s="533">
        <f t="shared" si="67"/>
        <v>0</v>
      </c>
      <c r="AC262" s="533"/>
      <c r="AD262" s="533"/>
      <c r="AE262" s="533"/>
      <c r="AF262" s="533"/>
      <c r="AG262" s="533"/>
      <c r="AH262" s="533"/>
      <c r="AI262" s="533"/>
      <c r="AJ262" s="533"/>
      <c r="AK262" s="533"/>
      <c r="AL262" s="533"/>
      <c r="AM262" s="533"/>
      <c r="AN262" s="533"/>
      <c r="AO262" s="533"/>
      <c r="AP262" s="533"/>
      <c r="AQ262" s="533"/>
      <c r="AR262" s="533"/>
      <c r="AS262" s="533"/>
      <c r="AT262" s="533"/>
      <c r="AU262" s="533"/>
    </row>
    <row r="263" spans="1:47" ht="13.5" hidden="1" customHeight="1" x14ac:dyDescent="0.25">
      <c r="A263" s="72"/>
      <c r="B263" s="104" t="s">
        <v>510</v>
      </c>
      <c r="C263" s="695" t="s">
        <v>1255</v>
      </c>
      <c r="D263" s="727"/>
      <c r="E263" s="711"/>
      <c r="F263" s="688" t="s">
        <v>1245</v>
      </c>
      <c r="G263" s="26" t="s">
        <v>1246</v>
      </c>
      <c r="H263" s="27">
        <v>2</v>
      </c>
      <c r="I263" s="27"/>
      <c r="J263" s="28">
        <f>IF(VLOOKUP(C263,A!A$1:O$669,11,FALSE)="y",1,0)</f>
        <v>0</v>
      </c>
      <c r="K263" s="28"/>
      <c r="L263" s="544" t="str">
        <f t="shared" si="68"/>
        <v>Low</v>
      </c>
      <c r="M263" s="80"/>
      <c r="N263" s="71" t="s">
        <v>31</v>
      </c>
      <c r="O263" s="533">
        <f>VLOOKUP(C263,A!A$1:O$669,9,FALSE)</f>
        <v>0</v>
      </c>
      <c r="P263" s="533" t="s">
        <v>1250</v>
      </c>
      <c r="Q263" s="533" t="str">
        <f>IF(S263=0,"",COUNTIF(Q$12:Q262,"&gt;0")+1)</f>
        <v/>
      </c>
      <c r="R263" s="533" t="str">
        <f>IF(S263=0,"",COUNTIF(R$12:R262,"&gt;0")+1)</f>
        <v/>
      </c>
      <c r="S263" s="533">
        <f>A263+Y263+AB263</f>
        <v>0</v>
      </c>
      <c r="T263" s="533">
        <f>VLOOKUP(C263,A!A$1:AH$669,32,FALSE)</f>
        <v>30</v>
      </c>
      <c r="U263" s="533">
        <v>0.11</v>
      </c>
      <c r="V263" s="533"/>
      <c r="W263" s="533" t="str">
        <f>IF(AND(V263&lt;&gt;"",O263=0),"Check",IF(AND(V263=0,O263="Y"),"Check",""))</f>
        <v/>
      </c>
      <c r="X263" s="533">
        <f>IF(V263&lt;&gt;"",COUNTIF(V$46:V263,V263)-1,0)</f>
        <v>0</v>
      </c>
      <c r="Y263" s="533"/>
      <c r="Z263" s="533" t="str">
        <f>IFERROR(IF(O263="y",H263*-100-A263*1000-T263,""),"")</f>
        <v/>
      </c>
      <c r="AA263" s="533" t="str">
        <f t="shared" si="66"/>
        <v/>
      </c>
      <c r="AB263" s="533">
        <f>IF(AA263&lt;=AB$256,1,0)+IF(O263="y",AB$255,0)</f>
        <v>0</v>
      </c>
      <c r="AC263" s="533"/>
      <c r="AD263" s="533"/>
      <c r="AE263" s="533"/>
      <c r="AF263" s="533"/>
      <c r="AG263" s="533"/>
      <c r="AH263" s="533"/>
      <c r="AI263" s="533"/>
      <c r="AJ263" s="533"/>
      <c r="AK263" s="533"/>
      <c r="AL263" s="533"/>
      <c r="AM263" s="533"/>
      <c r="AN263" s="533"/>
      <c r="AO263" s="533"/>
      <c r="AP263" s="533"/>
      <c r="AQ263" s="533"/>
      <c r="AR263" s="533"/>
      <c r="AS263" s="533"/>
      <c r="AT263" s="533"/>
      <c r="AU263" s="533"/>
    </row>
    <row r="264" spans="1:47" ht="11.25" hidden="1" customHeight="1" x14ac:dyDescent="0.25">
      <c r="A264" s="72"/>
      <c r="B264" s="104" t="s">
        <v>510</v>
      </c>
      <c r="C264" s="695" t="s">
        <v>480</v>
      </c>
      <c r="D264" s="727"/>
      <c r="E264" s="899"/>
      <c r="F264" s="688" t="s">
        <v>481</v>
      </c>
      <c r="G264" s="26" t="s">
        <v>482</v>
      </c>
      <c r="H264" s="27">
        <f>VLOOKUP(C264,A!A$1:O$669,15,FALSE)</f>
        <v>2</v>
      </c>
      <c r="I264" s="27"/>
      <c r="J264" s="28">
        <f>IF(VLOOKUP(C264,A!A$1:O$669,11,FALSE)="y",1,0)</f>
        <v>0</v>
      </c>
      <c r="K264" s="28">
        <f>IF(VLOOKUP(C264,A!A$1:O$669,12,FALSE)="y",1,0)</f>
        <v>0</v>
      </c>
      <c r="L264" s="544" t="str">
        <f t="shared" si="68"/>
        <v>Low</v>
      </c>
      <c r="M264" s="367">
        <f>VLOOKUP(C264,A!A$1:O$669,13,FALSE)</f>
        <v>0</v>
      </c>
      <c r="N264" s="71" t="s">
        <v>31</v>
      </c>
      <c r="O264" s="533">
        <f>VLOOKUP(C264,A!A$1:O$669,9,FALSE)</f>
        <v>0</v>
      </c>
      <c r="P264" s="533" t="s">
        <v>1250</v>
      </c>
      <c r="Q264" s="533" t="str">
        <f>IF(S264=0,"",COUNTIF(Q$12:Q263,"&gt;0")+1)</f>
        <v/>
      </c>
      <c r="R264" s="533" t="str">
        <f>IF(S264=0,"",COUNTIF(R$12:R263,"&gt;0")+1)</f>
        <v/>
      </c>
      <c r="S264" s="533">
        <f t="shared" si="63"/>
        <v>0</v>
      </c>
      <c r="T264" s="533">
        <f>VLOOKUP(C264,A!A$1:AH$669,32,FALSE)</f>
        <v>30</v>
      </c>
      <c r="U264" s="533">
        <v>0.11</v>
      </c>
      <c r="V264" s="533"/>
      <c r="W264" s="533" t="str">
        <f t="shared" si="64"/>
        <v/>
      </c>
      <c r="X264" s="533">
        <f>IF(V264&lt;&gt;"",COUNTIF(V$46:V264,V264)-1,0)</f>
        <v>0</v>
      </c>
      <c r="Y264" s="533"/>
      <c r="Z264" s="533" t="str">
        <f t="shared" si="65"/>
        <v/>
      </c>
      <c r="AA264" s="533" t="str">
        <f t="shared" si="66"/>
        <v/>
      </c>
      <c r="AB264" s="533">
        <f t="shared" si="67"/>
        <v>0</v>
      </c>
      <c r="AC264" s="533"/>
      <c r="AD264" s="533"/>
      <c r="AE264" s="533"/>
      <c r="AF264" s="533"/>
      <c r="AG264" s="533"/>
      <c r="AH264" s="533"/>
      <c r="AI264" s="533"/>
      <c r="AJ264" s="533"/>
      <c r="AK264" s="533"/>
      <c r="AL264" s="533"/>
      <c r="AM264" s="533"/>
      <c r="AN264" s="533"/>
      <c r="AO264" s="533"/>
      <c r="AP264" s="533"/>
      <c r="AQ264" s="533"/>
      <c r="AR264" s="533"/>
      <c r="AS264" s="533"/>
      <c r="AT264" s="533"/>
      <c r="AU264" s="533"/>
    </row>
    <row r="265" spans="1:47" ht="13.5" customHeight="1" x14ac:dyDescent="0.25">
      <c r="A265" s="72"/>
      <c r="B265" s="104" t="s">
        <v>510</v>
      </c>
      <c r="C265" s="694" t="s">
        <v>483</v>
      </c>
      <c r="D265" s="727"/>
      <c r="E265" s="828"/>
      <c r="F265" s="688" t="s">
        <v>484</v>
      </c>
      <c r="G265" s="26" t="s">
        <v>485</v>
      </c>
      <c r="H265" s="27">
        <v>2</v>
      </c>
      <c r="I265" s="27"/>
      <c r="J265" s="28">
        <f>IF(VLOOKUP(C265,A!A$1:O$669,11,FALSE)="y",1,0)</f>
        <v>1</v>
      </c>
      <c r="K265" s="28"/>
      <c r="L265" s="544" t="str">
        <f t="shared" si="68"/>
        <v>Low</v>
      </c>
      <c r="M265" s="367"/>
      <c r="N265" s="71" t="s">
        <v>31</v>
      </c>
      <c r="O265" s="533" t="str">
        <f>VLOOKUP(C265,A!A$1:O$669,9,FALSE)</f>
        <v>y</v>
      </c>
      <c r="P265" s="533" t="s">
        <v>1250</v>
      </c>
      <c r="Q265" s="533" t="str">
        <f>IF(S265=0,"",COUNTIF(Q$12:Q264,"&gt;0")+1)</f>
        <v/>
      </c>
      <c r="R265" s="533" t="str">
        <f>IF(S265=0,"",COUNTIF(R$12:R264,"&gt;0")+1)</f>
        <v/>
      </c>
      <c r="S265" s="533">
        <f t="shared" si="63"/>
        <v>0</v>
      </c>
      <c r="T265" s="533">
        <f>VLOOKUP(C265,A!A$1:AH$669,32,FALSE)</f>
        <v>30</v>
      </c>
      <c r="U265" s="533">
        <v>0.11</v>
      </c>
      <c r="V265" s="533">
        <v>36</v>
      </c>
      <c r="W265" s="533" t="str">
        <f>IF(AND(V265&lt;&gt;"",O265=0),"Check",IF(AND(V265=0,O265="Y"),"Check",""))</f>
        <v/>
      </c>
      <c r="X265" s="533">
        <f>IF(V265&lt;&gt;"",COUNTIF(V$46:V265,V265)-1,0)</f>
        <v>0</v>
      </c>
      <c r="Y265" s="533"/>
      <c r="Z265" s="533">
        <f t="shared" si="65"/>
        <v>-230</v>
      </c>
      <c r="AA265" s="533">
        <f t="shared" si="66"/>
        <v>5</v>
      </c>
      <c r="AB265" s="533">
        <f t="shared" si="67"/>
        <v>0</v>
      </c>
      <c r="AC265" s="533"/>
      <c r="AD265" s="533"/>
      <c r="AE265" s="533"/>
      <c r="AF265" s="533"/>
      <c r="AG265" s="533"/>
      <c r="AH265" s="533"/>
      <c r="AI265" s="533"/>
      <c r="AJ265" s="533"/>
      <c r="AK265" s="533"/>
      <c r="AL265" s="533"/>
      <c r="AM265" s="533"/>
      <c r="AN265" s="533"/>
      <c r="AO265" s="533"/>
      <c r="AP265" s="533"/>
      <c r="AQ265" s="533"/>
      <c r="AR265" s="533"/>
      <c r="AS265" s="533"/>
      <c r="AT265" s="533"/>
      <c r="AU265" s="533"/>
    </row>
    <row r="266" spans="1:47" ht="13.5" customHeight="1" x14ac:dyDescent="0.25">
      <c r="A266" s="72"/>
      <c r="B266" s="104" t="s">
        <v>510</v>
      </c>
      <c r="C266" s="1056" t="s">
        <v>993</v>
      </c>
      <c r="D266" s="727"/>
      <c r="E266" s="711" t="s">
        <v>1867</v>
      </c>
      <c r="F266" s="688" t="s">
        <v>994</v>
      </c>
      <c r="G266" s="26" t="s">
        <v>995</v>
      </c>
      <c r="H266" s="27">
        <v>1</v>
      </c>
      <c r="I266" s="27"/>
      <c r="J266" s="28">
        <f>IF(VLOOKUP(C266,A!A$1:O$669,11,FALSE)="y",1,0)</f>
        <v>1</v>
      </c>
      <c r="K266" s="28"/>
      <c r="L266" s="544" t="str">
        <f t="shared" si="68"/>
        <v>Low</v>
      </c>
      <c r="M266" s="80"/>
      <c r="N266" s="71" t="s">
        <v>31</v>
      </c>
      <c r="O266" s="533" t="str">
        <f>VLOOKUP(C266,A!A$1:O$669,9,FALSE)</f>
        <v>y</v>
      </c>
      <c r="P266" s="533" t="s">
        <v>1250</v>
      </c>
      <c r="Q266" s="533" t="str">
        <f>IF(S266=0,"",COUNTIF(Q$12:Q265,"&gt;0")+1)</f>
        <v/>
      </c>
      <c r="R266" s="533" t="str">
        <f>IF(S266=0,"",COUNTIF(R$12:R265,"&gt;0")+1)</f>
        <v/>
      </c>
      <c r="S266" s="533">
        <f t="shared" si="63"/>
        <v>0</v>
      </c>
      <c r="T266" s="533">
        <f>VLOOKUP(C266,A!A$1:AH$669,32,FALSE)</f>
        <v>30</v>
      </c>
      <c r="U266" s="533">
        <v>0.11</v>
      </c>
      <c r="V266" s="533">
        <v>35</v>
      </c>
      <c r="W266" s="533" t="str">
        <f>IF(AND(V266&lt;&gt;"",O266=0),"Check",IF(AND(V266=0,O266="Y"),"Check",""))</f>
        <v/>
      </c>
      <c r="X266" s="533">
        <f>IF(V266&lt;&gt;"",COUNTIF(V$46:V266,V266)-1,0)</f>
        <v>0</v>
      </c>
      <c r="Y266" s="533"/>
      <c r="Z266" s="533">
        <f t="shared" si="65"/>
        <v>-130</v>
      </c>
      <c r="AA266" s="533">
        <f t="shared" si="66"/>
        <v>3</v>
      </c>
      <c r="AB266" s="533">
        <f t="shared" si="67"/>
        <v>0</v>
      </c>
      <c r="AC266" s="533"/>
      <c r="AD266" s="533"/>
      <c r="AE266" s="533"/>
      <c r="AF266" s="533"/>
      <c r="AG266" s="533"/>
      <c r="AH266" s="533"/>
      <c r="AI266" s="533"/>
      <c r="AJ266" s="533"/>
      <c r="AK266" s="533"/>
      <c r="AL266" s="533"/>
      <c r="AM266" s="533"/>
      <c r="AN266" s="533"/>
      <c r="AO266" s="533"/>
      <c r="AP266" s="533"/>
      <c r="AQ266" s="533"/>
      <c r="AR266" s="533"/>
      <c r="AS266" s="533"/>
      <c r="AT266" s="533"/>
      <c r="AU266" s="533"/>
    </row>
    <row r="267" spans="1:47" ht="13.5" hidden="1" customHeight="1" x14ac:dyDescent="0.25">
      <c r="A267" s="340"/>
      <c r="B267" s="593" t="s">
        <v>510</v>
      </c>
      <c r="C267" s="1062" t="s">
        <v>1295</v>
      </c>
      <c r="D267" s="727"/>
      <c r="E267" s="711"/>
      <c r="F267" s="688" t="s">
        <v>1296</v>
      </c>
      <c r="G267" s="26" t="s">
        <v>1300</v>
      </c>
      <c r="H267" s="27">
        <v>2</v>
      </c>
      <c r="I267" s="27"/>
      <c r="J267" s="28">
        <f>IF(VLOOKUP(C267,A!A$1:O$669,11,FALSE)="y",1,0)</f>
        <v>0</v>
      </c>
      <c r="K267" s="28"/>
      <c r="L267" s="544" t="str">
        <f t="shared" si="68"/>
        <v>Low</v>
      </c>
      <c r="M267" s="80"/>
      <c r="N267" s="71" t="s">
        <v>31</v>
      </c>
      <c r="O267" s="533">
        <f>VLOOKUP(C267,A!A$1:O$669,9,FALSE)</f>
        <v>0</v>
      </c>
      <c r="P267" s="533" t="s">
        <v>1250</v>
      </c>
      <c r="Q267" s="533" t="str">
        <f>IF(S267=0,"",COUNTIF(Q$12:Q266,"&gt;0")+1)</f>
        <v/>
      </c>
      <c r="R267" s="533" t="str">
        <f>IF(S267=0,"",COUNTIF(R$12:R266,"&gt;0")+1)</f>
        <v/>
      </c>
      <c r="S267" s="533">
        <f>A267+Y267+AB267</f>
        <v>0</v>
      </c>
      <c r="T267" s="533">
        <f>VLOOKUP(C267,A!A$1:AH$669,32,FALSE)</f>
        <v>30</v>
      </c>
      <c r="U267" s="533">
        <v>0.11</v>
      </c>
      <c r="V267" s="533"/>
      <c r="W267" s="533" t="str">
        <f>IF(AND(V267&lt;&gt;"",O267=0),"Check",IF(AND(V267=0,O267="Y"),"Check",""))</f>
        <v/>
      </c>
      <c r="X267" s="533">
        <f>IF(V267&lt;&gt;"",COUNTIF(V$46:V267,V267)-1,0)</f>
        <v>0</v>
      </c>
      <c r="Y267" s="533"/>
      <c r="Z267" s="533" t="str">
        <f>IFERROR(IF(O267="y",H267*-100-A267*1000-T267,""),"")</f>
        <v/>
      </c>
      <c r="AA267" s="533" t="str">
        <f t="shared" si="66"/>
        <v/>
      </c>
      <c r="AB267" s="533">
        <f>IF(AA267&lt;=AB$256,1,0)+IF(O267="y",AB$255,0)</f>
        <v>0</v>
      </c>
      <c r="AC267" s="533"/>
      <c r="AD267" s="533"/>
      <c r="AE267" s="533"/>
      <c r="AF267" s="533"/>
      <c r="AG267" s="533"/>
      <c r="AH267" s="533"/>
      <c r="AI267" s="533"/>
      <c r="AJ267" s="533"/>
      <c r="AK267" s="533"/>
      <c r="AL267" s="533"/>
      <c r="AM267" s="533"/>
      <c r="AN267" s="533"/>
      <c r="AO267" s="533"/>
      <c r="AP267" s="533"/>
      <c r="AQ267" s="533"/>
      <c r="AR267" s="533"/>
      <c r="AS267" s="533"/>
      <c r="AT267" s="533"/>
      <c r="AU267" s="533"/>
    </row>
    <row r="268" spans="1:47" ht="13.5" customHeight="1" x14ac:dyDescent="0.25">
      <c r="A268" s="723"/>
      <c r="B268" s="724" t="s">
        <v>510</v>
      </c>
      <c r="C268" s="1056" t="s">
        <v>1217</v>
      </c>
      <c r="D268" s="728"/>
      <c r="E268" s="711" t="s">
        <v>1867</v>
      </c>
      <c r="F268" s="688" t="s">
        <v>486</v>
      </c>
      <c r="G268" s="26" t="s">
        <v>487</v>
      </c>
      <c r="H268" s="27">
        <f>VLOOKUP(C268,A!A$1:O$669,15,FALSE)</f>
        <v>1</v>
      </c>
      <c r="I268" s="27"/>
      <c r="J268" s="28">
        <f>IF(VLOOKUP(C268,A!A$1:O$669,11,FALSE)="y",1,0)</f>
        <v>1</v>
      </c>
      <c r="K268" s="28"/>
      <c r="L268" s="544" t="str">
        <f>IF(T268&lt;35,"Low",IF(T268&gt;40,"High","Med"))</f>
        <v>Low</v>
      </c>
      <c r="M268" s="367"/>
      <c r="N268" s="71" t="s">
        <v>494</v>
      </c>
      <c r="O268" s="533" t="str">
        <f>VLOOKUP(C268,A!A$1:O$669,9,FALSE)</f>
        <v>y</v>
      </c>
      <c r="P268" s="533" t="s">
        <v>1250</v>
      </c>
      <c r="Q268" s="533" t="str">
        <f>IF(S268=0,"",COUNTIF(Q$12:Q267,"&gt;0")+1)</f>
        <v/>
      </c>
      <c r="R268" s="533" t="str">
        <f>IF(S268=0,"",COUNTIF(R$12:R267,"&gt;0")+1)</f>
        <v/>
      </c>
      <c r="S268" s="533">
        <f t="shared" si="63"/>
        <v>0</v>
      </c>
      <c r="T268" s="533">
        <f>VLOOKUP(C268,A!A$1:AH$669,32,FALSE)</f>
        <v>30</v>
      </c>
      <c r="U268" s="533">
        <v>0.11</v>
      </c>
      <c r="V268" s="533">
        <v>34</v>
      </c>
      <c r="W268" s="533" t="str">
        <f>IF(AND(V268&lt;&gt;"",O268=0),"Check",IF(AND(V268=0,O268="Y"),"Check",""))</f>
        <v/>
      </c>
      <c r="X268" s="533">
        <f>IF(V268&lt;&gt;"",COUNTIF(V$46:V268,V268)-1,0)</f>
        <v>0</v>
      </c>
      <c r="Y268" s="533"/>
      <c r="Z268" s="533">
        <f>IFERROR(IF(O268="y",H268*-100-A268*1000-T268,""),"")</f>
        <v>-130</v>
      </c>
      <c r="AA268" s="533">
        <f t="shared" si="66"/>
        <v>3</v>
      </c>
      <c r="AB268" s="533">
        <f>IF(AA268&lt;=AB$256,1,0)+IF(O268="y",AB$255,0)</f>
        <v>0</v>
      </c>
      <c r="AC268" s="533"/>
      <c r="AD268" s="533"/>
      <c r="AE268" s="533"/>
      <c r="AF268" s="533"/>
      <c r="AG268" s="533"/>
      <c r="AH268" s="533"/>
      <c r="AI268" s="533"/>
      <c r="AJ268" s="533"/>
      <c r="AK268" s="533"/>
      <c r="AL268" s="533"/>
      <c r="AM268" s="533"/>
      <c r="AN268" s="533"/>
      <c r="AO268" s="533"/>
      <c r="AP268" s="533"/>
      <c r="AQ268" s="533"/>
      <c r="AR268" s="533"/>
      <c r="AS268" s="533"/>
      <c r="AT268" s="533"/>
      <c r="AU268" s="533"/>
    </row>
    <row r="269" spans="1:47" ht="13.5" hidden="1" customHeight="1" x14ac:dyDescent="0.25">
      <c r="A269" s="356"/>
      <c r="B269" s="673" t="s">
        <v>510</v>
      </c>
      <c r="C269" s="697" t="s">
        <v>488</v>
      </c>
      <c r="D269" s="732"/>
      <c r="E269" s="838"/>
      <c r="F269" s="689" t="s">
        <v>489</v>
      </c>
      <c r="G269" s="291" t="s">
        <v>490</v>
      </c>
      <c r="H269" s="27">
        <f>VLOOKUP(C269,A!A$1:O$669,15,FALSE)</f>
        <v>2</v>
      </c>
      <c r="I269" s="128"/>
      <c r="J269" s="193">
        <f>IF(VLOOKUP(C269,A!A$1:O$669,11,FALSE)="y",1,0)</f>
        <v>0</v>
      </c>
      <c r="K269" s="193">
        <f>IF(VLOOKUP(C269,A!A$1:O$669,12,FALSE)="y",1,0)</f>
        <v>0</v>
      </c>
      <c r="L269" s="544" t="str">
        <f t="shared" si="68"/>
        <v>Low</v>
      </c>
      <c r="M269" s="367">
        <f>VLOOKUP(C269,A!A$1:O$669,13,FALSE)</f>
        <v>0</v>
      </c>
      <c r="N269" s="357" t="s">
        <v>31</v>
      </c>
      <c r="O269" s="533">
        <f>VLOOKUP(C269,A!A$1:O$669,9,FALSE)</f>
        <v>0</v>
      </c>
      <c r="P269" s="533" t="s">
        <v>1250</v>
      </c>
      <c r="Q269" s="533" t="str">
        <f>IF(S269=0,"",COUNTIF(Q$12:Q268,"&gt;0")+1)</f>
        <v/>
      </c>
      <c r="R269" s="533" t="str">
        <f>IF(S269=0,"",COUNTIF(R$12:R268,"&gt;0")+1)</f>
        <v/>
      </c>
      <c r="S269" s="533">
        <f t="shared" si="63"/>
        <v>0</v>
      </c>
      <c r="T269" s="533">
        <f>VLOOKUP(C269,A!A$1:AH$669,32,FALSE)</f>
        <v>30</v>
      </c>
      <c r="U269" s="533">
        <v>0.11</v>
      </c>
      <c r="V269" s="533"/>
      <c r="W269" s="533" t="str">
        <f t="shared" si="64"/>
        <v/>
      </c>
      <c r="X269" s="533">
        <f>IF(V269&lt;&gt;"",COUNTIF(V$46:V269,V269)-1,0)</f>
        <v>0</v>
      </c>
      <c r="Y269" s="533"/>
      <c r="Z269" s="533" t="str">
        <f>IFERROR(IF(AND(O269="y",IF(AND(A269&lt;&gt;"",A269=0),0,1)),H269*-100-A269*1000-T269,""),"")</f>
        <v/>
      </c>
      <c r="AA269" s="533" t="str">
        <f t="shared" si="66"/>
        <v/>
      </c>
      <c r="AB269" s="533">
        <f t="shared" si="67"/>
        <v>0</v>
      </c>
      <c r="AC269" s="533"/>
      <c r="AD269" s="533"/>
      <c r="AE269" s="533"/>
      <c r="AF269" s="533"/>
      <c r="AG269" s="533"/>
      <c r="AH269" s="533"/>
      <c r="AI269" s="533"/>
      <c r="AJ269" s="533"/>
      <c r="AK269" s="533"/>
      <c r="AL269" s="533"/>
      <c r="AM269" s="533"/>
      <c r="AN269" s="533"/>
      <c r="AO269" s="533"/>
      <c r="AP269" s="533"/>
      <c r="AQ269" s="533"/>
      <c r="AR269" s="533"/>
      <c r="AS269" s="533"/>
      <c r="AT269" s="533"/>
      <c r="AU269" s="533"/>
    </row>
    <row r="270" spans="1:47" ht="12" hidden="1" customHeight="1" x14ac:dyDescent="0.25">
      <c r="A270" s="358"/>
      <c r="B270" s="594" t="s">
        <v>510</v>
      </c>
      <c r="C270" s="698" t="s">
        <v>491</v>
      </c>
      <c r="D270" s="794"/>
      <c r="E270" s="870"/>
      <c r="F270" s="690" t="s">
        <v>492</v>
      </c>
      <c r="G270" s="359" t="s">
        <v>493</v>
      </c>
      <c r="H270" s="27">
        <f>VLOOKUP(C270,A!A$1:O$669,15,FALSE)</f>
        <v>2</v>
      </c>
      <c r="I270" s="276"/>
      <c r="J270" s="402">
        <v>5021353014617</v>
      </c>
      <c r="K270" s="332"/>
      <c r="L270" s="544" t="str">
        <f t="shared" si="68"/>
        <v>Low</v>
      </c>
      <c r="M270" s="367"/>
      <c r="N270" s="360" t="s">
        <v>31</v>
      </c>
      <c r="O270" s="533">
        <f>VLOOKUP(C270,A!A$1:O$669,9,FALSE)</f>
        <v>0</v>
      </c>
      <c r="P270" s="533" t="s">
        <v>1250</v>
      </c>
      <c r="Q270" s="533" t="str">
        <f>IF(S270=0,"",COUNTIF(Q$12:Q269,"&gt;0")+1)</f>
        <v/>
      </c>
      <c r="R270" s="533" t="str">
        <f>IF(S270=0,"",COUNTIF(R$12:R269,"&gt;0")+1)</f>
        <v/>
      </c>
      <c r="S270" s="533">
        <f t="shared" si="63"/>
        <v>0</v>
      </c>
      <c r="T270" s="533">
        <f>VLOOKUP(C270,A!A$1:AH$669,32,FALSE)</f>
        <v>30</v>
      </c>
      <c r="U270" s="533">
        <v>0.11</v>
      </c>
      <c r="V270" s="533"/>
      <c r="W270" s="533" t="str">
        <f t="shared" si="64"/>
        <v/>
      </c>
      <c r="X270" s="533">
        <f>IF(V270&lt;&gt;"",COUNTIF(V$46:V270,V270)-1,0)</f>
        <v>0</v>
      </c>
      <c r="Y270" s="533"/>
      <c r="Z270" s="533" t="str">
        <f>IFERROR(IF(AND(O270="y",IF(AND(A270&lt;&gt;"",A270=0),0,1)),H270*-100-A270*1000-T270,""),"")</f>
        <v/>
      </c>
      <c r="AA270" s="533" t="str">
        <f t="shared" si="66"/>
        <v/>
      </c>
      <c r="AB270" s="533">
        <f t="shared" si="67"/>
        <v>0</v>
      </c>
      <c r="AC270" s="533"/>
      <c r="AD270" s="533"/>
      <c r="AE270" s="533"/>
      <c r="AF270" s="533"/>
      <c r="AG270" s="533"/>
      <c r="AH270" s="533"/>
      <c r="AI270" s="533"/>
      <c r="AJ270" s="533"/>
      <c r="AK270" s="533"/>
      <c r="AL270" s="533"/>
      <c r="AM270" s="533"/>
      <c r="AN270" s="533"/>
      <c r="AO270" s="533"/>
      <c r="AP270" s="533"/>
      <c r="AQ270" s="533"/>
      <c r="AR270" s="533"/>
      <c r="AS270" s="533"/>
      <c r="AT270" s="533"/>
      <c r="AU270" s="533"/>
    </row>
    <row r="271" spans="1:47" ht="11.25" hidden="1" customHeight="1" x14ac:dyDescent="0.25">
      <c r="A271" s="89"/>
      <c r="B271" s="209" t="s">
        <v>510</v>
      </c>
      <c r="C271" s="699" t="s">
        <v>495</v>
      </c>
      <c r="D271" s="793"/>
      <c r="E271" s="871"/>
      <c r="F271" s="691" t="s">
        <v>496</v>
      </c>
      <c r="G271" s="93" t="s">
        <v>497</v>
      </c>
      <c r="H271" s="27">
        <f>VLOOKUP(C271,A!A$1:O$669,15,FALSE)</f>
        <v>2</v>
      </c>
      <c r="I271" s="80"/>
      <c r="J271" s="213">
        <f>IF(VLOOKUP(C271,A!A$1:O$669,11,FALSE)="y",1,0)</f>
        <v>0</v>
      </c>
      <c r="K271" s="330"/>
      <c r="L271" s="544" t="str">
        <f t="shared" si="68"/>
        <v>Low</v>
      </c>
      <c r="M271" s="367">
        <f>VLOOKUP(C271,A!A$1:O$669,13,FALSE)</f>
        <v>0</v>
      </c>
      <c r="N271" s="94" t="s">
        <v>31</v>
      </c>
      <c r="O271" s="533">
        <f>VLOOKUP(C271,A!A$1:O$669,9,FALSE)</f>
        <v>0</v>
      </c>
      <c r="P271" s="533" t="s">
        <v>1250</v>
      </c>
      <c r="Q271" s="533" t="str">
        <f>IF(S271=0,"",COUNTIF(Q$12:Q270,"&gt;0")+1)</f>
        <v/>
      </c>
      <c r="R271" s="533" t="str">
        <f>IF(S271=0,"",COUNTIF(R$12:R270,"&gt;0")+1)</f>
        <v/>
      </c>
      <c r="S271" s="533">
        <f t="shared" si="63"/>
        <v>0</v>
      </c>
      <c r="T271" s="533">
        <f>VLOOKUP(C271,A!A$1:AH$669,32,FALSE)</f>
        <v>30</v>
      </c>
      <c r="U271" s="533">
        <v>0.11</v>
      </c>
      <c r="V271" s="533"/>
      <c r="W271" s="533" t="str">
        <f t="shared" si="64"/>
        <v/>
      </c>
      <c r="X271" s="533">
        <f>IF(V271&lt;&gt;"",COUNTIF(V$46:V271,V271)-1,0)</f>
        <v>0</v>
      </c>
      <c r="Y271" s="533"/>
      <c r="Z271" s="533" t="str">
        <f>IFERROR(IF(AND(O271="y",IF(AND(A271&lt;&gt;"",A271=0),0,1)),H271*-100-A271*1000-T271,""),"")</f>
        <v/>
      </c>
      <c r="AA271" s="533" t="str">
        <f t="shared" si="66"/>
        <v/>
      </c>
      <c r="AB271" s="533">
        <f t="shared" si="67"/>
        <v>0</v>
      </c>
      <c r="AC271" s="533"/>
      <c r="AD271" s="533"/>
      <c r="AE271" s="533"/>
      <c r="AF271" s="533"/>
      <c r="AG271" s="533"/>
      <c r="AH271" s="533"/>
      <c r="AI271" s="533"/>
      <c r="AJ271" s="533"/>
      <c r="AK271" s="533"/>
      <c r="AL271" s="533"/>
      <c r="AM271" s="533"/>
      <c r="AN271" s="533"/>
      <c r="AO271" s="533"/>
      <c r="AP271" s="533"/>
      <c r="AQ271" s="533"/>
      <c r="AR271" s="533"/>
      <c r="AS271" s="533"/>
      <c r="AT271" s="533"/>
      <c r="AU271" s="533"/>
    </row>
    <row r="272" spans="1:47" ht="13.5" hidden="1" customHeight="1" x14ac:dyDescent="0.25">
      <c r="A272" s="72"/>
      <c r="B272" s="104" t="s">
        <v>510</v>
      </c>
      <c r="C272" s="695" t="s">
        <v>498</v>
      </c>
      <c r="D272" s="727"/>
      <c r="E272" s="828"/>
      <c r="F272" s="688" t="s">
        <v>464</v>
      </c>
      <c r="G272" s="26" t="s">
        <v>499</v>
      </c>
      <c r="H272" s="27">
        <f>VLOOKUP(C272,A!A$1:O$669,15,FALSE)</f>
        <v>2</v>
      </c>
      <c r="I272" s="27"/>
      <c r="J272" s="28">
        <f>IF(VLOOKUP(C272,A!A$1:O$669,11,FALSE)="y",1,0)</f>
        <v>0</v>
      </c>
      <c r="K272" s="28">
        <f>IF(VLOOKUP(C272,A!A$1:O$669,12,FALSE)="y",1,0)</f>
        <v>0</v>
      </c>
      <c r="L272" s="544" t="str">
        <f t="shared" si="68"/>
        <v>Low</v>
      </c>
      <c r="M272" s="367">
        <f>VLOOKUP(C272,A!A$1:O$669,13,FALSE)</f>
        <v>0</v>
      </c>
      <c r="N272" s="71" t="s">
        <v>31</v>
      </c>
      <c r="O272" s="533">
        <f>VLOOKUP(C272,A!A$1:O$669,9,FALSE)</f>
        <v>0</v>
      </c>
      <c r="P272" s="533" t="s">
        <v>1250</v>
      </c>
      <c r="Q272" s="533" t="str">
        <f>IF(S272=0,"",COUNTIF(Q$12:Q271,"&gt;0")+1)</f>
        <v/>
      </c>
      <c r="R272" s="533" t="str">
        <f>IF(S272=0,"",COUNTIF(R$12:R271,"&gt;0")+1)</f>
        <v/>
      </c>
      <c r="S272" s="533">
        <f t="shared" si="63"/>
        <v>0</v>
      </c>
      <c r="T272" s="533">
        <f>VLOOKUP(C272,A!A$1:AH$669,32,FALSE)</f>
        <v>30</v>
      </c>
      <c r="U272" s="533">
        <v>0.11</v>
      </c>
      <c r="V272" s="533"/>
      <c r="W272" s="533" t="str">
        <f t="shared" si="64"/>
        <v/>
      </c>
      <c r="X272" s="533">
        <f>IF(V272&lt;&gt;"",COUNTIF(V$46:V272,V272)-1,0)</f>
        <v>0</v>
      </c>
      <c r="Y272" s="533"/>
      <c r="Z272" s="533" t="str">
        <f>IFERROR(IF(AND(O272="y",IF(AND(A272&lt;&gt;"",A272=0),0,1)),H272*-100-A272*1000-T272,""),"")</f>
        <v/>
      </c>
      <c r="AA272" s="533" t="str">
        <f t="shared" si="66"/>
        <v/>
      </c>
      <c r="AB272" s="533">
        <f t="shared" si="67"/>
        <v>0</v>
      </c>
      <c r="AC272" s="533"/>
      <c r="AD272" s="533"/>
      <c r="AE272" s="533"/>
      <c r="AF272" s="533"/>
      <c r="AG272" s="533"/>
      <c r="AH272" s="533"/>
      <c r="AI272" s="533"/>
      <c r="AJ272" s="533"/>
      <c r="AK272" s="533"/>
      <c r="AL272" s="533"/>
      <c r="AM272" s="533"/>
      <c r="AN272" s="533"/>
      <c r="AO272" s="533"/>
      <c r="AP272" s="533"/>
      <c r="AQ272" s="533"/>
      <c r="AR272" s="533"/>
      <c r="AS272" s="533"/>
      <c r="AT272" s="533"/>
      <c r="AU272" s="533"/>
    </row>
    <row r="273" spans="1:47" ht="14.25" customHeight="1" thickBot="1" x14ac:dyDescent="0.3">
      <c r="A273" s="72"/>
      <c r="B273" s="104" t="s">
        <v>510</v>
      </c>
      <c r="C273" s="695" t="s">
        <v>1076</v>
      </c>
      <c r="D273" s="642"/>
      <c r="E273" s="861"/>
      <c r="F273" s="688" t="s">
        <v>501</v>
      </c>
      <c r="G273" s="26" t="s">
        <v>502</v>
      </c>
      <c r="H273" s="27">
        <f>VLOOKUP(C273,A!A$1:O$669,15,FALSE)</f>
        <v>1</v>
      </c>
      <c r="I273" s="27"/>
      <c r="J273" s="28">
        <f>IF(VLOOKUP(C273,A!A$1:O$669,11,FALSE)="y",1,0)</f>
        <v>1</v>
      </c>
      <c r="K273" s="28">
        <f>IF(VLOOKUP(C273,A!A$1:O$669,12,FALSE)="y",1,0)</f>
        <v>0</v>
      </c>
      <c r="L273" s="544" t="str">
        <f t="shared" si="68"/>
        <v>Med</v>
      </c>
      <c r="M273" s="320">
        <f>VLOOKUP(C273,A!A$1:O$669,13,FALSE)</f>
        <v>0</v>
      </c>
      <c r="N273" s="71" t="s">
        <v>31</v>
      </c>
      <c r="O273" s="533" t="str">
        <f>VLOOKUP(C273,A!A$1:O$669,9,FALSE)</f>
        <v>y</v>
      </c>
      <c r="P273" s="533" t="s">
        <v>1250</v>
      </c>
      <c r="Q273" s="533" t="str">
        <f>IF(S273=0,"",COUNTIF(Q$12:Q272,"&gt;0")+1)</f>
        <v/>
      </c>
      <c r="R273" s="533" t="str">
        <f>IF(S273=0,"",COUNTIF(R$12:R272,"&gt;0")+1)</f>
        <v/>
      </c>
      <c r="S273" s="533">
        <f t="shared" si="63"/>
        <v>0</v>
      </c>
      <c r="T273" s="533">
        <f>VLOOKUP(C273,A!A$1:AH$669,32,FALSE)</f>
        <v>35</v>
      </c>
      <c r="U273" s="533">
        <v>0.11</v>
      </c>
      <c r="V273" s="533">
        <v>33</v>
      </c>
      <c r="W273" s="533" t="str">
        <f t="shared" si="64"/>
        <v/>
      </c>
      <c r="X273" s="533">
        <f>IF(V273&lt;&gt;"",COUNTIF(V$46:V273,V273)-1,0)</f>
        <v>0</v>
      </c>
      <c r="Y273" s="533">
        <f>A25*1</f>
        <v>0</v>
      </c>
      <c r="Z273" s="533">
        <f>IFERROR(IF(AND(O273="y",IF(AND(A273&lt;&gt;"",A273=0),0,1)),H273*-100-A273*1000-T273,""),"")</f>
        <v>-135</v>
      </c>
      <c r="AA273" s="533">
        <f t="shared" si="66"/>
        <v>4</v>
      </c>
      <c r="AB273" s="533">
        <f t="shared" si="67"/>
        <v>0</v>
      </c>
      <c r="AC273" s="533"/>
      <c r="AD273" s="533"/>
      <c r="AE273" s="533"/>
      <c r="AF273" s="533"/>
      <c r="AG273" s="533"/>
      <c r="AH273" s="533"/>
      <c r="AI273" s="533"/>
      <c r="AJ273" s="533"/>
      <c r="AK273" s="533"/>
      <c r="AL273" s="533"/>
      <c r="AM273" s="533"/>
      <c r="AN273" s="533"/>
      <c r="AO273" s="533"/>
      <c r="AP273" s="533"/>
      <c r="AQ273" s="533"/>
      <c r="AR273" s="533"/>
      <c r="AS273" s="533"/>
      <c r="AT273" s="533"/>
      <c r="AU273" s="533"/>
    </row>
    <row r="274" spans="1:47" ht="11.25" hidden="1" customHeight="1" thickBot="1" x14ac:dyDescent="0.3">
      <c r="A274" s="73"/>
      <c r="B274" s="595" t="s">
        <v>510</v>
      </c>
      <c r="C274" s="938" t="s">
        <v>503</v>
      </c>
      <c r="D274" s="651"/>
      <c r="E274" s="872"/>
      <c r="F274" s="337" t="s">
        <v>504</v>
      </c>
      <c r="G274" s="74" t="s">
        <v>505</v>
      </c>
      <c r="H274" s="27">
        <f>VLOOKUP(C274,A!A$1:O$669,15,FALSE)</f>
        <v>2</v>
      </c>
      <c r="I274" s="75"/>
      <c r="J274" s="28">
        <f>IF(VLOOKUP(C274,A!A$1:O$669,11,FALSE)="y",1,0)</f>
        <v>0</v>
      </c>
      <c r="K274" s="28">
        <f>IF(VLOOKUP(C274,A!A$1:O$669,12,FALSE)="y",1,0)</f>
        <v>0</v>
      </c>
      <c r="L274" s="330" t="str">
        <f>IF(VLOOKUP(C274,A!A$1:O$669,10,FALSE)="y","NEW","")</f>
        <v/>
      </c>
      <c r="M274" s="80">
        <f>VLOOKUP(C274,A!A$1:O$669,13,FALSE)</f>
        <v>0</v>
      </c>
      <c r="N274" s="76" t="s">
        <v>31</v>
      </c>
      <c r="O274" s="533">
        <f>VLOOKUP(C274,A!A$1:O$669,9,FALSE)</f>
        <v>0</v>
      </c>
      <c r="P274" s="533" t="s">
        <v>1250</v>
      </c>
      <c r="Q274" s="533" t="str">
        <f>IF(S274=0,"",COUNTIF(Q$12:Q273,"&gt;0")+1)</f>
        <v/>
      </c>
      <c r="R274" s="533" t="str">
        <f>IF(S274=0,"",COUNTIF(R$12:R273,"&gt;0")+1)</f>
        <v/>
      </c>
      <c r="S274" s="533">
        <f t="shared" si="63"/>
        <v>0</v>
      </c>
      <c r="T274" s="533">
        <f>VLOOKUP(C274,A!A$1:AH$669,32,FALSE)</f>
        <v>30</v>
      </c>
      <c r="U274" s="533">
        <v>0.11</v>
      </c>
      <c r="V274" s="533"/>
      <c r="W274" s="533" t="str">
        <f t="shared" si="64"/>
        <v/>
      </c>
      <c r="X274" s="533">
        <f>IF(V274&lt;&gt;"",COUNTIF(V$46:V274,V274)-1,0)</f>
        <v>0</v>
      </c>
      <c r="Y274" s="533"/>
      <c r="Z274" s="533" t="str">
        <f>IFERROR(IF(O274="y",H274*-100-A274*1000-T274,""),"")</f>
        <v/>
      </c>
      <c r="AA274" s="533" t="str">
        <f t="shared" si="66"/>
        <v/>
      </c>
      <c r="AB274" s="533">
        <f t="shared" si="67"/>
        <v>0</v>
      </c>
      <c r="AC274" s="533"/>
      <c r="AD274" s="533"/>
      <c r="AE274" s="533"/>
      <c r="AF274" s="533"/>
      <c r="AG274" s="533"/>
      <c r="AH274" s="533"/>
      <c r="AI274" s="533"/>
      <c r="AJ274" s="533"/>
      <c r="AK274" s="533"/>
      <c r="AL274" s="533"/>
      <c r="AM274" s="533"/>
      <c r="AN274" s="533"/>
      <c r="AO274" s="533"/>
      <c r="AP274" s="533"/>
      <c r="AQ274" s="533"/>
      <c r="AR274" s="533"/>
      <c r="AS274" s="533"/>
      <c r="AT274" s="533"/>
      <c r="AU274" s="533"/>
    </row>
    <row r="275" spans="1:47" x14ac:dyDescent="0.25">
      <c r="A275" s="77">
        <f>SUM(A257:A274)</f>
        <v>0</v>
      </c>
      <c r="B275" s="592" t="s">
        <v>510</v>
      </c>
      <c r="C275" s="85" t="s">
        <v>512</v>
      </c>
      <c r="D275" s="647"/>
      <c r="E275" s="866"/>
      <c r="F275" s="86"/>
      <c r="G275" s="86"/>
      <c r="H275" s="86"/>
      <c r="I275" s="86"/>
      <c r="J275" s="86"/>
      <c r="K275" s="86"/>
      <c r="L275" s="339"/>
      <c r="M275" s="86"/>
      <c r="N275" s="88"/>
      <c r="O275" s="1069"/>
      <c r="P275" s="533" t="s">
        <v>1250</v>
      </c>
      <c r="Q275" s="533" t="str">
        <f>IF(S275=0,"",COUNTIF(Q$12:Q274,"&gt;0")+1)</f>
        <v/>
      </c>
      <c r="R275" s="533"/>
      <c r="S275" s="533">
        <f>A275</f>
        <v>0</v>
      </c>
      <c r="T275" s="533"/>
      <c r="U275" s="533"/>
      <c r="V275" s="533"/>
      <c r="W275" s="533" t="str">
        <f t="shared" si="64"/>
        <v/>
      </c>
      <c r="X275" s="533">
        <f>IF(V275&lt;&gt;"",COUNTIF(V$46:V275,V275)-1,0)</f>
        <v>0</v>
      </c>
      <c r="Y275" s="533"/>
      <c r="Z275" s="533"/>
      <c r="AA275" s="533"/>
      <c r="AB275" s="533"/>
      <c r="AC275" s="533"/>
      <c r="AD275" s="533"/>
      <c r="AE275" s="533"/>
      <c r="AF275" s="533"/>
      <c r="AG275" s="533"/>
      <c r="AH275" s="533"/>
      <c r="AI275" s="533"/>
      <c r="AJ275" s="533"/>
      <c r="AK275" s="533"/>
      <c r="AL275" s="533"/>
      <c r="AM275" s="533"/>
      <c r="AN275" s="533"/>
      <c r="AO275" s="533"/>
      <c r="AP275" s="533"/>
      <c r="AQ275" s="533"/>
      <c r="AR275" s="533"/>
      <c r="AS275" s="533"/>
      <c r="AT275" s="533"/>
      <c r="AU275" s="533"/>
    </row>
    <row r="276" spans="1:47" ht="12" customHeight="1" thickBot="1" x14ac:dyDescent="0.3">
      <c r="A276" s="2"/>
      <c r="L276" s="3"/>
      <c r="M276" s="2"/>
      <c r="P276" s="533"/>
      <c r="Q276" s="533" t="str">
        <f>IF(S276=0,"",COUNTIF(Q$12:Q275,"&gt;0")+1)</f>
        <v/>
      </c>
      <c r="R276" s="533" t="str">
        <f>IF(S276=0,"",COUNTIF(R$12:R275,"&gt;0")+1)</f>
        <v/>
      </c>
      <c r="S276" s="533"/>
      <c r="T276" s="533"/>
      <c r="U276" s="533"/>
      <c r="V276" s="533"/>
      <c r="W276" s="533" t="str">
        <f t="shared" si="64"/>
        <v/>
      </c>
      <c r="X276" s="533">
        <f>IF(V276&lt;&gt;"",COUNTIF(V$46:V276,V276)-1,0)</f>
        <v>0</v>
      </c>
      <c r="Y276" s="533"/>
      <c r="Z276" s="533"/>
      <c r="AA276" s="533"/>
      <c r="AB276" s="533"/>
      <c r="AC276" s="533"/>
      <c r="AD276" s="533"/>
      <c r="AE276" s="533"/>
      <c r="AF276" s="533"/>
      <c r="AG276" s="533"/>
      <c r="AH276" s="533"/>
      <c r="AI276" s="533"/>
      <c r="AJ276" s="533"/>
      <c r="AK276" s="533"/>
      <c r="AL276" s="533"/>
      <c r="AM276" s="533"/>
      <c r="AN276" s="533"/>
      <c r="AO276" s="533"/>
      <c r="AP276" s="533"/>
      <c r="AQ276" s="533"/>
      <c r="AR276" s="533"/>
      <c r="AS276" s="533"/>
      <c r="AT276" s="533"/>
      <c r="AU276" s="533"/>
    </row>
    <row r="277" spans="1:47" ht="12" hidden="1" customHeight="1" x14ac:dyDescent="0.25">
      <c r="A277" s="1151" t="s">
        <v>11</v>
      </c>
      <c r="B277" s="1152"/>
      <c r="C277" s="1155" t="s">
        <v>1762</v>
      </c>
      <c r="D277" s="1156"/>
      <c r="E277" s="1156"/>
      <c r="F277" s="1156"/>
      <c r="G277" s="1196" t="s">
        <v>507</v>
      </c>
      <c r="H277" s="308" t="s">
        <v>513</v>
      </c>
      <c r="I277" s="308"/>
      <c r="J277" s="308"/>
      <c r="K277" s="308"/>
      <c r="L277" s="308"/>
      <c r="M277" s="308"/>
      <c r="N277" s="309"/>
      <c r="O277" s="1070"/>
      <c r="P277" s="533"/>
      <c r="Q277" s="533" t="str">
        <f>IF(S277=0,"",COUNTIF(Q$12:Q276,"&gt;0")+1)</f>
        <v/>
      </c>
      <c r="R277" s="533" t="str">
        <f>IF(S277=0,"",COUNTIF(R$12:R276,"&gt;0")+1)</f>
        <v/>
      </c>
      <c r="S277" s="533"/>
      <c r="T277" s="533"/>
      <c r="U277" s="533"/>
      <c r="V277" s="533"/>
      <c r="W277" s="533" t="str">
        <f t="shared" si="64"/>
        <v/>
      </c>
      <c r="X277" s="533">
        <f>IF(V277&lt;&gt;"",COUNTIF(V$46:V277,V277)-1,0)</f>
        <v>0</v>
      </c>
      <c r="Y277" s="533"/>
      <c r="Z277" s="533"/>
      <c r="AA277" s="533"/>
      <c r="AB277" s="533"/>
      <c r="AC277" s="533"/>
      <c r="AD277" s="533"/>
      <c r="AE277" s="533"/>
      <c r="AF277" s="533"/>
      <c r="AG277" s="533"/>
      <c r="AH277" s="533"/>
      <c r="AI277" s="533"/>
      <c r="AJ277" s="533"/>
      <c r="AK277" s="533"/>
      <c r="AL277" s="533"/>
      <c r="AM277" s="533"/>
      <c r="AN277" s="533"/>
      <c r="AO277" s="533"/>
      <c r="AP277" s="533"/>
      <c r="AQ277" s="533"/>
      <c r="AR277" s="533"/>
      <c r="AS277" s="533"/>
      <c r="AT277" s="533"/>
      <c r="AU277" s="533"/>
    </row>
    <row r="278" spans="1:47" ht="12" hidden="1" customHeight="1" thickBot="1" x14ac:dyDescent="0.3">
      <c r="A278" s="1153" t="s">
        <v>509</v>
      </c>
      <c r="B278" s="1154"/>
      <c r="C278" s="1157"/>
      <c r="D278" s="1158"/>
      <c r="E278" s="1158"/>
      <c r="F278" s="1158"/>
      <c r="G278" s="1197"/>
      <c r="H278" s="547" t="s">
        <v>15</v>
      </c>
      <c r="I278" s="548"/>
      <c r="J278" s="548"/>
      <c r="K278" s="548"/>
      <c r="L278" s="549" t="s">
        <v>1</v>
      </c>
      <c r="M278" s="548"/>
      <c r="N278" s="550" t="s">
        <v>16</v>
      </c>
      <c r="O278" s="1070"/>
      <c r="P278" s="533"/>
      <c r="Q278" s="533" t="str">
        <f>IF(S278=0,"",COUNTIF(Q$12:Q277,"&gt;0")+1)</f>
        <v/>
      </c>
      <c r="R278" s="533" t="str">
        <f>IF(S278=0,"",COUNTIF(R$12:R277,"&gt;0")+1)</f>
        <v/>
      </c>
      <c r="S278" s="533"/>
      <c r="T278" s="533"/>
      <c r="U278" s="533"/>
      <c r="V278" s="533"/>
      <c r="W278" s="533" t="str">
        <f t="shared" si="64"/>
        <v/>
      </c>
      <c r="X278" s="533">
        <f>IF(V278&lt;&gt;"",COUNTIF(V$46:V278,V278)-1,0)</f>
        <v>0</v>
      </c>
      <c r="Y278" s="533"/>
      <c r="Z278" s="533"/>
      <c r="AA278" s="533"/>
      <c r="AB278" s="533"/>
      <c r="AC278" s="533"/>
      <c r="AD278" s="533"/>
      <c r="AE278" s="533"/>
      <c r="AF278" s="533"/>
      <c r="AG278" s="533"/>
      <c r="AH278" s="533"/>
      <c r="AI278" s="533"/>
      <c r="AJ278" s="533"/>
      <c r="AK278" s="533"/>
      <c r="AL278" s="533"/>
      <c r="AM278" s="533"/>
      <c r="AN278" s="533"/>
      <c r="AO278" s="533"/>
      <c r="AP278" s="533"/>
      <c r="AQ278" s="533"/>
      <c r="AR278" s="533"/>
      <c r="AS278" s="533"/>
      <c r="AT278" s="533"/>
      <c r="AU278" s="533"/>
    </row>
    <row r="279" spans="1:47" ht="11.25" hidden="1" customHeight="1" x14ac:dyDescent="0.25">
      <c r="A279" s="97"/>
      <c r="B279" s="596" t="s">
        <v>510</v>
      </c>
      <c r="C279" s="98" t="s">
        <v>25</v>
      </c>
      <c r="D279" s="652"/>
      <c r="E279" s="873"/>
      <c r="F279" s="338" t="s">
        <v>20</v>
      </c>
      <c r="G279" s="99" t="s">
        <v>26</v>
      </c>
      <c r="H279" s="80"/>
      <c r="I279" s="80"/>
      <c r="J279" s="213">
        <f>IF(VLOOKUP(C279,A!A$1:O$669,11,FALSE)="y",1,0)</f>
        <v>0</v>
      </c>
      <c r="K279" s="213">
        <f>IF(VLOOKUP(C279,A!A$1:O$669,12,FALSE)="y",1,0)</f>
        <v>0</v>
      </c>
      <c r="L279" s="79"/>
      <c r="M279" s="80">
        <f>VLOOKUP(C279,A!A$1:O$669,13,FALSE)</f>
        <v>0</v>
      </c>
      <c r="N279" s="307">
        <v>1</v>
      </c>
      <c r="O279" s="533">
        <f>VLOOKUP(C279,A!A$1:O$669,9,FALSE)</f>
        <v>0</v>
      </c>
      <c r="P279" s="533" t="s">
        <v>514</v>
      </c>
      <c r="Q279" s="533" t="str">
        <f>IF(S279=0,"",COUNTIF(Q$12:Q278,"&gt;0")+1)</f>
        <v/>
      </c>
      <c r="R279" s="533" t="str">
        <f>IF(S279=0,"",COUNTIF(R$12:R278,"&gt;0")+1)</f>
        <v/>
      </c>
      <c r="S279" s="533">
        <f t="shared" ref="S279:S342" si="69">A279</f>
        <v>0</v>
      </c>
      <c r="T279" s="533">
        <f>VLOOKUP(C279,A!A$1:AH$669,32,FALSE)</f>
        <v>0</v>
      </c>
      <c r="U279" s="533">
        <v>0.125</v>
      </c>
      <c r="V279" s="533"/>
      <c r="W279" s="533"/>
      <c r="X279" s="533">
        <f>IF(V279&lt;&gt;"",COUNTIF(V$46:V279,V279)-1,0)</f>
        <v>0</v>
      </c>
      <c r="Y279" s="533"/>
      <c r="Z279" s="533"/>
      <c r="AA279" s="533"/>
      <c r="AB279" s="533"/>
      <c r="AC279" s="533"/>
      <c r="AD279" s="533"/>
      <c r="AE279" s="533"/>
      <c r="AF279" s="533"/>
      <c r="AG279" s="533"/>
      <c r="AH279" s="533"/>
      <c r="AI279" s="533"/>
      <c r="AJ279" s="533"/>
      <c r="AK279" s="533"/>
      <c r="AL279" s="533"/>
      <c r="AM279" s="533"/>
      <c r="AN279" s="533"/>
      <c r="AO279" s="533"/>
      <c r="AP279" s="533"/>
      <c r="AQ279" s="533"/>
      <c r="AR279" s="533"/>
      <c r="AS279" s="533"/>
      <c r="AT279" s="533"/>
      <c r="AU279" s="533"/>
    </row>
    <row r="280" spans="1:47" ht="13.5" hidden="1" customHeight="1" x14ac:dyDescent="0.25">
      <c r="A280" s="100"/>
      <c r="B280" s="104" t="s">
        <v>510</v>
      </c>
      <c r="C280" s="708" t="s">
        <v>137</v>
      </c>
      <c r="D280" s="642"/>
      <c r="E280" s="711"/>
      <c r="F280" s="688" t="s">
        <v>20</v>
      </c>
      <c r="G280" s="42" t="s">
        <v>26</v>
      </c>
      <c r="H280" s="27">
        <f>VLOOKUP(C280,A!A$1:O$669,15,FALSE)</f>
        <v>2</v>
      </c>
      <c r="I280" s="27"/>
      <c r="J280" s="28">
        <f>IF(VLOOKUP(C280,A!A$1:O$669,11,FALSE)="y",1,0)</f>
        <v>0</v>
      </c>
      <c r="K280" s="28">
        <f>IF(VLOOKUP(C280,A!A$1:O$669,12,FALSE)="y",1,0)</f>
        <v>0</v>
      </c>
      <c r="L280" s="43" t="str">
        <f>IF(VLOOKUP(C280,A!A$1:O$669,10,FALSE)="y","NEW","")</f>
        <v/>
      </c>
      <c r="M280" s="27">
        <f>VLOOKUP(C280,A!A$1:O$669,13,FALSE)</f>
        <v>0</v>
      </c>
      <c r="N280" s="101">
        <v>1</v>
      </c>
      <c r="O280" s="533">
        <f>VLOOKUP(C280,A!A$1:O$669,9,FALSE)</f>
        <v>0</v>
      </c>
      <c r="P280" s="533" t="s">
        <v>1249</v>
      </c>
      <c r="Q280" s="533" t="str">
        <f>IF(S280=0,"",COUNTIF(Q$12:Q279,"&gt;0")+1)</f>
        <v/>
      </c>
      <c r="R280" s="533" t="str">
        <f>IF(S280=0,"",COUNTIF(R$12:R279,"&gt;0")+1)</f>
        <v/>
      </c>
      <c r="S280" s="533">
        <f t="shared" si="69"/>
        <v>0</v>
      </c>
      <c r="T280" s="533">
        <f>VLOOKUP(C280,A!A$1:AH$669,32,FALSE)</f>
        <v>0</v>
      </c>
      <c r="U280" s="533">
        <v>0.11</v>
      </c>
      <c r="V280" s="533"/>
      <c r="W280" s="533" t="str">
        <f t="shared" ref="W280:W312" si="70">IF(AND(V280&lt;&gt;"",O280=0),"Check",IF(AND(V280=0,O280="Y"),"Check",""))</f>
        <v/>
      </c>
      <c r="X280" s="533">
        <f>IF(V280&lt;&gt;"",COUNTIF(V$46:V280,V280)-1,0)</f>
        <v>0</v>
      </c>
      <c r="Y280" s="533"/>
      <c r="Z280" s="533"/>
      <c r="AA280" s="533"/>
      <c r="AB280" s="533"/>
      <c r="AC280" s="533"/>
      <c r="AD280" s="533"/>
      <c r="AE280" s="533"/>
      <c r="AF280" s="533"/>
      <c r="AG280" s="533"/>
      <c r="AH280" s="533"/>
      <c r="AI280" s="533"/>
      <c r="AJ280" s="533"/>
      <c r="AK280" s="533"/>
      <c r="AL280" s="533"/>
      <c r="AM280" s="533"/>
      <c r="AN280" s="533"/>
      <c r="AO280" s="533"/>
      <c r="AP280" s="533"/>
      <c r="AQ280" s="533"/>
      <c r="AR280" s="533"/>
      <c r="AS280" s="533"/>
      <c r="AT280" s="533"/>
      <c r="AU280" s="533"/>
    </row>
    <row r="281" spans="1:47" ht="11.25" hidden="1" customHeight="1" x14ac:dyDescent="0.25">
      <c r="A281" s="100"/>
      <c r="B281" s="104" t="s">
        <v>510</v>
      </c>
      <c r="C281" s="708" t="s">
        <v>516</v>
      </c>
      <c r="D281" s="642"/>
      <c r="E281" s="711"/>
      <c r="F281" s="688" t="s">
        <v>517</v>
      </c>
      <c r="G281" s="26" t="s">
        <v>518</v>
      </c>
      <c r="H281" s="27">
        <f>VLOOKUP(C281,A!A$1:O$669,15,FALSE)</f>
        <v>2</v>
      </c>
      <c r="I281" s="27"/>
      <c r="J281" s="28">
        <f>IF(VLOOKUP(C281,A!A$1:O$669,11,FALSE)="y",1,0)</f>
        <v>0</v>
      </c>
      <c r="K281" s="28">
        <f>IF(VLOOKUP(C281,A!A$1:O$669,12,FALSE)="y",1,0)</f>
        <v>0</v>
      </c>
      <c r="L281" s="544" t="str">
        <f t="shared" ref="L281:L347" si="71">IF(T281&lt;35,"Low",IF(T281&gt;40,"High","Med"))</f>
        <v>Low</v>
      </c>
      <c r="M281" s="27">
        <f>VLOOKUP(C281,A!A$1:O$669,13,FALSE)</f>
        <v>0</v>
      </c>
      <c r="N281" s="101">
        <v>1</v>
      </c>
      <c r="O281" s="533">
        <f>VLOOKUP(C281,A!A$1:O$669,9,FALSE)</f>
        <v>0</v>
      </c>
      <c r="P281" s="533" t="s">
        <v>1249</v>
      </c>
      <c r="Q281" s="533" t="str">
        <f>IF(S281=0,"",COUNTIF(Q$12:Q280,"&gt;0")+1)</f>
        <v/>
      </c>
      <c r="R281" s="533" t="str">
        <f>IF(S281=0,"",COUNTIF(R$12:R280,"&gt;0")+1)</f>
        <v/>
      </c>
      <c r="S281" s="533">
        <f t="shared" si="69"/>
        <v>0</v>
      </c>
      <c r="T281" s="533">
        <f>VLOOKUP(C281,A!A$1:AH$669,32,FALSE)</f>
        <v>0</v>
      </c>
      <c r="U281" s="533">
        <v>0.11</v>
      </c>
      <c r="V281" s="533"/>
      <c r="W281" s="533" t="str">
        <f t="shared" si="70"/>
        <v/>
      </c>
      <c r="X281" s="533">
        <f>IF(V281&lt;&gt;"",COUNTIF(V$46:V281,V281)-1,0)</f>
        <v>0</v>
      </c>
      <c r="Y281" s="533"/>
      <c r="Z281" s="533"/>
      <c r="AA281" s="533"/>
      <c r="AB281" s="533"/>
      <c r="AC281" s="533"/>
      <c r="AD281" s="533"/>
      <c r="AE281" s="533"/>
      <c r="AF281" s="533"/>
      <c r="AG281" s="533"/>
      <c r="AH281" s="533"/>
      <c r="AI281" s="533"/>
      <c r="AJ281" s="533"/>
      <c r="AK281" s="533"/>
      <c r="AL281" s="533"/>
      <c r="AM281" s="533"/>
      <c r="AN281" s="533"/>
      <c r="AO281" s="533"/>
      <c r="AP281" s="533"/>
      <c r="AQ281" s="533"/>
      <c r="AR281" s="533"/>
      <c r="AS281" s="533"/>
      <c r="AT281" s="533"/>
      <c r="AU281" s="533"/>
    </row>
    <row r="282" spans="1:47" ht="11.25" hidden="1" customHeight="1" x14ac:dyDescent="0.25">
      <c r="A282" s="100"/>
      <c r="B282" s="104" t="s">
        <v>510</v>
      </c>
      <c r="C282" s="708" t="s">
        <v>519</v>
      </c>
      <c r="D282" s="642"/>
      <c r="E282" s="711"/>
      <c r="F282" s="688" t="s">
        <v>520</v>
      </c>
      <c r="G282" s="26" t="s">
        <v>521</v>
      </c>
      <c r="H282" s="27">
        <f>VLOOKUP(C282,A!A$1:O$669,15,FALSE)</f>
        <v>2</v>
      </c>
      <c r="I282" s="27"/>
      <c r="J282" s="28">
        <f>IF(VLOOKUP(C282,A!A$1:O$669,11,FALSE)="y",1,0)</f>
        <v>0</v>
      </c>
      <c r="K282" s="28">
        <f>IF(VLOOKUP(C282,A!A$1:O$669,12,FALSE)="y",1,0)</f>
        <v>0</v>
      </c>
      <c r="L282" s="544" t="str">
        <f t="shared" si="71"/>
        <v>Low</v>
      </c>
      <c r="M282" s="27">
        <f>VLOOKUP(C282,A!A$1:O$669,13,FALSE)</f>
        <v>0</v>
      </c>
      <c r="N282" s="101">
        <v>1</v>
      </c>
      <c r="O282" s="533">
        <f>VLOOKUP(C282,A!A$1:O$669,9,FALSE)</f>
        <v>0</v>
      </c>
      <c r="P282" s="533" t="s">
        <v>1249</v>
      </c>
      <c r="Q282" s="533" t="str">
        <f>IF(S282=0,"",COUNTIF(Q$12:Q281,"&gt;0")+1)</f>
        <v/>
      </c>
      <c r="R282" s="533" t="str">
        <f>IF(S282=0,"",COUNTIF(R$12:R281,"&gt;0")+1)</f>
        <v/>
      </c>
      <c r="S282" s="533">
        <f t="shared" si="69"/>
        <v>0</v>
      </c>
      <c r="T282" s="533">
        <f>VLOOKUP(C282,A!A$1:AH$669,32,FALSE)</f>
        <v>0</v>
      </c>
      <c r="U282" s="533">
        <v>0.11</v>
      </c>
      <c r="V282" s="533"/>
      <c r="W282" s="533" t="str">
        <f t="shared" si="70"/>
        <v/>
      </c>
      <c r="X282" s="533">
        <f>IF(V282&lt;&gt;"",COUNTIF(V$46:V282,V282)-1,0)</f>
        <v>0</v>
      </c>
      <c r="Y282" s="533"/>
      <c r="Z282" s="533"/>
      <c r="AA282" s="533"/>
      <c r="AB282" s="533"/>
      <c r="AC282" s="533"/>
      <c r="AD282" s="533"/>
      <c r="AE282" s="533"/>
      <c r="AF282" s="533"/>
      <c r="AG282" s="533"/>
      <c r="AH282" s="533"/>
      <c r="AI282" s="533"/>
      <c r="AJ282" s="533"/>
      <c r="AK282" s="533"/>
      <c r="AL282" s="533"/>
      <c r="AM282" s="533"/>
      <c r="AN282" s="533"/>
      <c r="AO282" s="533"/>
      <c r="AP282" s="533"/>
      <c r="AQ282" s="533"/>
      <c r="AR282" s="533"/>
      <c r="AS282" s="533"/>
      <c r="AT282" s="533"/>
      <c r="AU282" s="533"/>
    </row>
    <row r="283" spans="1:47" ht="11.25" hidden="1" customHeight="1" x14ac:dyDescent="0.25">
      <c r="A283" s="100"/>
      <c r="B283" s="104" t="s">
        <v>510</v>
      </c>
      <c r="C283" s="708" t="s">
        <v>522</v>
      </c>
      <c r="D283" s="642"/>
      <c r="E283" s="711"/>
      <c r="F283" s="688" t="s">
        <v>523</v>
      </c>
      <c r="G283" s="26" t="s">
        <v>524</v>
      </c>
      <c r="H283" s="27">
        <f>VLOOKUP(C283,A!A$1:O$669,15,FALSE)</f>
        <v>2</v>
      </c>
      <c r="I283" s="27"/>
      <c r="J283" s="28">
        <f>IF(VLOOKUP(C283,A!A$1:O$669,11,FALSE)="y",1,0)</f>
        <v>0</v>
      </c>
      <c r="K283" s="28">
        <f>IF(VLOOKUP(C283,A!A$1:O$669,12,FALSE)="y",1,0)</f>
        <v>0</v>
      </c>
      <c r="L283" s="544" t="str">
        <f t="shared" si="71"/>
        <v>Low</v>
      </c>
      <c r="M283" s="27">
        <f>VLOOKUP(C283,A!A$1:O$669,13,FALSE)</f>
        <v>0</v>
      </c>
      <c r="N283" s="101">
        <v>1</v>
      </c>
      <c r="O283" s="533">
        <f>VLOOKUP(C283,A!A$1:O$669,9,FALSE)</f>
        <v>0</v>
      </c>
      <c r="P283" s="533" t="s">
        <v>1249</v>
      </c>
      <c r="Q283" s="533" t="str">
        <f>IF(S283=0,"",COUNTIF(Q$12:Q282,"&gt;0")+1)</f>
        <v/>
      </c>
      <c r="R283" s="533" t="str">
        <f>IF(S283=0,"",COUNTIF(R$12:R282,"&gt;0")+1)</f>
        <v/>
      </c>
      <c r="S283" s="533">
        <f t="shared" si="69"/>
        <v>0</v>
      </c>
      <c r="T283" s="533">
        <f>VLOOKUP(C283,A!A$1:AH$669,32,FALSE)</f>
        <v>0</v>
      </c>
      <c r="U283" s="533">
        <v>0.11</v>
      </c>
      <c r="V283" s="533"/>
      <c r="W283" s="533" t="str">
        <f t="shared" si="70"/>
        <v/>
      </c>
      <c r="X283" s="533">
        <f>IF(V283&lt;&gt;"",COUNTIF(V$46:V283,V283)-1,0)</f>
        <v>0</v>
      </c>
      <c r="Y283" s="533"/>
      <c r="Z283" s="533"/>
      <c r="AA283" s="533"/>
      <c r="AB283" s="533"/>
      <c r="AC283" s="533"/>
      <c r="AD283" s="533"/>
      <c r="AE283" s="533"/>
      <c r="AF283" s="533"/>
      <c r="AG283" s="533"/>
      <c r="AH283" s="533"/>
      <c r="AI283" s="533"/>
      <c r="AJ283" s="533"/>
      <c r="AK283" s="533"/>
      <c r="AL283" s="533"/>
      <c r="AM283" s="533"/>
      <c r="AN283" s="533"/>
      <c r="AO283" s="533"/>
      <c r="AP283" s="533"/>
      <c r="AQ283" s="533"/>
      <c r="AR283" s="533"/>
      <c r="AS283" s="533"/>
      <c r="AT283" s="533"/>
      <c r="AU283" s="533"/>
    </row>
    <row r="284" spans="1:47" ht="11.25" hidden="1" customHeight="1" x14ac:dyDescent="0.25">
      <c r="A284" s="100"/>
      <c r="B284" s="104" t="s">
        <v>510</v>
      </c>
      <c r="C284" s="708" t="s">
        <v>525</v>
      </c>
      <c r="D284" s="642"/>
      <c r="E284" s="711"/>
      <c r="F284" s="688" t="s">
        <v>523</v>
      </c>
      <c r="G284" s="26" t="s">
        <v>526</v>
      </c>
      <c r="H284" s="27">
        <f>VLOOKUP(C284,A!A$1:O$669,15,FALSE)</f>
        <v>2</v>
      </c>
      <c r="I284" s="27"/>
      <c r="J284" s="28">
        <f>IF(VLOOKUP(C284,A!A$1:O$669,11,FALSE)="y",1,0)</f>
        <v>0</v>
      </c>
      <c r="K284" s="28">
        <f>IF(VLOOKUP(C284,A!A$1:O$669,12,FALSE)="y",1,0)</f>
        <v>0</v>
      </c>
      <c r="L284" s="544" t="str">
        <f t="shared" si="71"/>
        <v>Low</v>
      </c>
      <c r="M284" s="27">
        <f>VLOOKUP(C284,A!A$1:O$669,13,FALSE)</f>
        <v>0</v>
      </c>
      <c r="N284" s="101">
        <v>1</v>
      </c>
      <c r="O284" s="533">
        <f>VLOOKUP(C284,A!A$1:O$669,9,FALSE)</f>
        <v>0</v>
      </c>
      <c r="P284" s="533" t="s">
        <v>1249</v>
      </c>
      <c r="Q284" s="533" t="str">
        <f>IF(S284=0,"",COUNTIF(Q$12:Q283,"&gt;0")+1)</f>
        <v/>
      </c>
      <c r="R284" s="533" t="str">
        <f>IF(S284=0,"",COUNTIF(R$12:R283,"&gt;0")+1)</f>
        <v/>
      </c>
      <c r="S284" s="533">
        <f t="shared" si="69"/>
        <v>0</v>
      </c>
      <c r="T284" s="533">
        <f>VLOOKUP(C284,A!A$1:AH$669,32,FALSE)</f>
        <v>0</v>
      </c>
      <c r="U284" s="533">
        <v>0.11</v>
      </c>
      <c r="V284" s="533"/>
      <c r="W284" s="533" t="str">
        <f t="shared" si="70"/>
        <v/>
      </c>
      <c r="X284" s="533">
        <f>IF(V284&lt;&gt;"",COUNTIF(V$46:V284,V284)-1,0)</f>
        <v>0</v>
      </c>
      <c r="Y284" s="533"/>
      <c r="Z284" s="533"/>
      <c r="AA284" s="533"/>
      <c r="AB284" s="533"/>
      <c r="AC284" s="533"/>
      <c r="AD284" s="533"/>
      <c r="AE284" s="533"/>
      <c r="AF284" s="533"/>
      <c r="AG284" s="533"/>
      <c r="AH284" s="533"/>
      <c r="AI284" s="533"/>
      <c r="AJ284" s="533"/>
      <c r="AK284" s="533"/>
      <c r="AL284" s="533"/>
      <c r="AM284" s="533"/>
      <c r="AN284" s="533"/>
      <c r="AO284" s="533"/>
      <c r="AP284" s="533"/>
      <c r="AQ284" s="533"/>
      <c r="AR284" s="533"/>
      <c r="AS284" s="533"/>
      <c r="AT284" s="533"/>
      <c r="AU284" s="533"/>
    </row>
    <row r="285" spans="1:47" ht="11.25" hidden="1" customHeight="1" x14ac:dyDescent="0.25">
      <c r="A285" s="100"/>
      <c r="B285" s="104" t="s">
        <v>510</v>
      </c>
      <c r="C285" s="708" t="s">
        <v>527</v>
      </c>
      <c r="D285" s="642"/>
      <c r="E285" s="711"/>
      <c r="F285" s="688" t="s">
        <v>523</v>
      </c>
      <c r="G285" s="26" t="s">
        <v>528</v>
      </c>
      <c r="H285" s="27">
        <f>VLOOKUP(C285,A!A$1:O$669,15,FALSE)</f>
        <v>2</v>
      </c>
      <c r="I285" s="27"/>
      <c r="J285" s="28">
        <f>IF(VLOOKUP(C285,A!A$1:O$669,11,FALSE)="y",1,0)</f>
        <v>0</v>
      </c>
      <c r="K285" s="28">
        <f>IF(VLOOKUP(C285,A!A$1:O$669,12,FALSE)="y",1,0)</f>
        <v>0</v>
      </c>
      <c r="L285" s="544" t="str">
        <f t="shared" si="71"/>
        <v>Low</v>
      </c>
      <c r="M285" s="27">
        <f>VLOOKUP(C285,A!A$1:O$669,13,FALSE)</f>
        <v>0</v>
      </c>
      <c r="N285" s="101">
        <v>1</v>
      </c>
      <c r="O285" s="533">
        <f>VLOOKUP(C285,A!A$1:O$669,9,FALSE)</f>
        <v>0</v>
      </c>
      <c r="P285" s="533" t="s">
        <v>1249</v>
      </c>
      <c r="Q285" s="533" t="str">
        <f>IF(S285=0,"",COUNTIF(Q$12:Q284,"&gt;0")+1)</f>
        <v/>
      </c>
      <c r="R285" s="533" t="str">
        <f>IF(S285=0,"",COUNTIF(R$12:R284,"&gt;0")+1)</f>
        <v/>
      </c>
      <c r="S285" s="533">
        <f t="shared" si="69"/>
        <v>0</v>
      </c>
      <c r="T285" s="533">
        <f>VLOOKUP(C285,A!A$1:AH$669,32,FALSE)</f>
        <v>0</v>
      </c>
      <c r="U285" s="533">
        <v>0.11</v>
      </c>
      <c r="V285" s="533"/>
      <c r="W285" s="533" t="str">
        <f t="shared" si="70"/>
        <v/>
      </c>
      <c r="X285" s="533">
        <f>IF(V285&lt;&gt;"",COUNTIF(V$46:V285,V285)-1,0)</f>
        <v>0</v>
      </c>
      <c r="Y285" s="533"/>
      <c r="Z285" s="533"/>
      <c r="AA285" s="533"/>
      <c r="AB285" s="533"/>
      <c r="AC285" s="533"/>
      <c r="AD285" s="533"/>
      <c r="AE285" s="533"/>
      <c r="AF285" s="533"/>
      <c r="AG285" s="533"/>
      <c r="AH285" s="533"/>
      <c r="AI285" s="533"/>
      <c r="AJ285" s="533"/>
      <c r="AK285" s="533"/>
      <c r="AL285" s="533"/>
      <c r="AM285" s="533"/>
      <c r="AN285" s="533"/>
      <c r="AO285" s="533"/>
      <c r="AP285" s="533"/>
      <c r="AQ285" s="533"/>
      <c r="AR285" s="533"/>
      <c r="AS285" s="533"/>
      <c r="AT285" s="533"/>
      <c r="AU285" s="533"/>
    </row>
    <row r="286" spans="1:47" ht="11.25" hidden="1" customHeight="1" x14ac:dyDescent="0.25">
      <c r="A286" s="100"/>
      <c r="B286" s="104" t="s">
        <v>510</v>
      </c>
      <c r="C286" s="708" t="s">
        <v>529</v>
      </c>
      <c r="D286" s="642"/>
      <c r="E286" s="711"/>
      <c r="F286" s="688" t="s">
        <v>523</v>
      </c>
      <c r="G286" s="26" t="s">
        <v>530</v>
      </c>
      <c r="H286" s="27">
        <f>VLOOKUP(C286,A!A$1:O$669,15,FALSE)</f>
        <v>2</v>
      </c>
      <c r="I286" s="27"/>
      <c r="J286" s="28">
        <f>IF(VLOOKUP(C286,A!A$1:O$669,11,FALSE)="y",1,0)</f>
        <v>0</v>
      </c>
      <c r="K286" s="28">
        <f>IF(VLOOKUP(C286,A!A$1:O$669,12,FALSE)="y",1,0)</f>
        <v>0</v>
      </c>
      <c r="L286" s="544" t="str">
        <f t="shared" si="71"/>
        <v>Low</v>
      </c>
      <c r="M286" s="27">
        <f>VLOOKUP(C286,A!A$1:O$669,13,FALSE)</f>
        <v>0</v>
      </c>
      <c r="N286" s="101">
        <v>1</v>
      </c>
      <c r="O286" s="533">
        <f>VLOOKUP(C286,A!A$1:O$669,9,FALSE)</f>
        <v>0</v>
      </c>
      <c r="P286" s="533" t="s">
        <v>1249</v>
      </c>
      <c r="Q286" s="533" t="str">
        <f>IF(S286=0,"",COUNTIF(Q$12:Q285,"&gt;0")+1)</f>
        <v/>
      </c>
      <c r="R286" s="533" t="str">
        <f>IF(S286=0,"",COUNTIF(R$12:R285,"&gt;0")+1)</f>
        <v/>
      </c>
      <c r="S286" s="533">
        <f t="shared" si="69"/>
        <v>0</v>
      </c>
      <c r="T286" s="533">
        <f>VLOOKUP(C286,A!A$1:AH$669,32,FALSE)</f>
        <v>0</v>
      </c>
      <c r="U286" s="533">
        <v>0.11</v>
      </c>
      <c r="V286" s="533"/>
      <c r="W286" s="533" t="str">
        <f t="shared" si="70"/>
        <v/>
      </c>
      <c r="X286" s="533">
        <f>IF(V286&lt;&gt;"",COUNTIF(V$46:V286,V286)-1,0)</f>
        <v>0</v>
      </c>
      <c r="Y286" s="533"/>
      <c r="Z286" s="533"/>
      <c r="AA286" s="533"/>
      <c r="AB286" s="533"/>
      <c r="AC286" s="533"/>
      <c r="AD286" s="533"/>
      <c r="AE286" s="533"/>
      <c r="AF286" s="533"/>
      <c r="AG286" s="533"/>
      <c r="AH286" s="533"/>
      <c r="AI286" s="533"/>
      <c r="AJ286" s="533"/>
      <c r="AK286" s="533"/>
      <c r="AL286" s="533"/>
      <c r="AM286" s="533"/>
      <c r="AN286" s="533"/>
      <c r="AO286" s="533"/>
      <c r="AP286" s="533"/>
      <c r="AQ286" s="533"/>
      <c r="AR286" s="533"/>
      <c r="AS286" s="533"/>
      <c r="AT286" s="533"/>
      <c r="AU286" s="533"/>
    </row>
    <row r="287" spans="1:47" ht="11.25" hidden="1" customHeight="1" x14ac:dyDescent="0.25">
      <c r="A287" s="100"/>
      <c r="B287" s="104" t="s">
        <v>510</v>
      </c>
      <c r="C287" s="708" t="s">
        <v>531</v>
      </c>
      <c r="D287" s="642"/>
      <c r="E287" s="711"/>
      <c r="F287" s="688" t="s">
        <v>523</v>
      </c>
      <c r="G287" s="26" t="s">
        <v>532</v>
      </c>
      <c r="H287" s="27">
        <f>VLOOKUP(C287,A!A$1:O$669,15,FALSE)</f>
        <v>2</v>
      </c>
      <c r="I287" s="27"/>
      <c r="J287" s="28">
        <f>IF(VLOOKUP(C287,A!A$1:O$669,11,FALSE)="y",1,0)</f>
        <v>0</v>
      </c>
      <c r="K287" s="28">
        <f>IF(VLOOKUP(C287,A!A$1:O$669,12,FALSE)="y",1,0)</f>
        <v>0</v>
      </c>
      <c r="L287" s="544" t="str">
        <f t="shared" si="71"/>
        <v>Low</v>
      </c>
      <c r="M287" s="27">
        <f>VLOOKUP(C287,A!A$1:O$669,13,FALSE)</f>
        <v>0</v>
      </c>
      <c r="N287" s="101">
        <v>1</v>
      </c>
      <c r="O287" s="533">
        <f>VLOOKUP(C287,A!A$1:O$669,9,FALSE)</f>
        <v>0</v>
      </c>
      <c r="P287" s="533" t="s">
        <v>1249</v>
      </c>
      <c r="Q287" s="533" t="str">
        <f>IF(S287=0,"",COUNTIF(Q$12:Q286,"&gt;0")+1)</f>
        <v/>
      </c>
      <c r="R287" s="533" t="str">
        <f>IF(S287=0,"",COUNTIF(R$12:R286,"&gt;0")+1)</f>
        <v/>
      </c>
      <c r="S287" s="533">
        <f t="shared" si="69"/>
        <v>0</v>
      </c>
      <c r="T287" s="533">
        <f>VLOOKUP(C287,A!A$1:AH$669,32,FALSE)</f>
        <v>0</v>
      </c>
      <c r="U287" s="533">
        <v>0.11</v>
      </c>
      <c r="V287" s="533"/>
      <c r="W287" s="533" t="str">
        <f t="shared" si="70"/>
        <v/>
      </c>
      <c r="X287" s="533">
        <f>IF(V287&lt;&gt;"",COUNTIF(V$46:V287,V287)-1,0)</f>
        <v>0</v>
      </c>
      <c r="Y287" s="533"/>
      <c r="Z287" s="533"/>
      <c r="AA287" s="533"/>
      <c r="AB287" s="533"/>
      <c r="AC287" s="533"/>
      <c r="AD287" s="533"/>
      <c r="AE287" s="533"/>
      <c r="AF287" s="533"/>
      <c r="AG287" s="533"/>
      <c r="AH287" s="533"/>
      <c r="AI287" s="533"/>
      <c r="AJ287" s="533"/>
      <c r="AK287" s="533"/>
      <c r="AL287" s="533"/>
      <c r="AM287" s="533"/>
      <c r="AN287" s="533"/>
      <c r="AO287" s="533"/>
      <c r="AP287" s="533"/>
      <c r="AQ287" s="533"/>
      <c r="AR287" s="533"/>
      <c r="AS287" s="533"/>
      <c r="AT287" s="533"/>
      <c r="AU287" s="533"/>
    </row>
    <row r="288" spans="1:47" ht="11.25" hidden="1" customHeight="1" x14ac:dyDescent="0.25">
      <c r="A288" s="100"/>
      <c r="B288" s="104" t="s">
        <v>510</v>
      </c>
      <c r="C288" s="708" t="s">
        <v>533</v>
      </c>
      <c r="D288" s="642"/>
      <c r="E288" s="711"/>
      <c r="F288" s="688" t="s">
        <v>534</v>
      </c>
      <c r="G288" s="26" t="s">
        <v>535</v>
      </c>
      <c r="H288" s="27">
        <f>VLOOKUP(C288,A!A$1:O$669,15,FALSE)</f>
        <v>1</v>
      </c>
      <c r="I288" s="27"/>
      <c r="J288" s="28">
        <f>IF(VLOOKUP(C288,A!A$1:O$669,11,FALSE)="y",1,0)</f>
        <v>0</v>
      </c>
      <c r="K288" s="28">
        <f>IF(VLOOKUP(C288,A!A$1:O$669,12,FALSE)="y",1,0)</f>
        <v>0</v>
      </c>
      <c r="L288" s="544" t="str">
        <f t="shared" si="71"/>
        <v>Low</v>
      </c>
      <c r="M288" s="27">
        <f>VLOOKUP(C288,A!A$1:O$669,13,FALSE)</f>
        <v>0</v>
      </c>
      <c r="N288" s="101">
        <v>1</v>
      </c>
      <c r="O288" s="533">
        <f>VLOOKUP(C288,A!A$1:O$669,9,FALSE)</f>
        <v>0</v>
      </c>
      <c r="P288" s="533" t="s">
        <v>1249</v>
      </c>
      <c r="Q288" s="533" t="str">
        <f>IF(S288=0,"",COUNTIF(Q$12:Q287,"&gt;0")+1)</f>
        <v/>
      </c>
      <c r="R288" s="533" t="str">
        <f>IF(S288=0,"",COUNTIF(R$12:R287,"&gt;0")+1)</f>
        <v/>
      </c>
      <c r="S288" s="533">
        <f t="shared" si="69"/>
        <v>0</v>
      </c>
      <c r="T288" s="533">
        <f>VLOOKUP(C288,A!A$1:AH$669,32,FALSE)</f>
        <v>0</v>
      </c>
      <c r="U288" s="533">
        <v>0.11</v>
      </c>
      <c r="V288" s="533"/>
      <c r="W288" s="533" t="str">
        <f t="shared" si="70"/>
        <v/>
      </c>
      <c r="X288" s="533">
        <f>IF(V288&lt;&gt;"",COUNTIF(V$46:V288,V288)-1,0)</f>
        <v>0</v>
      </c>
      <c r="Y288" s="533"/>
      <c r="Z288" s="533"/>
      <c r="AA288" s="533"/>
      <c r="AB288" s="533"/>
      <c r="AC288" s="533"/>
      <c r="AD288" s="533"/>
      <c r="AE288" s="533"/>
      <c r="AF288" s="533"/>
      <c r="AG288" s="533"/>
      <c r="AH288" s="533"/>
      <c r="AI288" s="533"/>
      <c r="AJ288" s="533"/>
      <c r="AK288" s="533"/>
      <c r="AL288" s="533"/>
      <c r="AM288" s="533"/>
      <c r="AN288" s="533"/>
      <c r="AO288" s="533"/>
      <c r="AP288" s="533"/>
      <c r="AQ288" s="533"/>
      <c r="AR288" s="533"/>
      <c r="AS288" s="533"/>
      <c r="AT288" s="533"/>
      <c r="AU288" s="533"/>
    </row>
    <row r="289" spans="1:47" ht="11.25" hidden="1" customHeight="1" x14ac:dyDescent="0.25">
      <c r="A289" s="100"/>
      <c r="B289" s="104" t="s">
        <v>510</v>
      </c>
      <c r="C289" s="708" t="s">
        <v>536</v>
      </c>
      <c r="D289" s="642"/>
      <c r="E289" s="711"/>
      <c r="F289" s="688" t="s">
        <v>537</v>
      </c>
      <c r="G289" s="26" t="s">
        <v>538</v>
      </c>
      <c r="H289" s="27">
        <f>VLOOKUP(C289,A!A$1:O$669,15,FALSE)</f>
        <v>1</v>
      </c>
      <c r="I289" s="27"/>
      <c r="J289" s="28">
        <f>IF(VLOOKUP(C289,A!A$1:O$669,11,FALSE)="y",1,0)</f>
        <v>0</v>
      </c>
      <c r="K289" s="28">
        <f>IF(VLOOKUP(C289,A!A$1:O$669,12,FALSE)="y",1,0)</f>
        <v>0</v>
      </c>
      <c r="L289" s="544" t="str">
        <f t="shared" si="71"/>
        <v>Low</v>
      </c>
      <c r="M289" s="27">
        <f>VLOOKUP(C289,A!A$1:O$669,13,FALSE)</f>
        <v>0</v>
      </c>
      <c r="N289" s="101">
        <v>1</v>
      </c>
      <c r="O289" s="533">
        <f>VLOOKUP(C289,A!A$1:O$669,9,FALSE)</f>
        <v>0</v>
      </c>
      <c r="P289" s="533" t="s">
        <v>1249</v>
      </c>
      <c r="Q289" s="533" t="str">
        <f>IF(S289=0,"",COUNTIF(Q$12:Q288,"&gt;0")+1)</f>
        <v/>
      </c>
      <c r="R289" s="533" t="str">
        <f>IF(S289=0,"",COUNTIF(R$12:R288,"&gt;0")+1)</f>
        <v/>
      </c>
      <c r="S289" s="533">
        <f t="shared" si="69"/>
        <v>0</v>
      </c>
      <c r="T289" s="533">
        <f>VLOOKUP(C289,A!A$1:AH$669,32,FALSE)</f>
        <v>0</v>
      </c>
      <c r="U289" s="533">
        <v>0.11</v>
      </c>
      <c r="V289" s="533"/>
      <c r="W289" s="533" t="str">
        <f t="shared" si="70"/>
        <v/>
      </c>
      <c r="X289" s="533">
        <f>IF(V289&lt;&gt;"",COUNTIF(V$46:V289,V289)-1,0)</f>
        <v>0</v>
      </c>
      <c r="Y289" s="533"/>
      <c r="Z289" s="533"/>
      <c r="AA289" s="533"/>
      <c r="AB289" s="533"/>
      <c r="AC289" s="533"/>
      <c r="AD289" s="533"/>
      <c r="AE289" s="533"/>
      <c r="AF289" s="533"/>
      <c r="AG289" s="533"/>
      <c r="AH289" s="533"/>
      <c r="AI289" s="533"/>
      <c r="AJ289" s="533"/>
      <c r="AK289" s="533"/>
      <c r="AL289" s="533"/>
      <c r="AM289" s="533"/>
      <c r="AN289" s="533"/>
      <c r="AO289" s="533"/>
      <c r="AP289" s="533"/>
      <c r="AQ289" s="533"/>
      <c r="AR289" s="533"/>
      <c r="AS289" s="533"/>
      <c r="AT289" s="533"/>
      <c r="AU289" s="533"/>
    </row>
    <row r="290" spans="1:47" ht="11.25" hidden="1" customHeight="1" x14ac:dyDescent="0.25">
      <c r="A290" s="100"/>
      <c r="B290" s="104" t="s">
        <v>510</v>
      </c>
      <c r="C290" s="695" t="s">
        <v>539</v>
      </c>
      <c r="D290" s="642"/>
      <c r="E290" s="711"/>
      <c r="F290" s="688" t="s">
        <v>540</v>
      </c>
      <c r="G290" s="26" t="s">
        <v>541</v>
      </c>
      <c r="H290" s="27">
        <f>VLOOKUP(C290,A!A$1:O$669,15,FALSE)</f>
        <v>1</v>
      </c>
      <c r="I290" s="27"/>
      <c r="J290" s="28">
        <f>IF(VLOOKUP(C290,A!A$1:O$669,11,FALSE)="y",1,0)</f>
        <v>0</v>
      </c>
      <c r="K290" s="28">
        <f>IF(VLOOKUP(C290,A!A$1:O$669,12,FALSE)="y",1,0)</f>
        <v>0</v>
      </c>
      <c r="L290" s="544" t="str">
        <f t="shared" si="71"/>
        <v>Low</v>
      </c>
      <c r="M290" s="27">
        <f>VLOOKUP(C290,A!A$1:O$669,13,FALSE)</f>
        <v>0</v>
      </c>
      <c r="N290" s="101">
        <v>1</v>
      </c>
      <c r="O290" s="533">
        <f>VLOOKUP(C290,A!A$1:O$669,9,FALSE)</f>
        <v>0</v>
      </c>
      <c r="P290" s="533" t="s">
        <v>1249</v>
      </c>
      <c r="Q290" s="533" t="str">
        <f>IF(S290=0,"",COUNTIF(Q$12:Q289,"&gt;0")+1)</f>
        <v/>
      </c>
      <c r="R290" s="533" t="str">
        <f>IF(S290=0,"",COUNTIF(R$12:R289,"&gt;0")+1)</f>
        <v/>
      </c>
      <c r="S290" s="533">
        <f t="shared" si="69"/>
        <v>0</v>
      </c>
      <c r="T290" s="533">
        <f>VLOOKUP(C290,A!A$1:AH$669,32,FALSE)</f>
        <v>0</v>
      </c>
      <c r="U290" s="533">
        <v>0.11</v>
      </c>
      <c r="V290" s="533"/>
      <c r="W290" s="533" t="str">
        <f t="shared" si="70"/>
        <v/>
      </c>
      <c r="X290" s="533">
        <f>IF(V290&lt;&gt;"",COUNTIF(V$46:V290,V290)-1,0)</f>
        <v>0</v>
      </c>
      <c r="Y290" s="533"/>
      <c r="Z290" s="533"/>
      <c r="AA290" s="533"/>
      <c r="AB290" s="533"/>
      <c r="AC290" s="533"/>
      <c r="AD290" s="533"/>
      <c r="AE290" s="533"/>
      <c r="AF290" s="533"/>
      <c r="AG290" s="533"/>
      <c r="AH290" s="533"/>
      <c r="AI290" s="533"/>
      <c r="AJ290" s="533"/>
      <c r="AK290" s="533"/>
      <c r="AL290" s="533"/>
      <c r="AM290" s="533"/>
      <c r="AN290" s="533"/>
      <c r="AO290" s="533"/>
      <c r="AP290" s="533"/>
      <c r="AQ290" s="533"/>
      <c r="AR290" s="533"/>
      <c r="AS290" s="533"/>
      <c r="AT290" s="533"/>
      <c r="AU290" s="533"/>
    </row>
    <row r="291" spans="1:47" ht="11.25" hidden="1" customHeight="1" x14ac:dyDescent="0.25">
      <c r="A291" s="100"/>
      <c r="B291" s="104" t="s">
        <v>510</v>
      </c>
      <c r="C291" s="695" t="s">
        <v>67</v>
      </c>
      <c r="D291" s="642"/>
      <c r="E291" s="711"/>
      <c r="F291" s="688" t="s">
        <v>68</v>
      </c>
      <c r="G291" s="26" t="s">
        <v>542</v>
      </c>
      <c r="H291" s="27">
        <f>VLOOKUP(C291,A!A$1:O$669,15,FALSE)</f>
        <v>2</v>
      </c>
      <c r="I291" s="27"/>
      <c r="J291" s="28">
        <f>IF(VLOOKUP(C291,A!A$1:O$669,11,FALSE)="y",1,0)</f>
        <v>0</v>
      </c>
      <c r="K291" s="28">
        <f>IF(VLOOKUP(C291,A!A$1:O$669,12,FALSE)="y",1,0)</f>
        <v>0</v>
      </c>
      <c r="L291" s="544" t="str">
        <f t="shared" si="71"/>
        <v>Low</v>
      </c>
      <c r="M291" s="27">
        <f>VLOOKUP(C291,A!A$1:O$669,13,FALSE)</f>
        <v>0</v>
      </c>
      <c r="N291" s="101">
        <v>1</v>
      </c>
      <c r="O291" s="533">
        <f>VLOOKUP(C291,A!A$1:O$669,9,FALSE)</f>
        <v>0</v>
      </c>
      <c r="P291" s="533" t="s">
        <v>1249</v>
      </c>
      <c r="Q291" s="533" t="str">
        <f>IF(S291=0,"",COUNTIF(Q$12:Q290,"&gt;0")+1)</f>
        <v/>
      </c>
      <c r="R291" s="533" t="str">
        <f>IF(S291=0,"",COUNTIF(R$12:R290,"&gt;0")+1)</f>
        <v/>
      </c>
      <c r="S291" s="533">
        <f t="shared" si="69"/>
        <v>0</v>
      </c>
      <c r="T291" s="533">
        <f>VLOOKUP(C291,A!A$1:AH$669,32,FALSE)</f>
        <v>0</v>
      </c>
      <c r="U291" s="533">
        <v>0.11</v>
      </c>
      <c r="V291" s="533"/>
      <c r="W291" s="533" t="str">
        <f t="shared" si="70"/>
        <v/>
      </c>
      <c r="X291" s="533">
        <f>IF(V291&lt;&gt;"",COUNTIF(V$46:V291,V291)-1,0)</f>
        <v>0</v>
      </c>
      <c r="Y291" s="533"/>
      <c r="Z291" s="533"/>
      <c r="AA291" s="533"/>
      <c r="AB291" s="533"/>
      <c r="AC291" s="533"/>
      <c r="AD291" s="533"/>
      <c r="AE291" s="533"/>
      <c r="AF291" s="533"/>
      <c r="AG291" s="533"/>
      <c r="AH291" s="533"/>
      <c r="AI291" s="533"/>
      <c r="AJ291" s="533"/>
      <c r="AK291" s="533"/>
      <c r="AL291" s="533"/>
      <c r="AM291" s="533"/>
      <c r="AN291" s="533"/>
      <c r="AO291" s="533"/>
      <c r="AP291" s="533"/>
      <c r="AQ291" s="533"/>
      <c r="AR291" s="533"/>
      <c r="AS291" s="533"/>
      <c r="AT291" s="533"/>
      <c r="AU291" s="533"/>
    </row>
    <row r="292" spans="1:47" ht="13.5" hidden="1" customHeight="1" x14ac:dyDescent="0.25">
      <c r="A292" s="100"/>
      <c r="B292" s="104" t="s">
        <v>510</v>
      </c>
      <c r="C292" s="695" t="s">
        <v>1050</v>
      </c>
      <c r="D292" s="642"/>
      <c r="E292" s="711"/>
      <c r="F292" s="688" t="s">
        <v>87</v>
      </c>
      <c r="G292" s="26" t="s">
        <v>543</v>
      </c>
      <c r="H292" s="27">
        <f>VLOOKUP(C292,A!A$1:O$669,15,FALSE)</f>
        <v>1</v>
      </c>
      <c r="I292" s="27"/>
      <c r="J292" s="28">
        <f>IF(VLOOKUP(C292,A!A$1:O$669,11,FALSE)="y",1,0)</f>
        <v>0</v>
      </c>
      <c r="K292" s="28">
        <f>IF(VLOOKUP(C292,A!A$1:O$669,12,FALSE)="y",1,0)</f>
        <v>0</v>
      </c>
      <c r="L292" s="544" t="str">
        <f t="shared" si="71"/>
        <v>Low</v>
      </c>
      <c r="M292" s="27"/>
      <c r="N292" s="101">
        <v>1</v>
      </c>
      <c r="O292" s="533">
        <f>VLOOKUP(C292,A!A$1:O$669,9,FALSE)</f>
        <v>0</v>
      </c>
      <c r="P292" s="533" t="s">
        <v>1249</v>
      </c>
      <c r="Q292" s="533" t="str">
        <f>IF(S292=0,"",COUNTIF(Q$12:Q291,"&gt;0")+1)</f>
        <v/>
      </c>
      <c r="R292" s="533" t="str">
        <f>IF(S292=0,"",COUNTIF(R$12:R291,"&gt;0")+1)</f>
        <v/>
      </c>
      <c r="S292" s="533">
        <f t="shared" si="69"/>
        <v>0</v>
      </c>
      <c r="T292" s="533">
        <f>VLOOKUP(C292,A!A$1:AH$669,32,FALSE)</f>
        <v>0</v>
      </c>
      <c r="U292" s="533">
        <v>0.11</v>
      </c>
      <c r="V292" s="533"/>
      <c r="W292" s="533" t="str">
        <f t="shared" si="70"/>
        <v/>
      </c>
      <c r="X292" s="533">
        <f>IF(V292&lt;&gt;"",COUNTIF(V$46:V292,V292)-1,0)</f>
        <v>0</v>
      </c>
      <c r="Y292" s="533"/>
      <c r="Z292" s="533"/>
      <c r="AA292" s="533"/>
      <c r="AB292" s="533"/>
      <c r="AC292" s="533"/>
      <c r="AD292" s="533"/>
      <c r="AE292" s="533"/>
      <c r="AF292" s="533"/>
      <c r="AG292" s="533"/>
      <c r="AH292" s="533"/>
      <c r="AI292" s="533"/>
      <c r="AJ292" s="533"/>
      <c r="AK292" s="533"/>
      <c r="AL292" s="533"/>
      <c r="AM292" s="533"/>
      <c r="AN292" s="533"/>
      <c r="AO292" s="533"/>
      <c r="AP292" s="533"/>
      <c r="AQ292" s="533"/>
      <c r="AR292" s="533"/>
      <c r="AS292" s="533"/>
      <c r="AT292" s="533"/>
      <c r="AU292" s="533"/>
    </row>
    <row r="293" spans="1:47" ht="11.25" hidden="1" customHeight="1" x14ac:dyDescent="0.25">
      <c r="A293" s="100"/>
      <c r="B293" s="104" t="s">
        <v>510</v>
      </c>
      <c r="C293" s="699" t="s">
        <v>544</v>
      </c>
      <c r="D293" s="642"/>
      <c r="E293" s="711"/>
      <c r="F293" s="688" t="s">
        <v>87</v>
      </c>
      <c r="G293" s="26" t="s">
        <v>543</v>
      </c>
      <c r="H293" s="27">
        <f>VLOOKUP(C293,A!A$1:O$669,15,FALSE)</f>
        <v>1</v>
      </c>
      <c r="I293" s="27"/>
      <c r="J293" s="28">
        <f>IF(VLOOKUP(C293,A!A$1:O$669,11,FALSE)="y",1,0)</f>
        <v>0</v>
      </c>
      <c r="K293" s="28">
        <f>IF(VLOOKUP(C293,A!A$1:O$669,12,FALSE)="y",1,0)</f>
        <v>0</v>
      </c>
      <c r="L293" s="544" t="str">
        <f t="shared" si="71"/>
        <v>Low</v>
      </c>
      <c r="M293" s="27">
        <f>VLOOKUP(C293,A!A$1:O$669,13,FALSE)</f>
        <v>0</v>
      </c>
      <c r="N293" s="101">
        <v>1</v>
      </c>
      <c r="O293" s="533">
        <f>VLOOKUP(C293,A!A$1:O$669,9,FALSE)</f>
        <v>0</v>
      </c>
      <c r="P293" s="533" t="s">
        <v>1249</v>
      </c>
      <c r="Q293" s="533" t="str">
        <f>IF(S293=0,"",COUNTIF(Q$12:Q292,"&gt;0")+1)</f>
        <v/>
      </c>
      <c r="R293" s="533" t="str">
        <f>IF(S293=0,"",COUNTIF(R$12:R292,"&gt;0")+1)</f>
        <v/>
      </c>
      <c r="S293" s="533">
        <f t="shared" si="69"/>
        <v>0</v>
      </c>
      <c r="T293" s="533">
        <f>VLOOKUP(C293,A!A$1:AH$669,32,FALSE)</f>
        <v>0</v>
      </c>
      <c r="U293" s="533">
        <v>0.11</v>
      </c>
      <c r="V293" s="533"/>
      <c r="W293" s="533" t="str">
        <f t="shared" si="70"/>
        <v/>
      </c>
      <c r="X293" s="533">
        <f>IF(V293&lt;&gt;"",COUNTIF(V$46:V293,V293)-1,0)</f>
        <v>0</v>
      </c>
      <c r="Y293" s="533"/>
      <c r="Z293" s="533"/>
      <c r="AA293" s="533"/>
      <c r="AB293" s="533"/>
      <c r="AC293" s="533"/>
      <c r="AD293" s="533"/>
      <c r="AE293" s="533"/>
      <c r="AF293" s="533"/>
      <c r="AG293" s="533"/>
      <c r="AH293" s="533"/>
      <c r="AI293" s="533"/>
      <c r="AJ293" s="533"/>
      <c r="AK293" s="533"/>
      <c r="AL293" s="533"/>
      <c r="AM293" s="533"/>
      <c r="AN293" s="533"/>
      <c r="AO293" s="533"/>
      <c r="AP293" s="533"/>
      <c r="AQ293" s="533"/>
      <c r="AR293" s="533"/>
      <c r="AS293" s="533"/>
      <c r="AT293" s="533"/>
      <c r="AU293" s="533"/>
    </row>
    <row r="294" spans="1:47" ht="11.25" hidden="1" customHeight="1" x14ac:dyDescent="0.25">
      <c r="A294" s="100"/>
      <c r="B294" s="104" t="s">
        <v>510</v>
      </c>
      <c r="C294" s="695" t="s">
        <v>545</v>
      </c>
      <c r="D294" s="642"/>
      <c r="E294" s="711"/>
      <c r="F294" s="688" t="s">
        <v>87</v>
      </c>
      <c r="G294" s="26" t="s">
        <v>543</v>
      </c>
      <c r="H294" s="27">
        <f>VLOOKUP(C294,A!A$1:O$669,15,FALSE)</f>
        <v>1</v>
      </c>
      <c r="I294" s="27"/>
      <c r="J294" s="28">
        <f>IF(VLOOKUP(C294,A!A$1:O$669,11,FALSE)="y",1,0)</f>
        <v>0</v>
      </c>
      <c r="K294" s="28">
        <f>IF(VLOOKUP(C294,A!A$1:O$669,12,FALSE)="y",1,0)</f>
        <v>0</v>
      </c>
      <c r="L294" s="544" t="str">
        <f t="shared" si="71"/>
        <v>Low</v>
      </c>
      <c r="M294" s="27">
        <f>VLOOKUP(C294,A!A$1:O$669,13,FALSE)</f>
        <v>0</v>
      </c>
      <c r="N294" s="101">
        <v>1</v>
      </c>
      <c r="O294" s="533">
        <f>VLOOKUP(C294,A!A$1:O$669,9,FALSE)</f>
        <v>0</v>
      </c>
      <c r="P294" s="533" t="s">
        <v>1249</v>
      </c>
      <c r="Q294" s="533" t="str">
        <f>IF(S294=0,"",COUNTIF(Q$12:Q293,"&gt;0")+1)</f>
        <v/>
      </c>
      <c r="R294" s="533" t="str">
        <f>IF(S294=0,"",COUNTIF(R$12:R293,"&gt;0")+1)</f>
        <v/>
      </c>
      <c r="S294" s="533">
        <f t="shared" si="69"/>
        <v>0</v>
      </c>
      <c r="T294" s="533">
        <f>VLOOKUP(C294,A!A$1:AH$669,32,FALSE)</f>
        <v>0</v>
      </c>
      <c r="U294" s="533">
        <v>0.11</v>
      </c>
      <c r="V294" s="533"/>
      <c r="W294" s="533" t="str">
        <f t="shared" si="70"/>
        <v/>
      </c>
      <c r="X294" s="533">
        <f>IF(V294&lt;&gt;"",COUNTIF(V$46:V294,V294)-1,0)</f>
        <v>0</v>
      </c>
      <c r="Y294" s="533"/>
      <c r="Z294" s="533"/>
      <c r="AA294" s="533"/>
      <c r="AB294" s="533"/>
      <c r="AC294" s="533"/>
      <c r="AD294" s="533"/>
      <c r="AE294" s="533"/>
      <c r="AF294" s="533"/>
      <c r="AG294" s="533"/>
      <c r="AH294" s="533"/>
      <c r="AI294" s="533"/>
      <c r="AJ294" s="533"/>
      <c r="AK294" s="533"/>
      <c r="AL294" s="533"/>
      <c r="AM294" s="533"/>
      <c r="AN294" s="533"/>
      <c r="AO294" s="533"/>
      <c r="AP294" s="533"/>
      <c r="AQ294" s="533"/>
      <c r="AR294" s="533"/>
      <c r="AS294" s="533"/>
      <c r="AT294" s="533"/>
      <c r="AU294" s="533"/>
    </row>
    <row r="295" spans="1:47" ht="11.25" hidden="1" customHeight="1" x14ac:dyDescent="0.25">
      <c r="A295" s="100"/>
      <c r="B295" s="104" t="s">
        <v>510</v>
      </c>
      <c r="C295" s="695" t="s">
        <v>546</v>
      </c>
      <c r="D295" s="642"/>
      <c r="E295" s="711"/>
      <c r="F295" s="688" t="s">
        <v>87</v>
      </c>
      <c r="G295" s="26" t="s">
        <v>543</v>
      </c>
      <c r="H295" s="27">
        <f>VLOOKUP(C295,A!A$1:O$669,15,FALSE)</f>
        <v>1</v>
      </c>
      <c r="I295" s="27"/>
      <c r="J295" s="28">
        <f>IF(VLOOKUP(C295,A!A$1:O$669,11,FALSE)="y",1,0)</f>
        <v>0</v>
      </c>
      <c r="K295" s="28">
        <f>IF(VLOOKUP(C295,A!A$1:O$669,12,FALSE)="y",1,0)</f>
        <v>0</v>
      </c>
      <c r="L295" s="544" t="str">
        <f t="shared" si="71"/>
        <v>Low</v>
      </c>
      <c r="M295" s="27">
        <f>VLOOKUP(C295,A!A$1:O$669,13,FALSE)</f>
        <v>0</v>
      </c>
      <c r="N295" s="101">
        <v>1</v>
      </c>
      <c r="O295" s="533">
        <f>VLOOKUP(C295,A!A$1:O$669,9,FALSE)</f>
        <v>0</v>
      </c>
      <c r="P295" s="533" t="s">
        <v>1249</v>
      </c>
      <c r="Q295" s="533" t="str">
        <f>IF(S295=0,"",COUNTIF(Q$12:Q294,"&gt;0")+1)</f>
        <v/>
      </c>
      <c r="R295" s="533" t="str">
        <f>IF(S295=0,"",COUNTIF(R$12:R294,"&gt;0")+1)</f>
        <v/>
      </c>
      <c r="S295" s="533">
        <f t="shared" si="69"/>
        <v>0</v>
      </c>
      <c r="T295" s="533">
        <f>VLOOKUP(C295,A!A$1:AH$669,32,FALSE)</f>
        <v>0</v>
      </c>
      <c r="U295" s="533">
        <v>0.11</v>
      </c>
      <c r="V295" s="533"/>
      <c r="W295" s="533" t="str">
        <f>IF(AND(V295&lt;&gt;"",O295=0),"Check",IF(AND(V295=0,O295="Y"),"Check",""))</f>
        <v/>
      </c>
      <c r="X295" s="533">
        <f>IF(V295&lt;&gt;"",COUNTIF(V$46:V295,V295)-1,0)</f>
        <v>0</v>
      </c>
      <c r="Y295" s="533"/>
      <c r="Z295" s="533"/>
      <c r="AA295" s="533"/>
      <c r="AB295" s="533"/>
      <c r="AC295" s="533"/>
      <c r="AD295" s="533"/>
      <c r="AE295" s="533"/>
      <c r="AF295" s="533"/>
      <c r="AG295" s="533"/>
      <c r="AH295" s="533"/>
      <c r="AI295" s="533"/>
      <c r="AJ295" s="533"/>
      <c r="AK295" s="533"/>
      <c r="AL295" s="533"/>
      <c r="AM295" s="533"/>
      <c r="AN295" s="533"/>
      <c r="AO295" s="533"/>
      <c r="AP295" s="533"/>
      <c r="AQ295" s="533"/>
      <c r="AR295" s="533"/>
      <c r="AS295" s="533"/>
      <c r="AT295" s="533"/>
      <c r="AU295" s="533"/>
    </row>
    <row r="296" spans="1:47" ht="13.5" hidden="1" customHeight="1" x14ac:dyDescent="0.25">
      <c r="A296" s="100"/>
      <c r="B296" s="104" t="s">
        <v>510</v>
      </c>
      <c r="C296" s="695" t="s">
        <v>1033</v>
      </c>
      <c r="D296" s="728"/>
      <c r="E296" s="711"/>
      <c r="F296" s="688" t="s">
        <v>87</v>
      </c>
      <c r="G296" s="26" t="s">
        <v>1065</v>
      </c>
      <c r="H296" s="27">
        <f>VLOOKUP(C296,A!A$1:O$669,15,FALSE)</f>
        <v>1</v>
      </c>
      <c r="I296" s="27"/>
      <c r="J296" s="28">
        <f>IF(VLOOKUP(C296,A!A$1:O$669,11,FALSE)="y",1,0)</f>
        <v>0</v>
      </c>
      <c r="K296" s="28">
        <f>IF(VLOOKUP(C296,A!A$1:O$669,12,FALSE)="y",1,0)</f>
        <v>0</v>
      </c>
      <c r="L296" s="544" t="str">
        <f t="shared" si="71"/>
        <v>Low</v>
      </c>
      <c r="M296" s="27"/>
      <c r="N296" s="101">
        <v>1</v>
      </c>
      <c r="O296" s="533">
        <f>VLOOKUP(C296,A!A$1:O$669,9,FALSE)</f>
        <v>0</v>
      </c>
      <c r="P296" s="533" t="s">
        <v>1249</v>
      </c>
      <c r="Q296" s="533" t="str">
        <f>IF(S296=0,"",COUNTIF(Q$12:Q295,"&gt;0")+1)</f>
        <v/>
      </c>
      <c r="R296" s="533" t="str">
        <f>IF(S296=0,"",COUNTIF(R$12:R295,"&gt;0")+1)</f>
        <v/>
      </c>
      <c r="S296" s="533">
        <f t="shared" si="69"/>
        <v>0</v>
      </c>
      <c r="T296" s="533">
        <f>VLOOKUP(C296,A!A$1:AH$669,32,FALSE)</f>
        <v>0</v>
      </c>
      <c r="U296" s="533">
        <v>0.11</v>
      </c>
      <c r="V296" s="533"/>
      <c r="W296" s="533" t="str">
        <f t="shared" si="70"/>
        <v/>
      </c>
      <c r="X296" s="533">
        <f>IF(V296&lt;&gt;"",COUNTIF(V$46:V296,V296)-1,0)</f>
        <v>0</v>
      </c>
      <c r="Y296" s="533"/>
      <c r="Z296" s="533"/>
      <c r="AA296" s="533"/>
      <c r="AB296" s="533"/>
      <c r="AC296" s="533"/>
      <c r="AD296" s="533"/>
      <c r="AE296" s="533"/>
      <c r="AF296" s="533"/>
      <c r="AG296" s="533"/>
      <c r="AH296" s="533"/>
      <c r="AI296" s="533"/>
      <c r="AJ296" s="533"/>
      <c r="AK296" s="533"/>
      <c r="AL296" s="533"/>
      <c r="AM296" s="533"/>
      <c r="AN296" s="533"/>
      <c r="AO296" s="533"/>
      <c r="AP296" s="533"/>
      <c r="AQ296" s="533"/>
      <c r="AR296" s="533"/>
      <c r="AS296" s="533"/>
      <c r="AT296" s="533"/>
      <c r="AU296" s="533"/>
    </row>
    <row r="297" spans="1:47" ht="13.5" hidden="1" customHeight="1" x14ac:dyDescent="0.25">
      <c r="A297" s="100"/>
      <c r="B297" s="104" t="s">
        <v>510</v>
      </c>
      <c r="C297" s="695" t="s">
        <v>1034</v>
      </c>
      <c r="D297" s="728"/>
      <c r="E297" s="711"/>
      <c r="F297" s="688" t="s">
        <v>87</v>
      </c>
      <c r="G297" s="26" t="s">
        <v>1044</v>
      </c>
      <c r="H297" s="27">
        <v>1</v>
      </c>
      <c r="I297" s="27"/>
      <c r="J297" s="28">
        <v>0</v>
      </c>
      <c r="K297" s="28">
        <v>0</v>
      </c>
      <c r="L297" s="544" t="s">
        <v>1251</v>
      </c>
      <c r="M297" s="27"/>
      <c r="N297" s="101">
        <v>1</v>
      </c>
      <c r="O297" s="533">
        <f>VLOOKUP(C297,A!A$1:O$669,9,FALSE)</f>
        <v>0</v>
      </c>
      <c r="P297" s="533" t="s">
        <v>1249</v>
      </c>
      <c r="Q297" s="533" t="str">
        <f>IF(S297=0,"",COUNTIF(Q$12:Q296,"&gt;0")+1)</f>
        <v/>
      </c>
      <c r="R297" s="533" t="str">
        <f>IF(S297=0,"",COUNTIF(R$12:R296,"&gt;0")+1)</f>
        <v/>
      </c>
      <c r="S297" s="533">
        <f t="shared" si="69"/>
        <v>0</v>
      </c>
      <c r="T297" s="533">
        <f>VLOOKUP(C297,A!A$1:AH$669,32,FALSE)</f>
        <v>0</v>
      </c>
      <c r="U297" s="533">
        <v>0.11</v>
      </c>
      <c r="V297" s="533"/>
      <c r="W297" s="533"/>
      <c r="X297" s="533">
        <f>IF(V297&lt;&gt;"",COUNTIF(V$46:V297,V297)-1,0)</f>
        <v>0</v>
      </c>
      <c r="Y297" s="533"/>
      <c r="Z297" s="533"/>
      <c r="AA297" s="533"/>
      <c r="AB297" s="533"/>
      <c r="AC297" s="533"/>
      <c r="AD297" s="533"/>
      <c r="AE297" s="533"/>
      <c r="AF297" s="533"/>
      <c r="AG297" s="533"/>
      <c r="AH297" s="533"/>
      <c r="AI297" s="533"/>
      <c r="AJ297" s="533"/>
      <c r="AK297" s="533"/>
      <c r="AL297" s="533"/>
      <c r="AM297" s="533"/>
      <c r="AN297" s="533"/>
      <c r="AO297" s="533"/>
      <c r="AP297" s="533"/>
      <c r="AQ297" s="533"/>
      <c r="AR297" s="533"/>
      <c r="AS297" s="533"/>
      <c r="AT297" s="533"/>
      <c r="AU297" s="533"/>
    </row>
    <row r="298" spans="1:47" ht="11.25" hidden="1" customHeight="1" x14ac:dyDescent="0.25">
      <c r="A298" s="100"/>
      <c r="B298" s="104" t="s">
        <v>510</v>
      </c>
      <c r="C298" s="695" t="s">
        <v>1035</v>
      </c>
      <c r="D298" s="728"/>
      <c r="E298" s="711"/>
      <c r="F298" s="688" t="s">
        <v>87</v>
      </c>
      <c r="G298" s="26" t="s">
        <v>1066</v>
      </c>
      <c r="H298" s="27">
        <f>VLOOKUP(C298,A!A$1:O$669,15,FALSE)</f>
        <v>1</v>
      </c>
      <c r="I298" s="27"/>
      <c r="J298" s="28">
        <f>IF(VLOOKUP(C298,A!A$1:O$669,11,FALSE)="y",1,0)</f>
        <v>0</v>
      </c>
      <c r="K298" s="28">
        <f>IF(VLOOKUP(C298,A!A$1:O$669,12,FALSE)="y",1,0)</f>
        <v>0</v>
      </c>
      <c r="L298" s="544" t="str">
        <f t="shared" si="71"/>
        <v>Low</v>
      </c>
      <c r="M298" s="27"/>
      <c r="N298" s="101">
        <v>1</v>
      </c>
      <c r="O298" s="533">
        <f>VLOOKUP(C298,A!A$1:O$669,9,FALSE)</f>
        <v>0</v>
      </c>
      <c r="P298" s="533" t="s">
        <v>1249</v>
      </c>
      <c r="Q298" s="533" t="str">
        <f>IF(S298=0,"",COUNTIF(Q$12:Q297,"&gt;0")+1)</f>
        <v/>
      </c>
      <c r="R298" s="533" t="str">
        <f>IF(S298=0,"",COUNTIF(R$12:R297,"&gt;0")+1)</f>
        <v/>
      </c>
      <c r="S298" s="533">
        <f t="shared" si="69"/>
        <v>0</v>
      </c>
      <c r="T298" s="533">
        <f>VLOOKUP(C298,A!A$1:AH$669,32,FALSE)</f>
        <v>0</v>
      </c>
      <c r="U298" s="533">
        <v>0.11</v>
      </c>
      <c r="V298" s="533"/>
      <c r="W298" s="533" t="str">
        <f t="shared" si="70"/>
        <v/>
      </c>
      <c r="X298" s="533">
        <f>IF(V298&lt;&gt;"",COUNTIF(V$46:V298,V298)-1,0)</f>
        <v>0</v>
      </c>
      <c r="Y298" s="533"/>
      <c r="Z298" s="533"/>
      <c r="AA298" s="533"/>
      <c r="AB298" s="533"/>
      <c r="AC298" s="533"/>
      <c r="AD298" s="533"/>
      <c r="AE298" s="533"/>
      <c r="AF298" s="533"/>
      <c r="AG298" s="533"/>
      <c r="AH298" s="533"/>
      <c r="AI298" s="533"/>
      <c r="AJ298" s="533"/>
      <c r="AK298" s="533"/>
      <c r="AL298" s="533"/>
      <c r="AM298" s="533"/>
      <c r="AN298" s="533"/>
      <c r="AO298" s="533"/>
      <c r="AP298" s="533"/>
      <c r="AQ298" s="533"/>
      <c r="AR298" s="533"/>
      <c r="AS298" s="533"/>
      <c r="AT298" s="533"/>
      <c r="AU298" s="533"/>
    </row>
    <row r="299" spans="1:47" ht="11.25" hidden="1" customHeight="1" x14ac:dyDescent="0.25">
      <c r="A299" s="100"/>
      <c r="B299" s="104" t="s">
        <v>510</v>
      </c>
      <c r="C299" s="695" t="s">
        <v>1253</v>
      </c>
      <c r="D299" s="727"/>
      <c r="E299" s="711"/>
      <c r="F299" s="686" t="s">
        <v>87</v>
      </c>
      <c r="G299" s="355" t="s">
        <v>1066</v>
      </c>
      <c r="H299" s="27">
        <v>1</v>
      </c>
      <c r="I299" s="27"/>
      <c r="J299" s="28">
        <f>IF(VLOOKUP(C299,A!A$1:H$669,4,FALSE)="y",1,0)</f>
        <v>0</v>
      </c>
      <c r="K299" s="28">
        <f>IF(VLOOKUP(C299,A!A$1:H$669,5,FALSE)="y",1,0)</f>
        <v>0</v>
      </c>
      <c r="L299" s="544" t="s">
        <v>1251</v>
      </c>
      <c r="M299" s="27"/>
      <c r="N299" s="44">
        <v>1</v>
      </c>
      <c r="O299" s="533">
        <f>VLOOKUP(C299,A!A$1:O$669,9,FALSE)</f>
        <v>0</v>
      </c>
      <c r="P299" s="533" t="s">
        <v>1249</v>
      </c>
      <c r="Q299" s="533" t="str">
        <f>IF(S299=0,"",COUNTIF(Q$12:Q298,"&gt;0")+1)</f>
        <v/>
      </c>
      <c r="R299" s="533" t="str">
        <f>IF(S299=0,"",COUNTIF(R$12:R298,"&gt;0")+1)</f>
        <v/>
      </c>
      <c r="S299" s="533">
        <f t="shared" si="69"/>
        <v>0</v>
      </c>
      <c r="T299" s="533">
        <f>VLOOKUP(C299,A!A$1:AH$669,32,FALSE)</f>
        <v>0</v>
      </c>
      <c r="U299" s="533">
        <v>0.11</v>
      </c>
      <c r="V299" s="533"/>
      <c r="W299" s="533" t="str">
        <f>IF(AND(V299&lt;&gt;"",O299=0),"Check",IF(AND(V299=0,O299="Y"),"Check",""))</f>
        <v/>
      </c>
      <c r="X299" s="533">
        <f>IF(V299&lt;&gt;"",COUNTIF(V$46:V299,V299)-1,0)</f>
        <v>0</v>
      </c>
      <c r="Y299" s="533"/>
      <c r="Z299" s="533"/>
      <c r="AA299" s="533"/>
      <c r="AB299" s="533"/>
      <c r="AC299" s="533"/>
      <c r="AD299" s="533"/>
      <c r="AE299" s="533"/>
      <c r="AF299" s="533"/>
      <c r="AG299" s="533"/>
      <c r="AH299" s="533"/>
      <c r="AI299" s="533"/>
      <c r="AJ299" s="533"/>
      <c r="AK299" s="533"/>
      <c r="AL299" s="533"/>
      <c r="AM299" s="533"/>
      <c r="AN299" s="533"/>
      <c r="AO299" s="533"/>
      <c r="AP299" s="533"/>
      <c r="AQ299" s="533"/>
      <c r="AR299" s="533"/>
      <c r="AS299" s="533"/>
      <c r="AT299" s="533"/>
      <c r="AU299" s="533"/>
    </row>
    <row r="300" spans="1:47" ht="13.5" hidden="1" customHeight="1" x14ac:dyDescent="0.25">
      <c r="A300" s="100"/>
      <c r="B300" s="104" t="s">
        <v>510</v>
      </c>
      <c r="C300" s="695" t="s">
        <v>1063</v>
      </c>
      <c r="D300" s="728"/>
      <c r="E300" s="711"/>
      <c r="F300" s="688" t="s">
        <v>87</v>
      </c>
      <c r="G300" s="26" t="s">
        <v>1067</v>
      </c>
      <c r="H300" s="27">
        <f>VLOOKUP(C300,A!A$1:O$669,15,FALSE)</f>
        <v>1</v>
      </c>
      <c r="I300" s="27"/>
      <c r="J300" s="28">
        <f>IF(VLOOKUP(C300,A!A$1:O$669,11,FALSE)="y",1,0)</f>
        <v>0</v>
      </c>
      <c r="K300" s="28">
        <f>IF(VLOOKUP(C300,A!A$1:O$669,12,FALSE)="y",1,0)</f>
        <v>0</v>
      </c>
      <c r="L300" s="544" t="str">
        <f t="shared" si="71"/>
        <v>Low</v>
      </c>
      <c r="M300" s="27"/>
      <c r="N300" s="101">
        <v>1</v>
      </c>
      <c r="O300" s="533">
        <f>VLOOKUP(C300,A!A$1:O$669,9,FALSE)</f>
        <v>0</v>
      </c>
      <c r="P300" s="533" t="s">
        <v>1249</v>
      </c>
      <c r="Q300" s="533" t="str">
        <f>IF(S300=0,"",COUNTIF(Q$12:Q299,"&gt;0")+1)</f>
        <v/>
      </c>
      <c r="R300" s="533" t="str">
        <f>IF(S300=0,"",COUNTIF(R$12:R299,"&gt;0")+1)</f>
        <v/>
      </c>
      <c r="S300" s="533">
        <f t="shared" si="69"/>
        <v>0</v>
      </c>
      <c r="T300" s="533">
        <f>VLOOKUP(C300,A!A$1:AH$669,32,FALSE)</f>
        <v>0</v>
      </c>
      <c r="U300" s="533">
        <v>0.11</v>
      </c>
      <c r="V300" s="533"/>
      <c r="W300" s="533" t="str">
        <f t="shared" si="70"/>
        <v/>
      </c>
      <c r="X300" s="533">
        <f>IF(V300&lt;&gt;"",COUNTIF(V$46:V300,V300)-1,0)</f>
        <v>0</v>
      </c>
      <c r="Y300" s="533"/>
      <c r="Z300" s="533"/>
      <c r="AA300" s="533"/>
      <c r="AB300" s="533"/>
      <c r="AC300" s="533"/>
      <c r="AD300" s="533"/>
      <c r="AE300" s="533"/>
      <c r="AF300" s="533"/>
      <c r="AG300" s="533"/>
      <c r="AH300" s="533"/>
      <c r="AI300" s="533"/>
      <c r="AJ300" s="533"/>
      <c r="AK300" s="533"/>
      <c r="AL300" s="533"/>
      <c r="AM300" s="533"/>
      <c r="AN300" s="533"/>
      <c r="AO300" s="533"/>
      <c r="AP300" s="533"/>
      <c r="AQ300" s="533"/>
      <c r="AR300" s="533"/>
      <c r="AS300" s="533"/>
      <c r="AT300" s="533"/>
      <c r="AU300" s="533"/>
    </row>
    <row r="301" spans="1:47" ht="11.25" hidden="1" customHeight="1" x14ac:dyDescent="0.25">
      <c r="A301" s="100"/>
      <c r="B301" s="104" t="s">
        <v>510</v>
      </c>
      <c r="C301" s="695" t="s">
        <v>1064</v>
      </c>
      <c r="D301" s="728"/>
      <c r="E301" s="711"/>
      <c r="F301" s="688" t="s">
        <v>87</v>
      </c>
      <c r="G301" s="26" t="s">
        <v>1068</v>
      </c>
      <c r="H301" s="27">
        <f>VLOOKUP(C301,A!A$1:O$669,15,FALSE)</f>
        <v>1</v>
      </c>
      <c r="I301" s="27"/>
      <c r="J301" s="28">
        <f>IF(VLOOKUP(C301,A!A$1:O$669,11,FALSE)="y",1,0)</f>
        <v>0</v>
      </c>
      <c r="K301" s="28">
        <f>IF(VLOOKUP(C301,A!A$1:O$669,12,FALSE)="y",1,0)</f>
        <v>0</v>
      </c>
      <c r="L301" s="544" t="str">
        <f t="shared" si="71"/>
        <v>Low</v>
      </c>
      <c r="M301" s="27"/>
      <c r="N301" s="101">
        <v>1</v>
      </c>
      <c r="O301" s="533">
        <f>VLOOKUP(C301,A!A$1:O$669,9,FALSE)</f>
        <v>0</v>
      </c>
      <c r="P301" s="533" t="s">
        <v>1249</v>
      </c>
      <c r="Q301" s="533" t="str">
        <f>IF(S301=0,"",COUNTIF(Q$12:Q300,"&gt;0")+1)</f>
        <v/>
      </c>
      <c r="R301" s="533" t="str">
        <f>IF(S301=0,"",COUNTIF(R$12:R300,"&gt;0")+1)</f>
        <v/>
      </c>
      <c r="S301" s="533">
        <f t="shared" si="69"/>
        <v>0</v>
      </c>
      <c r="T301" s="533">
        <f>VLOOKUP(C301,A!A$1:AH$669,32,FALSE)</f>
        <v>0</v>
      </c>
      <c r="U301" s="533">
        <v>0.11</v>
      </c>
      <c r="V301" s="533"/>
      <c r="W301" s="533" t="str">
        <f>IF(AND(V301&lt;&gt;"",O301=0),"Check",IF(AND(V301=0,O301="Y"),"Check",""))</f>
        <v/>
      </c>
      <c r="X301" s="533">
        <f>IF(V301&lt;&gt;"",COUNTIF(V$46:V301,V301)-1,0)</f>
        <v>0</v>
      </c>
      <c r="Y301" s="533"/>
      <c r="Z301" s="533"/>
      <c r="AA301" s="533"/>
      <c r="AB301" s="533"/>
      <c r="AC301" s="533"/>
      <c r="AD301" s="533"/>
      <c r="AE301" s="533"/>
      <c r="AF301" s="533"/>
      <c r="AG301" s="533"/>
      <c r="AH301" s="533"/>
      <c r="AI301" s="533"/>
      <c r="AJ301" s="533"/>
      <c r="AK301" s="533"/>
      <c r="AL301" s="533"/>
      <c r="AM301" s="533"/>
      <c r="AN301" s="533"/>
      <c r="AO301" s="533"/>
      <c r="AP301" s="533"/>
      <c r="AQ301" s="533"/>
      <c r="AR301" s="533"/>
      <c r="AS301" s="533"/>
      <c r="AT301" s="533"/>
      <c r="AU301" s="533"/>
    </row>
    <row r="302" spans="1:47" ht="13.5" hidden="1" customHeight="1" x14ac:dyDescent="0.25">
      <c r="A302" s="100"/>
      <c r="B302" s="104" t="s">
        <v>510</v>
      </c>
      <c r="C302" s="695" t="s">
        <v>1036</v>
      </c>
      <c r="D302" s="727"/>
      <c r="E302" s="711"/>
      <c r="F302" s="686" t="s">
        <v>87</v>
      </c>
      <c r="G302" s="352" t="s">
        <v>1037</v>
      </c>
      <c r="H302" s="27">
        <v>1</v>
      </c>
      <c r="I302" s="27"/>
      <c r="J302" s="28">
        <f>IF(VLOOKUP(C302,A!A$1:H$669,4,FALSE)="y",1,0)</f>
        <v>0</v>
      </c>
      <c r="K302" s="28">
        <f>IF(VLOOKUP(C302,A!A$1:H$669,5,FALSE)="y",1,0)</f>
        <v>0</v>
      </c>
      <c r="L302" s="544" t="str">
        <f>IF(T302&lt;35,"Low",IF(T302&gt;40,"High","Med"))</f>
        <v>Low</v>
      </c>
      <c r="M302" s="27"/>
      <c r="N302" s="44">
        <v>1</v>
      </c>
      <c r="O302" s="533">
        <f>VLOOKUP(C302,A!A$1:O$669,9,FALSE)</f>
        <v>0</v>
      </c>
      <c r="P302" s="533" t="s">
        <v>1249</v>
      </c>
      <c r="Q302" s="533" t="str">
        <f>IF(S302=0,"",COUNTIF(Q$12:Q301,"&gt;0")+1)</f>
        <v/>
      </c>
      <c r="R302" s="533" t="str">
        <f>IF(S302=0,"",COUNTIF(R$12:R301,"&gt;0")+1)</f>
        <v/>
      </c>
      <c r="S302" s="533">
        <f t="shared" si="69"/>
        <v>0</v>
      </c>
      <c r="T302" s="533">
        <f>VLOOKUP(C302,A!A$1:AH$669,32,FALSE)</f>
        <v>0</v>
      </c>
      <c r="U302" s="533">
        <v>0.11</v>
      </c>
      <c r="V302" s="533"/>
      <c r="W302" s="533" t="str">
        <f>IF(AND(V302&lt;&gt;"",O302=0),"Check",IF(AND(V302=0,O302="Y"),"Check",""))</f>
        <v/>
      </c>
      <c r="X302" s="533">
        <f>IF(V302&lt;&gt;"",COUNTIF(V$46:V302,V302)-1,0)</f>
        <v>0</v>
      </c>
      <c r="Y302" s="533"/>
      <c r="Z302" s="533"/>
      <c r="AA302" s="533"/>
      <c r="AB302" s="533"/>
      <c r="AC302" s="533"/>
      <c r="AD302" s="533"/>
      <c r="AE302" s="533"/>
      <c r="AF302" s="533"/>
      <c r="AG302" s="533"/>
      <c r="AH302" s="533"/>
      <c r="AI302" s="533"/>
      <c r="AJ302" s="533"/>
      <c r="AK302" s="533"/>
      <c r="AL302" s="533"/>
      <c r="AM302" s="533"/>
      <c r="AN302" s="533"/>
      <c r="AO302" s="533"/>
      <c r="AP302" s="533"/>
      <c r="AQ302" s="533"/>
      <c r="AR302" s="533"/>
      <c r="AS302" s="533"/>
      <c r="AT302" s="533"/>
      <c r="AU302" s="533"/>
    </row>
    <row r="303" spans="1:47" ht="11.25" hidden="1" customHeight="1" x14ac:dyDescent="0.25">
      <c r="A303" s="100"/>
      <c r="B303" s="104" t="s">
        <v>510</v>
      </c>
      <c r="C303" s="837" t="s">
        <v>1235</v>
      </c>
      <c r="D303" s="727"/>
      <c r="E303" s="711"/>
      <c r="F303" s="686" t="s">
        <v>87</v>
      </c>
      <c r="G303" s="42" t="s">
        <v>1236</v>
      </c>
      <c r="H303" s="27">
        <f>VLOOKUP(C303,A!A$1:H$669,8,FALSE)</f>
        <v>2</v>
      </c>
      <c r="I303" s="27"/>
      <c r="J303" s="28">
        <f>IF(VLOOKUP(C303,A!A$1:H$669,4,FALSE)="y",1,0)</f>
        <v>0</v>
      </c>
      <c r="K303" s="28">
        <f>IF(VLOOKUP(C303,A!A$1:H$669,5,FALSE)="y",1,0)</f>
        <v>0</v>
      </c>
      <c r="L303" s="544" t="str">
        <f t="shared" si="71"/>
        <v>Low</v>
      </c>
      <c r="M303" s="27">
        <f>VLOOKUP(C303,A!A$1:H$669,6,FALSE)</f>
        <v>0</v>
      </c>
      <c r="N303" s="44">
        <v>1</v>
      </c>
      <c r="O303" s="533">
        <f>VLOOKUP(C303,A!A$1:O$669,9,FALSE)</f>
        <v>0</v>
      </c>
      <c r="P303" s="533" t="s">
        <v>1249</v>
      </c>
      <c r="Q303" s="533" t="str">
        <f>IF(S303=0,"",COUNTIF(Q$12:Q302,"&gt;0")+1)</f>
        <v/>
      </c>
      <c r="R303" s="533" t="str">
        <f>IF(S303=0,"",COUNTIF(R$12:R302,"&gt;0")+1)</f>
        <v/>
      </c>
      <c r="S303" s="533">
        <f t="shared" si="69"/>
        <v>0</v>
      </c>
      <c r="T303" s="533">
        <f>VLOOKUP(C303,A!A$1:AH$669,32,FALSE)</f>
        <v>0</v>
      </c>
      <c r="U303" s="533">
        <v>0.11</v>
      </c>
      <c r="V303" s="533"/>
      <c r="W303" s="533" t="str">
        <f>IF(AND(V303&lt;&gt;"",O303=0),"Check",IF(AND(V303=0,O303="Y"),"Check",""))</f>
        <v/>
      </c>
      <c r="X303" s="533">
        <f>IF(V303&lt;&gt;"",COUNTIF(V$46:V303,V303)-1,0)</f>
        <v>0</v>
      </c>
      <c r="Y303" s="533"/>
      <c r="Z303" s="533"/>
      <c r="AA303" s="533"/>
      <c r="AB303" s="533"/>
      <c r="AC303" s="533"/>
      <c r="AD303" s="533"/>
      <c r="AE303" s="533"/>
      <c r="AF303" s="533"/>
      <c r="AG303" s="533"/>
      <c r="AH303" s="533"/>
      <c r="AI303" s="533"/>
      <c r="AJ303" s="533"/>
      <c r="AK303" s="533"/>
      <c r="AL303" s="533"/>
      <c r="AM303" s="533"/>
      <c r="AN303" s="533"/>
      <c r="AO303" s="533"/>
      <c r="AP303" s="533"/>
      <c r="AQ303" s="533"/>
      <c r="AR303" s="533"/>
      <c r="AS303" s="533"/>
      <c r="AT303" s="533"/>
      <c r="AU303" s="533"/>
    </row>
    <row r="304" spans="1:47" ht="13.5" hidden="1" customHeight="1" x14ac:dyDescent="0.25">
      <c r="A304" s="100"/>
      <c r="B304" s="104" t="s">
        <v>510</v>
      </c>
      <c r="C304" s="695" t="s">
        <v>547</v>
      </c>
      <c r="D304" s="728"/>
      <c r="E304" s="711"/>
      <c r="F304" s="688" t="s">
        <v>87</v>
      </c>
      <c r="G304" s="26" t="s">
        <v>548</v>
      </c>
      <c r="H304" s="27">
        <f>VLOOKUP(C304,A!A$1:O$669,15,FALSE)</f>
        <v>1</v>
      </c>
      <c r="I304" s="27"/>
      <c r="J304" s="28">
        <f>IF(VLOOKUP(C304,A!A$1:O$669,11,FALSE)="y",1,0)</f>
        <v>0</v>
      </c>
      <c r="K304" s="28">
        <f>IF(VLOOKUP(C304,A!A$1:O$669,12,FALSE)="y",1,0)</f>
        <v>0</v>
      </c>
      <c r="L304" s="544" t="str">
        <f t="shared" si="71"/>
        <v>Low</v>
      </c>
      <c r="M304" s="27">
        <f>VLOOKUP(C304,A!A$1:O$669,13,FALSE)</f>
        <v>0</v>
      </c>
      <c r="N304" s="101">
        <v>1</v>
      </c>
      <c r="O304" s="533">
        <f>VLOOKUP(C304,A!A$1:O$669,9,FALSE)</f>
        <v>0</v>
      </c>
      <c r="P304" s="533" t="s">
        <v>1249</v>
      </c>
      <c r="Q304" s="533" t="str">
        <f>IF(S304=0,"",COUNTIF(Q$12:Q303,"&gt;0")+1)</f>
        <v/>
      </c>
      <c r="R304" s="533" t="str">
        <f>IF(S304=0,"",COUNTIF(R$12:R303,"&gt;0")+1)</f>
        <v/>
      </c>
      <c r="S304" s="533">
        <f t="shared" si="69"/>
        <v>0</v>
      </c>
      <c r="T304" s="533">
        <f>VLOOKUP(C304,A!A$1:AH$669,32,FALSE)</f>
        <v>0</v>
      </c>
      <c r="U304" s="533">
        <v>0.11</v>
      </c>
      <c r="V304" s="533"/>
      <c r="W304" s="533" t="str">
        <f t="shared" si="70"/>
        <v/>
      </c>
      <c r="X304" s="533">
        <f>IF(V304&lt;&gt;"",COUNTIF(V$46:V304,V304)-1,0)</f>
        <v>0</v>
      </c>
      <c r="Y304" s="533"/>
      <c r="Z304" s="533"/>
      <c r="AA304" s="533"/>
      <c r="AB304" s="533"/>
      <c r="AC304" s="533"/>
      <c r="AD304" s="533"/>
      <c r="AE304" s="533"/>
      <c r="AF304" s="533"/>
      <c r="AG304" s="533"/>
      <c r="AH304" s="533"/>
      <c r="AI304" s="533"/>
      <c r="AJ304" s="533"/>
      <c r="AK304" s="533"/>
      <c r="AL304" s="533"/>
      <c r="AM304" s="533"/>
      <c r="AN304" s="533"/>
      <c r="AO304" s="533"/>
      <c r="AP304" s="533"/>
      <c r="AQ304" s="533"/>
      <c r="AR304" s="533"/>
      <c r="AS304" s="533"/>
      <c r="AT304" s="533"/>
      <c r="AU304" s="533"/>
    </row>
    <row r="305" spans="1:47" ht="13.5" hidden="1" customHeight="1" x14ac:dyDescent="0.25">
      <c r="A305" s="100"/>
      <c r="B305" s="104" t="s">
        <v>510</v>
      </c>
      <c r="C305" s="695" t="s">
        <v>549</v>
      </c>
      <c r="D305" s="728"/>
      <c r="E305" s="711"/>
      <c r="F305" s="688" t="s">
        <v>87</v>
      </c>
      <c r="G305" s="26" t="s">
        <v>550</v>
      </c>
      <c r="H305" s="27">
        <f>VLOOKUP(C305,A!A$1:O$669,15,FALSE)</f>
        <v>1</v>
      </c>
      <c r="I305" s="27"/>
      <c r="J305" s="28">
        <f>IF(VLOOKUP(C305,A!A$1:O$669,11,FALSE)="y",1,0)</f>
        <v>0</v>
      </c>
      <c r="K305" s="28">
        <f>IF(VLOOKUP(C305,A!A$1:O$669,12,FALSE)="y",1,0)</f>
        <v>0</v>
      </c>
      <c r="L305" s="544" t="str">
        <f t="shared" si="71"/>
        <v>Low</v>
      </c>
      <c r="M305" s="27">
        <f>VLOOKUP(C305,A!A$1:O$669,13,FALSE)</f>
        <v>0</v>
      </c>
      <c r="N305" s="101">
        <v>1</v>
      </c>
      <c r="O305" s="533">
        <f>VLOOKUP(C305,A!A$1:O$669,9,FALSE)</f>
        <v>0</v>
      </c>
      <c r="P305" s="533" t="s">
        <v>1249</v>
      </c>
      <c r="Q305" s="533" t="str">
        <f>IF(S305=0,"",COUNTIF(Q$12:Q304,"&gt;0")+1)</f>
        <v/>
      </c>
      <c r="R305" s="533" t="str">
        <f>IF(S305=0,"",COUNTIF(R$12:R304,"&gt;0")+1)</f>
        <v/>
      </c>
      <c r="S305" s="533">
        <f t="shared" si="69"/>
        <v>0</v>
      </c>
      <c r="T305" s="533">
        <f>VLOOKUP(C305,A!A$1:AH$669,32,FALSE)</f>
        <v>0</v>
      </c>
      <c r="U305" s="533">
        <v>0.11</v>
      </c>
      <c r="V305" s="533"/>
      <c r="W305" s="533" t="str">
        <f t="shared" si="70"/>
        <v/>
      </c>
      <c r="X305" s="533">
        <f>IF(V305&lt;&gt;"",COUNTIF(V$46:V305,V305)-1,0)</f>
        <v>0</v>
      </c>
      <c r="Y305" s="533"/>
      <c r="Z305" s="533"/>
      <c r="AA305" s="533"/>
      <c r="AB305" s="533"/>
      <c r="AC305" s="533"/>
      <c r="AD305" s="533"/>
      <c r="AE305" s="533"/>
      <c r="AF305" s="533"/>
      <c r="AG305" s="533"/>
      <c r="AH305" s="533"/>
      <c r="AI305" s="533"/>
      <c r="AJ305" s="533"/>
      <c r="AK305" s="533"/>
      <c r="AL305" s="533"/>
      <c r="AM305" s="533"/>
      <c r="AN305" s="533"/>
      <c r="AO305" s="533"/>
      <c r="AP305" s="533"/>
      <c r="AQ305" s="533"/>
      <c r="AR305" s="533"/>
      <c r="AS305" s="533"/>
      <c r="AT305" s="533"/>
      <c r="AU305" s="533"/>
    </row>
    <row r="306" spans="1:47" ht="11.25" hidden="1" customHeight="1" x14ac:dyDescent="0.25">
      <c r="A306" s="100"/>
      <c r="B306" s="104" t="s">
        <v>510</v>
      </c>
      <c r="C306" s="695" t="s">
        <v>89</v>
      </c>
      <c r="D306" s="728"/>
      <c r="E306" s="711"/>
      <c r="F306" s="688" t="s">
        <v>87</v>
      </c>
      <c r="G306" s="26" t="s">
        <v>90</v>
      </c>
      <c r="H306" s="27">
        <f>VLOOKUP(C306,A!A$1:O$669,15,FALSE)</f>
        <v>1</v>
      </c>
      <c r="I306" s="27"/>
      <c r="J306" s="28">
        <f>IF(VLOOKUP(C306,A!A$1:O$669,11,FALSE)="y",1,0)</f>
        <v>0</v>
      </c>
      <c r="K306" s="28">
        <f>IF(VLOOKUP(C306,A!A$1:O$669,12,FALSE)="y",1,0)</f>
        <v>0</v>
      </c>
      <c r="L306" s="544" t="str">
        <f t="shared" si="71"/>
        <v>Low</v>
      </c>
      <c r="M306" s="27">
        <f>VLOOKUP(C306,A!A$1:O$669,13,FALSE)</f>
        <v>0</v>
      </c>
      <c r="N306" s="101">
        <v>1</v>
      </c>
      <c r="O306" s="533">
        <f>VLOOKUP(C306,A!A$1:O$669,9,FALSE)</f>
        <v>0</v>
      </c>
      <c r="P306" s="533" t="s">
        <v>1249</v>
      </c>
      <c r="Q306" s="533" t="str">
        <f>IF(S306=0,"",COUNTIF(Q$12:Q305,"&gt;0")+1)</f>
        <v/>
      </c>
      <c r="R306" s="533" t="str">
        <f>IF(S306=0,"",COUNTIF(R$12:R305,"&gt;0")+1)</f>
        <v/>
      </c>
      <c r="S306" s="533">
        <f t="shared" si="69"/>
        <v>0</v>
      </c>
      <c r="T306" s="533">
        <f>VLOOKUP(C306,A!A$1:AH$669,32,FALSE)</f>
        <v>0</v>
      </c>
      <c r="U306" s="533">
        <v>0.11</v>
      </c>
      <c r="V306" s="533"/>
      <c r="W306" s="533" t="str">
        <f t="shared" si="70"/>
        <v/>
      </c>
      <c r="X306" s="533">
        <f>IF(V306&lt;&gt;"",COUNTIF(V$46:V306,V306)-1,0)</f>
        <v>0</v>
      </c>
      <c r="Y306" s="533"/>
      <c r="Z306" s="533"/>
      <c r="AA306" s="533"/>
      <c r="AB306" s="533"/>
      <c r="AC306" s="533"/>
      <c r="AD306" s="533"/>
      <c r="AE306" s="533"/>
      <c r="AF306" s="533"/>
      <c r="AG306" s="533"/>
      <c r="AH306" s="533"/>
      <c r="AI306" s="533"/>
      <c r="AJ306" s="533"/>
      <c r="AK306" s="533"/>
      <c r="AL306" s="533"/>
      <c r="AM306" s="533"/>
      <c r="AN306" s="533"/>
      <c r="AO306" s="533"/>
      <c r="AP306" s="533"/>
      <c r="AQ306" s="533"/>
      <c r="AR306" s="533"/>
      <c r="AS306" s="533"/>
      <c r="AT306" s="533"/>
      <c r="AU306" s="533"/>
    </row>
    <row r="307" spans="1:47" ht="11.25" hidden="1" customHeight="1" x14ac:dyDescent="0.25">
      <c r="A307" s="100"/>
      <c r="B307" s="104" t="s">
        <v>510</v>
      </c>
      <c r="C307" s="695" t="s">
        <v>551</v>
      </c>
      <c r="D307" s="728"/>
      <c r="E307" s="711"/>
      <c r="F307" s="688" t="s">
        <v>87</v>
      </c>
      <c r="G307" s="26" t="s">
        <v>552</v>
      </c>
      <c r="H307" s="27">
        <f>VLOOKUP(C307,A!A$1:O$669,15,FALSE)</f>
        <v>1</v>
      </c>
      <c r="I307" s="27"/>
      <c r="J307" s="28">
        <f>IF(VLOOKUP(C307,A!A$1:O$669,11,FALSE)="y",1,0)</f>
        <v>0</v>
      </c>
      <c r="K307" s="28">
        <f>IF(VLOOKUP(C307,A!A$1:O$669,12,FALSE)="y",1,0)</f>
        <v>0</v>
      </c>
      <c r="L307" s="544" t="str">
        <f t="shared" si="71"/>
        <v>Low</v>
      </c>
      <c r="M307" s="27">
        <f>VLOOKUP(C307,A!A$1:O$669,13,FALSE)</f>
        <v>0</v>
      </c>
      <c r="N307" s="101">
        <v>1</v>
      </c>
      <c r="O307" s="533">
        <f>VLOOKUP(C307,A!A$1:O$669,9,FALSE)</f>
        <v>0</v>
      </c>
      <c r="P307" s="533" t="s">
        <v>1249</v>
      </c>
      <c r="Q307" s="533" t="str">
        <f>IF(S307=0,"",COUNTIF(Q$12:Q306,"&gt;0")+1)</f>
        <v/>
      </c>
      <c r="R307" s="533" t="str">
        <f>IF(S307=0,"",COUNTIF(R$12:R306,"&gt;0")+1)</f>
        <v/>
      </c>
      <c r="S307" s="533">
        <f t="shared" si="69"/>
        <v>0</v>
      </c>
      <c r="T307" s="533">
        <f>VLOOKUP(C307,A!A$1:AH$669,32,FALSE)</f>
        <v>0</v>
      </c>
      <c r="U307" s="533">
        <v>0.11</v>
      </c>
      <c r="V307" s="533"/>
      <c r="W307" s="533" t="str">
        <f t="shared" si="70"/>
        <v/>
      </c>
      <c r="X307" s="533">
        <f>IF(V307&lt;&gt;"",COUNTIF(V$46:V307,V307)-1,0)</f>
        <v>0</v>
      </c>
      <c r="Y307" s="533"/>
      <c r="Z307" s="533"/>
      <c r="AA307" s="533"/>
      <c r="AB307" s="533"/>
      <c r="AC307" s="533"/>
      <c r="AD307" s="533"/>
      <c r="AE307" s="533"/>
      <c r="AF307" s="533"/>
      <c r="AG307" s="533"/>
      <c r="AH307" s="533"/>
      <c r="AI307" s="533"/>
      <c r="AJ307" s="533"/>
      <c r="AK307" s="533"/>
      <c r="AL307" s="533"/>
      <c r="AM307" s="533"/>
      <c r="AN307" s="533"/>
      <c r="AO307" s="533"/>
      <c r="AP307" s="533"/>
      <c r="AQ307" s="533"/>
      <c r="AR307" s="533"/>
      <c r="AS307" s="533"/>
      <c r="AT307" s="533"/>
      <c r="AU307" s="533"/>
    </row>
    <row r="308" spans="1:47" ht="11.25" hidden="1" customHeight="1" x14ac:dyDescent="0.25">
      <c r="A308" s="100"/>
      <c r="B308" s="104" t="s">
        <v>510</v>
      </c>
      <c r="C308" s="695" t="s">
        <v>91</v>
      </c>
      <c r="D308" s="642"/>
      <c r="E308" s="711"/>
      <c r="F308" s="688" t="s">
        <v>87</v>
      </c>
      <c r="G308" s="26" t="s">
        <v>92</v>
      </c>
      <c r="H308" s="27">
        <f>VLOOKUP(C308,A!A$1:O$669,15,FALSE)</f>
        <v>1</v>
      </c>
      <c r="I308" s="27"/>
      <c r="J308" s="28">
        <f>IF(VLOOKUP(C308,A!A$1:O$669,11,FALSE)="y",1,0)</f>
        <v>0</v>
      </c>
      <c r="K308" s="28">
        <f>IF(VLOOKUP(C308,A!A$1:O$669,12,FALSE)="y",1,0)</f>
        <v>0</v>
      </c>
      <c r="L308" s="544" t="str">
        <f t="shared" si="71"/>
        <v>Low</v>
      </c>
      <c r="M308" s="27">
        <f>VLOOKUP(C308,A!A$1:O$669,13,FALSE)</f>
        <v>0</v>
      </c>
      <c r="N308" s="101">
        <v>1</v>
      </c>
      <c r="O308" s="533">
        <f>VLOOKUP(C308,A!A$1:O$669,9,FALSE)</f>
        <v>0</v>
      </c>
      <c r="P308" s="533" t="s">
        <v>1249</v>
      </c>
      <c r="Q308" s="533" t="str">
        <f>IF(S308=0,"",COUNTIF(Q$12:Q307,"&gt;0")+1)</f>
        <v/>
      </c>
      <c r="R308" s="533" t="str">
        <f>IF(S308=0,"",COUNTIF(R$12:R307,"&gt;0")+1)</f>
        <v/>
      </c>
      <c r="S308" s="533">
        <f t="shared" si="69"/>
        <v>0</v>
      </c>
      <c r="T308" s="533">
        <f>VLOOKUP(C308,A!A$1:AH$669,32,FALSE)</f>
        <v>0</v>
      </c>
      <c r="U308" s="533">
        <v>0.11</v>
      </c>
      <c r="V308" s="533"/>
      <c r="W308" s="533" t="str">
        <f t="shared" si="70"/>
        <v/>
      </c>
      <c r="X308" s="533">
        <f>IF(V308&lt;&gt;"",COUNTIF(V$46:V308,V308)-1,0)</f>
        <v>0</v>
      </c>
      <c r="Y308" s="533"/>
      <c r="Z308" s="533"/>
      <c r="AA308" s="533"/>
      <c r="AB308" s="533"/>
      <c r="AC308" s="533"/>
      <c r="AD308" s="533"/>
      <c r="AE308" s="533"/>
      <c r="AF308" s="533"/>
      <c r="AG308" s="533"/>
      <c r="AH308" s="533"/>
      <c r="AI308" s="533"/>
      <c r="AJ308" s="533"/>
      <c r="AK308" s="533"/>
      <c r="AL308" s="533"/>
      <c r="AM308" s="533"/>
      <c r="AN308" s="533"/>
      <c r="AO308" s="533"/>
      <c r="AP308" s="533"/>
      <c r="AQ308" s="533"/>
      <c r="AR308" s="533"/>
      <c r="AS308" s="533"/>
      <c r="AT308" s="533"/>
      <c r="AU308" s="533"/>
    </row>
    <row r="309" spans="1:47" ht="11.25" hidden="1" customHeight="1" x14ac:dyDescent="0.25">
      <c r="A309" s="100"/>
      <c r="B309" s="104" t="s">
        <v>510</v>
      </c>
      <c r="C309" s="695" t="s">
        <v>553</v>
      </c>
      <c r="D309" s="642"/>
      <c r="E309" s="711"/>
      <c r="F309" s="688" t="s">
        <v>87</v>
      </c>
      <c r="G309" s="26" t="s">
        <v>554</v>
      </c>
      <c r="H309" s="27">
        <f>VLOOKUP(C309,A!A$1:O$669,15,FALSE)</f>
        <v>1</v>
      </c>
      <c r="I309" s="27"/>
      <c r="J309" s="28">
        <f>IF(VLOOKUP(C309,A!A$1:O$669,11,FALSE)="y",1,0)</f>
        <v>0</v>
      </c>
      <c r="K309" s="28">
        <f>IF(VLOOKUP(C309,A!A$1:O$669,12,FALSE)="y",1,0)</f>
        <v>0</v>
      </c>
      <c r="L309" s="544" t="str">
        <f t="shared" si="71"/>
        <v>Low</v>
      </c>
      <c r="M309" s="27">
        <f>VLOOKUP(C309,A!A$1:O$669,13,FALSE)</f>
        <v>0</v>
      </c>
      <c r="N309" s="101">
        <v>1</v>
      </c>
      <c r="O309" s="533">
        <f>VLOOKUP(C309,A!A$1:O$669,9,FALSE)</f>
        <v>0</v>
      </c>
      <c r="P309" s="533" t="s">
        <v>1249</v>
      </c>
      <c r="Q309" s="533" t="str">
        <f>IF(S309=0,"",COUNTIF(Q$12:Q308,"&gt;0")+1)</f>
        <v/>
      </c>
      <c r="R309" s="533" t="str">
        <f>IF(S309=0,"",COUNTIF(R$12:R308,"&gt;0")+1)</f>
        <v/>
      </c>
      <c r="S309" s="533">
        <f t="shared" si="69"/>
        <v>0</v>
      </c>
      <c r="T309" s="533">
        <f>VLOOKUP(C309,A!A$1:AH$669,32,FALSE)</f>
        <v>0</v>
      </c>
      <c r="U309" s="533">
        <v>0.11</v>
      </c>
      <c r="V309" s="533"/>
      <c r="W309" s="533" t="str">
        <f t="shared" si="70"/>
        <v/>
      </c>
      <c r="X309" s="533">
        <f>IF(V309&lt;&gt;"",COUNTIF(V$46:V309,V309)-1,0)</f>
        <v>0</v>
      </c>
      <c r="Y309" s="533"/>
      <c r="Z309" s="533"/>
      <c r="AA309" s="533"/>
      <c r="AB309" s="533"/>
      <c r="AC309" s="533"/>
      <c r="AD309" s="533"/>
      <c r="AE309" s="533"/>
      <c r="AF309" s="533"/>
      <c r="AG309" s="533"/>
      <c r="AH309" s="533"/>
      <c r="AI309" s="533"/>
      <c r="AJ309" s="533"/>
      <c r="AK309" s="533"/>
      <c r="AL309" s="533"/>
      <c r="AM309" s="533"/>
      <c r="AN309" s="533"/>
      <c r="AO309" s="533"/>
      <c r="AP309" s="533"/>
      <c r="AQ309" s="533"/>
      <c r="AR309" s="533"/>
      <c r="AS309" s="533"/>
      <c r="AT309" s="533"/>
      <c r="AU309" s="533"/>
    </row>
    <row r="310" spans="1:47" ht="11.25" hidden="1" customHeight="1" x14ac:dyDescent="0.25">
      <c r="A310" s="100"/>
      <c r="B310" s="104" t="s">
        <v>510</v>
      </c>
      <c r="C310" s="695" t="s">
        <v>555</v>
      </c>
      <c r="D310" s="642"/>
      <c r="E310" s="711"/>
      <c r="F310" s="688" t="s">
        <v>556</v>
      </c>
      <c r="G310" s="26" t="s">
        <v>557</v>
      </c>
      <c r="H310" s="27">
        <f>VLOOKUP(C310,A!A$1:O$669,15,FALSE)</f>
        <v>2</v>
      </c>
      <c r="I310" s="27"/>
      <c r="J310" s="28">
        <f>IF(VLOOKUP(C310,A!A$1:O$669,11,FALSE)="y",1,0)</f>
        <v>0</v>
      </c>
      <c r="K310" s="28">
        <f>IF(VLOOKUP(C310,A!A$1:O$669,12,FALSE)="y",1,0)</f>
        <v>0</v>
      </c>
      <c r="L310" s="544" t="str">
        <f t="shared" si="71"/>
        <v>Low</v>
      </c>
      <c r="M310" s="27">
        <f>VLOOKUP(C310,A!A$1:O$669,13,FALSE)</f>
        <v>0</v>
      </c>
      <c r="N310" s="101">
        <v>1</v>
      </c>
      <c r="O310" s="533">
        <f>VLOOKUP(C310,A!A$1:O$669,9,FALSE)</f>
        <v>0</v>
      </c>
      <c r="P310" s="533" t="s">
        <v>1249</v>
      </c>
      <c r="Q310" s="533" t="str">
        <f>IF(S310=0,"",COUNTIF(Q$12:Q309,"&gt;0")+1)</f>
        <v/>
      </c>
      <c r="R310" s="533" t="str">
        <f>IF(S310=0,"",COUNTIF(R$12:R309,"&gt;0")+1)</f>
        <v/>
      </c>
      <c r="S310" s="533">
        <f t="shared" si="69"/>
        <v>0</v>
      </c>
      <c r="T310" s="533">
        <f>VLOOKUP(C310,A!A$1:AH$669,32,FALSE)</f>
        <v>0</v>
      </c>
      <c r="U310" s="533">
        <v>0.11</v>
      </c>
      <c r="V310" s="533"/>
      <c r="W310" s="533" t="str">
        <f t="shared" si="70"/>
        <v/>
      </c>
      <c r="X310" s="533">
        <f>IF(V310&lt;&gt;"",COUNTIF(V$46:V310,V310)-1,0)</f>
        <v>0</v>
      </c>
      <c r="Y310" s="533"/>
      <c r="Z310" s="533"/>
      <c r="AA310" s="533"/>
      <c r="AB310" s="533"/>
      <c r="AC310" s="533"/>
      <c r="AD310" s="533"/>
      <c r="AE310" s="533"/>
      <c r="AF310" s="533"/>
      <c r="AG310" s="533"/>
      <c r="AH310" s="533"/>
      <c r="AI310" s="533"/>
      <c r="AJ310" s="533"/>
      <c r="AK310" s="533"/>
      <c r="AL310" s="533"/>
      <c r="AM310" s="533"/>
      <c r="AN310" s="533"/>
      <c r="AO310" s="533"/>
      <c r="AP310" s="533"/>
      <c r="AQ310" s="533"/>
      <c r="AR310" s="533"/>
      <c r="AS310" s="533"/>
      <c r="AT310" s="533"/>
      <c r="AU310" s="533"/>
    </row>
    <row r="311" spans="1:47" ht="11.25" hidden="1" customHeight="1" x14ac:dyDescent="0.25">
      <c r="A311" s="100"/>
      <c r="B311" s="104" t="s">
        <v>510</v>
      </c>
      <c r="C311" s="695" t="s">
        <v>122</v>
      </c>
      <c r="D311" s="642"/>
      <c r="E311" s="711"/>
      <c r="F311" s="688" t="s">
        <v>558</v>
      </c>
      <c r="G311" s="26" t="s">
        <v>559</v>
      </c>
      <c r="H311" s="27">
        <f>VLOOKUP(C311,A!A$1:O$669,15,FALSE)</f>
        <v>2</v>
      </c>
      <c r="I311" s="27"/>
      <c r="J311" s="28">
        <f>IF(VLOOKUP(C311,A!A$1:O$669,11,FALSE)="y",1,0)</f>
        <v>0</v>
      </c>
      <c r="K311" s="28">
        <f>IF(VLOOKUP(C311,A!A$1:O$669,12,FALSE)="y",1,0)</f>
        <v>0</v>
      </c>
      <c r="L311" s="544" t="str">
        <f t="shared" si="71"/>
        <v>Low</v>
      </c>
      <c r="M311" s="27">
        <f>VLOOKUP(C311,A!A$1:O$669,13,FALSE)</f>
        <v>0</v>
      </c>
      <c r="N311" s="101">
        <v>1</v>
      </c>
      <c r="O311" s="533">
        <f>VLOOKUP(C311,A!A$1:O$669,9,FALSE)</f>
        <v>0</v>
      </c>
      <c r="P311" s="533" t="s">
        <v>1249</v>
      </c>
      <c r="Q311" s="533" t="str">
        <f>IF(S311=0,"",COUNTIF(Q$12:Q310,"&gt;0")+1)</f>
        <v/>
      </c>
      <c r="R311" s="533" t="str">
        <f>IF(S311=0,"",COUNTIF(R$12:R310,"&gt;0")+1)</f>
        <v/>
      </c>
      <c r="S311" s="533">
        <f t="shared" si="69"/>
        <v>0</v>
      </c>
      <c r="T311" s="533">
        <f>VLOOKUP(C311,A!A$1:AH$669,32,FALSE)</f>
        <v>0</v>
      </c>
      <c r="U311" s="533">
        <v>0.11</v>
      </c>
      <c r="V311" s="533"/>
      <c r="W311" s="533" t="str">
        <f t="shared" si="70"/>
        <v/>
      </c>
      <c r="X311" s="533">
        <f>IF(V311&lt;&gt;"",COUNTIF(V$46:V311,V311)-1,0)</f>
        <v>0</v>
      </c>
      <c r="Y311" s="533"/>
      <c r="Z311" s="533"/>
      <c r="AA311" s="533"/>
      <c r="AB311" s="533"/>
      <c r="AC311" s="533"/>
      <c r="AD311" s="533"/>
      <c r="AE311" s="533"/>
      <c r="AF311" s="533"/>
      <c r="AG311" s="533"/>
      <c r="AH311" s="533"/>
      <c r="AI311" s="533"/>
      <c r="AJ311" s="533"/>
      <c r="AK311" s="533"/>
      <c r="AL311" s="533"/>
      <c r="AM311" s="533"/>
      <c r="AN311" s="533"/>
      <c r="AO311" s="533"/>
      <c r="AP311" s="533"/>
      <c r="AQ311" s="533"/>
      <c r="AR311" s="533"/>
      <c r="AS311" s="533"/>
      <c r="AT311" s="533"/>
      <c r="AU311" s="533"/>
    </row>
    <row r="312" spans="1:47" ht="15" hidden="1" customHeight="1" x14ac:dyDescent="0.25">
      <c r="A312" s="100"/>
      <c r="B312" s="104" t="s">
        <v>510</v>
      </c>
      <c r="C312" s="695" t="s">
        <v>560</v>
      </c>
      <c r="D312" s="642"/>
      <c r="E312" s="711"/>
      <c r="F312" s="688" t="s">
        <v>561</v>
      </c>
      <c r="G312" s="26" t="s">
        <v>562</v>
      </c>
      <c r="H312" s="27">
        <f>VLOOKUP(C312,A!A$1:O$669,15,FALSE)</f>
        <v>2</v>
      </c>
      <c r="I312" s="27"/>
      <c r="J312" s="28">
        <f>IF(VLOOKUP(C312,A!A$1:O$669,11,FALSE)="y",1,0)</f>
        <v>0</v>
      </c>
      <c r="K312" s="28">
        <f>IF(VLOOKUP(C312,A!A$1:O$669,12,FALSE)="y",1,0)</f>
        <v>0</v>
      </c>
      <c r="L312" s="544" t="str">
        <f t="shared" si="71"/>
        <v>Low</v>
      </c>
      <c r="M312" s="27">
        <f>VLOOKUP(C312,A!A$1:O$669,13,FALSE)</f>
        <v>0</v>
      </c>
      <c r="N312" s="101">
        <v>1</v>
      </c>
      <c r="O312" s="533">
        <f>VLOOKUP(C312,A!A$1:O$669,9,FALSE)</f>
        <v>0</v>
      </c>
      <c r="P312" s="533" t="s">
        <v>1249</v>
      </c>
      <c r="Q312" s="533" t="str">
        <f>IF(S312=0,"",COUNTIF(Q$12:Q311,"&gt;0")+1)</f>
        <v/>
      </c>
      <c r="R312" s="533" t="str">
        <f>IF(S312=0,"",COUNTIF(R$12:R311,"&gt;0")+1)</f>
        <v/>
      </c>
      <c r="S312" s="533">
        <f t="shared" si="69"/>
        <v>0</v>
      </c>
      <c r="T312" s="533">
        <f>VLOOKUP(C312,A!A$1:AH$669,32,FALSE)</f>
        <v>0</v>
      </c>
      <c r="U312" s="533">
        <v>0.11</v>
      </c>
      <c r="V312" s="533"/>
      <c r="W312" s="533" t="str">
        <f t="shared" si="70"/>
        <v/>
      </c>
      <c r="X312" s="533">
        <f>IF(V312&lt;&gt;"",COUNTIF(V$46:V312,V312)-1,0)</f>
        <v>0</v>
      </c>
      <c r="Y312" s="533"/>
      <c r="Z312" s="533"/>
      <c r="AA312" s="533"/>
      <c r="AB312" s="533"/>
      <c r="AC312" s="533"/>
      <c r="AD312" s="533"/>
      <c r="AE312" s="533"/>
      <c r="AF312" s="533"/>
      <c r="AG312" s="533"/>
      <c r="AH312" s="533"/>
      <c r="AI312" s="533"/>
      <c r="AJ312" s="533"/>
      <c r="AK312" s="533"/>
      <c r="AL312" s="533"/>
      <c r="AM312" s="533"/>
      <c r="AN312" s="533"/>
      <c r="AO312" s="533"/>
      <c r="AP312" s="533"/>
      <c r="AQ312" s="533"/>
      <c r="AR312" s="533"/>
      <c r="AS312" s="533"/>
      <c r="AT312" s="533"/>
      <c r="AU312" s="533"/>
    </row>
    <row r="313" spans="1:47" ht="13.5" hidden="1" customHeight="1" x14ac:dyDescent="0.25">
      <c r="A313" s="100"/>
      <c r="B313" s="104" t="s">
        <v>510</v>
      </c>
      <c r="C313" s="695" t="s">
        <v>140</v>
      </c>
      <c r="D313" s="642"/>
      <c r="E313" s="711"/>
      <c r="F313" s="688" t="s">
        <v>141</v>
      </c>
      <c r="G313" s="26" t="s">
        <v>142</v>
      </c>
      <c r="H313" s="27">
        <v>2</v>
      </c>
      <c r="I313" s="27"/>
      <c r="J313" s="28">
        <v>1</v>
      </c>
      <c r="K313" s="28">
        <v>0</v>
      </c>
      <c r="L313" s="544" t="s">
        <v>1240</v>
      </c>
      <c r="M313" s="27">
        <v>0</v>
      </c>
      <c r="N313" s="101">
        <v>1</v>
      </c>
      <c r="O313" s="533">
        <f>VLOOKUP(C313,A!A$1:O$669,9,FALSE)</f>
        <v>0</v>
      </c>
      <c r="P313" s="533" t="s">
        <v>1249</v>
      </c>
      <c r="Q313" s="533" t="str">
        <f>IF(S313=0,"",COUNTIF(Q$12:Q312,"&gt;0")+1)</f>
        <v/>
      </c>
      <c r="R313" s="533" t="str">
        <f>IF(S313=0,"",COUNTIF(R$12:R312,"&gt;0")+1)</f>
        <v/>
      </c>
      <c r="S313" s="533">
        <f t="shared" si="69"/>
        <v>0</v>
      </c>
      <c r="T313" s="533">
        <f>VLOOKUP(C313,A!A$1:AH$669,32,FALSE)</f>
        <v>0</v>
      </c>
      <c r="U313" s="533">
        <v>0.11</v>
      </c>
      <c r="V313" s="533"/>
      <c r="W313" s="533"/>
      <c r="X313" s="533">
        <f>IF(V313&lt;&gt;"",COUNTIF(V$46:V313,V313)-1,0)</f>
        <v>0</v>
      </c>
      <c r="Y313" s="533"/>
      <c r="Z313" s="533"/>
      <c r="AA313" s="533"/>
      <c r="AB313" s="533"/>
      <c r="AC313" s="533"/>
      <c r="AD313" s="533"/>
      <c r="AE313" s="533"/>
      <c r="AF313" s="533"/>
      <c r="AG313" s="533"/>
      <c r="AH313" s="533"/>
      <c r="AI313" s="533"/>
      <c r="AJ313" s="533"/>
      <c r="AK313" s="533"/>
      <c r="AL313" s="533"/>
      <c r="AM313" s="533"/>
      <c r="AN313" s="533"/>
      <c r="AO313" s="533"/>
      <c r="AP313" s="533"/>
      <c r="AQ313" s="533"/>
      <c r="AR313" s="533"/>
      <c r="AS313" s="533"/>
      <c r="AT313" s="533"/>
      <c r="AU313" s="533"/>
    </row>
    <row r="314" spans="1:47" ht="11.25" hidden="1" customHeight="1" x14ac:dyDescent="0.25">
      <c r="A314" s="100"/>
      <c r="B314" s="104" t="s">
        <v>510</v>
      </c>
      <c r="C314" s="695" t="s">
        <v>563</v>
      </c>
      <c r="D314" s="642"/>
      <c r="E314" s="711"/>
      <c r="F314" s="688" t="s">
        <v>564</v>
      </c>
      <c r="G314" s="26" t="s">
        <v>565</v>
      </c>
      <c r="H314" s="27">
        <f>VLOOKUP(C314,A!A$1:O$669,15,FALSE)</f>
        <v>2</v>
      </c>
      <c r="I314" s="27"/>
      <c r="J314" s="28">
        <f>IF(VLOOKUP(C314,A!A$1:O$669,11,FALSE)="y",1,0)</f>
        <v>0</v>
      </c>
      <c r="K314" s="28">
        <f>IF(VLOOKUP(C314,A!A$1:O$669,12,FALSE)="y",1,0)</f>
        <v>0</v>
      </c>
      <c r="L314" s="544" t="str">
        <f t="shared" si="71"/>
        <v>Low</v>
      </c>
      <c r="M314" s="27">
        <f>VLOOKUP(C314,A!A$1:O$669,13,FALSE)</f>
        <v>0</v>
      </c>
      <c r="N314" s="101">
        <v>1</v>
      </c>
      <c r="O314" s="533">
        <f>VLOOKUP(C314,A!A$1:O$669,9,FALSE)</f>
        <v>0</v>
      </c>
      <c r="P314" s="533" t="s">
        <v>1249</v>
      </c>
      <c r="Q314" s="533" t="str">
        <f>IF(S314=0,"",COUNTIF(Q$12:Q313,"&gt;0")+1)</f>
        <v/>
      </c>
      <c r="R314" s="533" t="str">
        <f>IF(S314=0,"",COUNTIF(R$12:R313,"&gt;0")+1)</f>
        <v/>
      </c>
      <c r="S314" s="533">
        <f t="shared" si="69"/>
        <v>0</v>
      </c>
      <c r="T314" s="533">
        <f>VLOOKUP(C314,A!A$1:AH$669,32,FALSE)</f>
        <v>0</v>
      </c>
      <c r="U314" s="533">
        <v>0.11</v>
      </c>
      <c r="V314" s="533"/>
      <c r="W314" s="533" t="str">
        <f t="shared" ref="W314:W347" si="72">IF(AND(V314&lt;&gt;"",O314=0),"Check",IF(AND(V314=0,O314="Y"),"Check",""))</f>
        <v/>
      </c>
      <c r="X314" s="533">
        <f>IF(V314&lt;&gt;"",COUNTIF(V$46:V314,V314)-1,0)</f>
        <v>0</v>
      </c>
      <c r="Y314" s="533"/>
      <c r="Z314" s="533"/>
      <c r="AA314" s="533"/>
      <c r="AB314" s="533"/>
      <c r="AC314" s="533"/>
      <c r="AD314" s="533"/>
      <c r="AE314" s="533"/>
      <c r="AF314" s="533"/>
      <c r="AG314" s="533"/>
      <c r="AH314" s="533"/>
      <c r="AI314" s="533"/>
      <c r="AJ314" s="533"/>
      <c r="AK314" s="533"/>
      <c r="AL314" s="533"/>
      <c r="AM314" s="533"/>
      <c r="AN314" s="533"/>
      <c r="AO314" s="533"/>
      <c r="AP314" s="533"/>
      <c r="AQ314" s="533"/>
      <c r="AR314" s="533"/>
      <c r="AS314" s="533"/>
      <c r="AT314" s="533"/>
      <c r="AU314" s="533"/>
    </row>
    <row r="315" spans="1:47" ht="13.5" hidden="1" customHeight="1" x14ac:dyDescent="0.25">
      <c r="A315" s="353"/>
      <c r="B315" s="593" t="s">
        <v>510</v>
      </c>
      <c r="C315" s="852" t="s">
        <v>159</v>
      </c>
      <c r="D315" s="730"/>
      <c r="E315" s="874"/>
      <c r="F315" s="714" t="s">
        <v>160</v>
      </c>
      <c r="G315" s="346" t="s">
        <v>161</v>
      </c>
      <c r="H315" s="347">
        <f>VLOOKUP(C315,A!A$1:O$669,15,FALSE)</f>
        <v>2</v>
      </c>
      <c r="I315" s="347"/>
      <c r="J315" s="348">
        <f>IF(VLOOKUP(C315,A!A$1:O$669,11,FALSE)="y",1,0)</f>
        <v>0</v>
      </c>
      <c r="K315" s="348">
        <f>IF(VLOOKUP(C315,A!A$1:O$669,12,FALSE)="y",1,0)</f>
        <v>0</v>
      </c>
      <c r="L315" s="544" t="str">
        <f t="shared" si="71"/>
        <v>Low</v>
      </c>
      <c r="M315" s="347">
        <f>VLOOKUP(C315,A!A$1:O$669,13,FALSE)</f>
        <v>0</v>
      </c>
      <c r="N315" s="354">
        <v>1</v>
      </c>
      <c r="O315" s="533">
        <f>VLOOKUP(C315,A!A$1:O$669,9,FALSE)</f>
        <v>0</v>
      </c>
      <c r="P315" s="533" t="s">
        <v>1249</v>
      </c>
      <c r="Q315" s="533" t="str">
        <f>IF(S315=0,"",COUNTIF(Q$12:Q314,"&gt;0")+1)</f>
        <v/>
      </c>
      <c r="R315" s="533" t="str">
        <f>IF(S315=0,"",COUNTIF(R$12:R314,"&gt;0")+1)</f>
        <v/>
      </c>
      <c r="S315" s="533">
        <f t="shared" si="69"/>
        <v>0</v>
      </c>
      <c r="T315" s="533">
        <f>VLOOKUP(C315,A!A$1:AH$669,32,FALSE)</f>
        <v>0</v>
      </c>
      <c r="U315" s="533">
        <v>0.11</v>
      </c>
      <c r="V315" s="533"/>
      <c r="W315" s="533" t="str">
        <f t="shared" si="72"/>
        <v/>
      </c>
      <c r="X315" s="533">
        <f>IF(V315&lt;&gt;"",COUNTIF(V$46:V315,V315)-1,0)</f>
        <v>0</v>
      </c>
      <c r="Y315" s="533"/>
      <c r="Z315" s="533"/>
      <c r="AA315" s="533"/>
      <c r="AB315" s="533"/>
      <c r="AC315" s="533"/>
      <c r="AD315" s="533"/>
      <c r="AE315" s="533"/>
      <c r="AF315" s="533"/>
      <c r="AG315" s="533"/>
      <c r="AH315" s="533"/>
      <c r="AI315" s="533"/>
      <c r="AJ315" s="533"/>
      <c r="AK315" s="533"/>
      <c r="AL315" s="533"/>
      <c r="AM315" s="533"/>
      <c r="AN315" s="533"/>
      <c r="AO315" s="533"/>
      <c r="AP315" s="533"/>
      <c r="AQ315" s="533"/>
      <c r="AR315" s="533"/>
      <c r="AS315" s="533"/>
      <c r="AT315" s="533"/>
      <c r="AU315" s="533"/>
    </row>
    <row r="316" spans="1:47" ht="11.25" hidden="1" customHeight="1" x14ac:dyDescent="0.25">
      <c r="A316" s="306"/>
      <c r="B316" s="209" t="s">
        <v>510</v>
      </c>
      <c r="C316" s="695" t="s">
        <v>1223</v>
      </c>
      <c r="D316" s="642"/>
      <c r="E316" s="711"/>
      <c r="F316" s="688" t="s">
        <v>1230</v>
      </c>
      <c r="G316" s="26" t="s">
        <v>1231</v>
      </c>
      <c r="H316" s="27">
        <f>VLOOKUP(C316,A!A$1:O$669,15,FALSE)</f>
        <v>2</v>
      </c>
      <c r="I316" s="27"/>
      <c r="J316" s="348">
        <f>IF(VLOOKUP(C316,A!A$1:O$669,11,FALSE)="y",1,0)</f>
        <v>0</v>
      </c>
      <c r="K316" s="28">
        <f>IF(VLOOKUP(C316,A!A$1:O$669,12,FALSE)="y",1,0)</f>
        <v>0</v>
      </c>
      <c r="L316" s="544" t="str">
        <f>IF(T316&lt;35,"Low",IF(T316&gt;40,"High","Med"))</f>
        <v>Low</v>
      </c>
      <c r="M316" s="27">
        <f>VLOOKUP(C316,A!A$1:O$669,13,FALSE)</f>
        <v>0</v>
      </c>
      <c r="N316" s="101">
        <v>1</v>
      </c>
      <c r="O316" s="533">
        <f>VLOOKUP(C316,A!A$1:O$669,9,FALSE)</f>
        <v>0</v>
      </c>
      <c r="P316" s="533" t="s">
        <v>1249</v>
      </c>
      <c r="Q316" s="533" t="str">
        <f>IF(S316=0,"",COUNTIF(Q$12:Q315,"&gt;0")+1)</f>
        <v/>
      </c>
      <c r="R316" s="533" t="str">
        <f>IF(S316=0,"",COUNTIF(R$12:R315,"&gt;0")+1)</f>
        <v/>
      </c>
      <c r="S316" s="533">
        <f t="shared" si="69"/>
        <v>0</v>
      </c>
      <c r="T316" s="533">
        <f>VLOOKUP(C316,A!A$1:AH$669,32,FALSE)</f>
        <v>0</v>
      </c>
      <c r="U316" s="533">
        <v>0.11</v>
      </c>
      <c r="V316" s="533"/>
      <c r="W316" s="533" t="str">
        <f>IF(AND(V316&lt;&gt;"",O316=0),"Check",IF(AND(V316=0,O316="Y"),"Check",""))</f>
        <v/>
      </c>
      <c r="X316" s="533">
        <f>IF(V316&lt;&gt;"",COUNTIF(V$46:V316,V316)-1,0)</f>
        <v>0</v>
      </c>
      <c r="Y316" s="533"/>
      <c r="Z316" s="533"/>
      <c r="AA316" s="533"/>
      <c r="AB316" s="533"/>
      <c r="AC316" s="533"/>
      <c r="AD316" s="533"/>
      <c r="AE316" s="533"/>
      <c r="AF316" s="533"/>
      <c r="AG316" s="533"/>
      <c r="AH316" s="533"/>
      <c r="AI316" s="533"/>
      <c r="AJ316" s="533"/>
      <c r="AK316" s="533"/>
      <c r="AL316" s="533"/>
      <c r="AM316" s="533"/>
      <c r="AN316" s="533"/>
      <c r="AO316" s="533"/>
      <c r="AP316" s="533"/>
      <c r="AQ316" s="533"/>
      <c r="AR316" s="533"/>
      <c r="AS316" s="533"/>
      <c r="AT316" s="533"/>
      <c r="AU316" s="533"/>
    </row>
    <row r="317" spans="1:47" ht="11.25" hidden="1" customHeight="1" x14ac:dyDescent="0.25">
      <c r="A317" s="306"/>
      <c r="B317" s="209" t="s">
        <v>510</v>
      </c>
      <c r="C317" s="695" t="s">
        <v>1224</v>
      </c>
      <c r="D317" s="642"/>
      <c r="E317" s="711"/>
      <c r="F317" s="688" t="s">
        <v>1230</v>
      </c>
      <c r="G317" s="26" t="s">
        <v>1232</v>
      </c>
      <c r="H317" s="27">
        <f>VLOOKUP(C317,A!A$1:O$669,15,FALSE)</f>
        <v>2</v>
      </c>
      <c r="I317" s="27"/>
      <c r="J317" s="348">
        <f>IF(VLOOKUP(C317,A!A$1:O$669,11,FALSE)="y",1,0)</f>
        <v>0</v>
      </c>
      <c r="K317" s="28">
        <f>IF(VLOOKUP(C317,A!A$1:O$669,12,FALSE)="y",1,0)</f>
        <v>0</v>
      </c>
      <c r="L317" s="544" t="str">
        <f>IF(T317&lt;35,"Low",IF(T317&gt;40,"High","Med"))</f>
        <v>Low</v>
      </c>
      <c r="M317" s="27">
        <f>VLOOKUP(C317,A!A$1:O$669,13,FALSE)</f>
        <v>0</v>
      </c>
      <c r="N317" s="101">
        <v>1</v>
      </c>
      <c r="O317" s="533">
        <f>VLOOKUP(C317,A!A$1:O$669,9,FALSE)</f>
        <v>0</v>
      </c>
      <c r="P317" s="533" t="s">
        <v>1249</v>
      </c>
      <c r="Q317" s="533" t="str">
        <f>IF(S317=0,"",COUNTIF(Q$12:Q316,"&gt;0")+1)</f>
        <v/>
      </c>
      <c r="R317" s="533" t="str">
        <f>IF(S317=0,"",COUNTIF(R$12:R316,"&gt;0")+1)</f>
        <v/>
      </c>
      <c r="S317" s="533">
        <f t="shared" si="69"/>
        <v>0</v>
      </c>
      <c r="T317" s="533">
        <f>VLOOKUP(C317,A!A$1:AH$669,32,FALSE)</f>
        <v>0</v>
      </c>
      <c r="U317" s="533">
        <v>0.11</v>
      </c>
      <c r="V317" s="533"/>
      <c r="W317" s="533" t="str">
        <f>IF(AND(V317&lt;&gt;"",O317=0),"Check",IF(AND(V317=0,O317="Y"),"Check",""))</f>
        <v/>
      </c>
      <c r="X317" s="533">
        <f>IF(V317&lt;&gt;"",COUNTIF(V$46:V317,V317)-1,0)</f>
        <v>0</v>
      </c>
      <c r="Y317" s="533"/>
      <c r="Z317" s="533"/>
      <c r="AA317" s="533"/>
      <c r="AB317" s="533"/>
      <c r="AC317" s="533"/>
      <c r="AD317" s="533"/>
      <c r="AE317" s="533"/>
      <c r="AF317" s="533"/>
      <c r="AG317" s="533"/>
      <c r="AH317" s="533"/>
      <c r="AI317" s="533"/>
      <c r="AJ317" s="533"/>
      <c r="AK317" s="533"/>
      <c r="AL317" s="533"/>
      <c r="AM317" s="533"/>
      <c r="AN317" s="533"/>
      <c r="AO317" s="533"/>
      <c r="AP317" s="533"/>
      <c r="AQ317" s="533"/>
      <c r="AR317" s="533"/>
      <c r="AS317" s="533"/>
      <c r="AT317" s="533"/>
      <c r="AU317" s="533"/>
    </row>
    <row r="318" spans="1:47" ht="11.25" hidden="1" customHeight="1" x14ac:dyDescent="0.25">
      <c r="A318" s="306"/>
      <c r="B318" s="209" t="s">
        <v>510</v>
      </c>
      <c r="C318" s="695" t="s">
        <v>1225</v>
      </c>
      <c r="D318" s="642"/>
      <c r="E318" s="711"/>
      <c r="F318" s="688" t="s">
        <v>1230</v>
      </c>
      <c r="G318" s="26" t="s">
        <v>1233</v>
      </c>
      <c r="H318" s="27">
        <f>VLOOKUP(C318,A!A$1:O$669,15,FALSE)</f>
        <v>2</v>
      </c>
      <c r="I318" s="27"/>
      <c r="J318" s="348">
        <f>IF(VLOOKUP(C318,A!A$1:O$669,11,FALSE)="y",1,0)</f>
        <v>0</v>
      </c>
      <c r="K318" s="28">
        <f>IF(VLOOKUP(C318,A!A$1:O$669,12,FALSE)="y",1,0)</f>
        <v>0</v>
      </c>
      <c r="L318" s="544" t="str">
        <f>IF(T318&lt;35,"Low",IF(T318&gt;40,"High","Med"))</f>
        <v>Low</v>
      </c>
      <c r="M318" s="27">
        <f>VLOOKUP(C318,A!A$1:O$669,13,FALSE)</f>
        <v>0</v>
      </c>
      <c r="N318" s="101">
        <v>1</v>
      </c>
      <c r="O318" s="533">
        <f>VLOOKUP(C318,A!A$1:O$669,9,FALSE)</f>
        <v>0</v>
      </c>
      <c r="P318" s="533" t="s">
        <v>1249</v>
      </c>
      <c r="Q318" s="533" t="str">
        <f>IF(S318=0,"",COUNTIF(Q$12:Q317,"&gt;0")+1)</f>
        <v/>
      </c>
      <c r="R318" s="533" t="str">
        <f>IF(S318=0,"",COUNTIF(R$12:R317,"&gt;0")+1)</f>
        <v/>
      </c>
      <c r="S318" s="533">
        <f t="shared" si="69"/>
        <v>0</v>
      </c>
      <c r="T318" s="533">
        <f>VLOOKUP(C318,A!A$1:AH$669,32,FALSE)</f>
        <v>0</v>
      </c>
      <c r="U318" s="533">
        <v>0.11</v>
      </c>
      <c r="V318" s="533"/>
      <c r="W318" s="533" t="str">
        <f>IF(AND(V318&lt;&gt;"",O318=0),"Check",IF(AND(V318=0,O318="Y"),"Check",""))</f>
        <v/>
      </c>
      <c r="X318" s="533">
        <f>IF(V318&lt;&gt;"",COUNTIF(V$46:V318,V318)-1,0)</f>
        <v>0</v>
      </c>
      <c r="Y318" s="533"/>
      <c r="Z318" s="533"/>
      <c r="AA318" s="533"/>
      <c r="AB318" s="533"/>
      <c r="AC318" s="533"/>
      <c r="AD318" s="533"/>
      <c r="AE318" s="533"/>
      <c r="AF318" s="533"/>
      <c r="AG318" s="533"/>
      <c r="AH318" s="533"/>
      <c r="AI318" s="533"/>
      <c r="AJ318" s="533"/>
      <c r="AK318" s="533"/>
      <c r="AL318" s="533"/>
      <c r="AM318" s="533"/>
      <c r="AN318" s="533"/>
      <c r="AO318" s="533"/>
      <c r="AP318" s="533"/>
      <c r="AQ318" s="533"/>
      <c r="AR318" s="533"/>
      <c r="AS318" s="533"/>
      <c r="AT318" s="533"/>
      <c r="AU318" s="533"/>
    </row>
    <row r="319" spans="1:47" ht="11.25" hidden="1" customHeight="1" x14ac:dyDescent="0.25">
      <c r="A319" s="306"/>
      <c r="B319" s="209" t="s">
        <v>510</v>
      </c>
      <c r="C319" s="699" t="s">
        <v>566</v>
      </c>
      <c r="D319" s="648"/>
      <c r="E319" s="875"/>
      <c r="F319" s="691" t="s">
        <v>160</v>
      </c>
      <c r="G319" s="93" t="s">
        <v>567</v>
      </c>
      <c r="H319" s="80">
        <f>VLOOKUP(C319,A!A$1:O$669,15,FALSE)</f>
        <v>2</v>
      </c>
      <c r="I319" s="80"/>
      <c r="J319" s="348">
        <f>IF(VLOOKUP(C319,A!A$1:O$669,11,FALSE)="y",1,0)</f>
        <v>0</v>
      </c>
      <c r="K319" s="213">
        <f>IF(VLOOKUP(C319,A!A$1:O$669,12,FALSE)="y",1,0)</f>
        <v>0</v>
      </c>
      <c r="L319" s="544" t="str">
        <f t="shared" si="71"/>
        <v>Low</v>
      </c>
      <c r="M319" s="80">
        <f>VLOOKUP(C319,A!A$1:O$669,13,FALSE)</f>
        <v>0</v>
      </c>
      <c r="N319" s="307">
        <v>1</v>
      </c>
      <c r="O319" s="533">
        <f>VLOOKUP(C319,A!A$1:O$669,9,FALSE)</f>
        <v>0</v>
      </c>
      <c r="P319" s="533" t="s">
        <v>1249</v>
      </c>
      <c r="Q319" s="533" t="str">
        <f>IF(S319=0,"",COUNTIF(Q$12:Q318,"&gt;0")+1)</f>
        <v/>
      </c>
      <c r="R319" s="533" t="str">
        <f>IF(S319=0,"",COUNTIF(R$12:R318,"&gt;0")+1)</f>
        <v/>
      </c>
      <c r="S319" s="533">
        <f t="shared" si="69"/>
        <v>0</v>
      </c>
      <c r="T319" s="533">
        <f>VLOOKUP(C319,A!A$1:AH$669,32,FALSE)</f>
        <v>0</v>
      </c>
      <c r="U319" s="533">
        <v>0.11</v>
      </c>
      <c r="V319" s="533"/>
      <c r="W319" s="533" t="str">
        <f t="shared" si="72"/>
        <v/>
      </c>
      <c r="X319" s="533">
        <f>IF(V319&lt;&gt;"",COUNTIF(V$46:V319,V319)-1,0)</f>
        <v>0</v>
      </c>
      <c r="Y319" s="533"/>
      <c r="Z319" s="533"/>
      <c r="AA319" s="533"/>
      <c r="AB319" s="533"/>
      <c r="AC319" s="533"/>
      <c r="AD319" s="533"/>
      <c r="AE319" s="533"/>
      <c r="AF319" s="533"/>
      <c r="AG319" s="533"/>
      <c r="AH319" s="533"/>
      <c r="AI319" s="533"/>
      <c r="AJ319" s="533"/>
      <c r="AK319" s="533"/>
      <c r="AL319" s="533"/>
      <c r="AM319" s="533"/>
      <c r="AN319" s="533"/>
      <c r="AO319" s="533"/>
      <c r="AP319" s="533"/>
      <c r="AQ319" s="533"/>
      <c r="AR319" s="533"/>
      <c r="AS319" s="533"/>
      <c r="AT319" s="533"/>
      <c r="AU319" s="533"/>
    </row>
    <row r="320" spans="1:47" ht="11.25" hidden="1" customHeight="1" x14ac:dyDescent="0.25">
      <c r="A320" s="100"/>
      <c r="B320" s="104" t="s">
        <v>510</v>
      </c>
      <c r="C320" s="695" t="s">
        <v>568</v>
      </c>
      <c r="D320" s="642"/>
      <c r="E320" s="711"/>
      <c r="F320" s="688" t="s">
        <v>160</v>
      </c>
      <c r="G320" s="26" t="s">
        <v>569</v>
      </c>
      <c r="H320" s="27">
        <f>VLOOKUP(C320,A!A$1:O$669,15,FALSE)</f>
        <v>2</v>
      </c>
      <c r="I320" s="27"/>
      <c r="J320" s="348">
        <f>IF(VLOOKUP(C320,A!A$1:O$669,11,FALSE)="y",1,0)</f>
        <v>0</v>
      </c>
      <c r="K320" s="28">
        <f>IF(VLOOKUP(C320,A!A$1:O$669,12,FALSE)="y",1,0)</f>
        <v>0</v>
      </c>
      <c r="L320" s="544" t="str">
        <f t="shared" si="71"/>
        <v>Low</v>
      </c>
      <c r="M320" s="27">
        <f>VLOOKUP(C320,A!A$1:O$669,13,FALSE)</f>
        <v>0</v>
      </c>
      <c r="N320" s="101">
        <v>1</v>
      </c>
      <c r="O320" s="533">
        <f>VLOOKUP(C320,A!A$1:O$669,9,FALSE)</f>
        <v>0</v>
      </c>
      <c r="P320" s="533" t="s">
        <v>1249</v>
      </c>
      <c r="Q320" s="533" t="str">
        <f>IF(S320=0,"",COUNTIF(Q$12:Q319,"&gt;0")+1)</f>
        <v/>
      </c>
      <c r="R320" s="533" t="str">
        <f>IF(S320=0,"",COUNTIF(R$12:R319,"&gt;0")+1)</f>
        <v/>
      </c>
      <c r="S320" s="533">
        <f t="shared" si="69"/>
        <v>0</v>
      </c>
      <c r="T320" s="533">
        <f>VLOOKUP(C320,A!A$1:AH$669,32,FALSE)</f>
        <v>0</v>
      </c>
      <c r="U320" s="533">
        <v>0.11</v>
      </c>
      <c r="V320" s="533"/>
      <c r="W320" s="533" t="str">
        <f t="shared" si="72"/>
        <v/>
      </c>
      <c r="X320" s="533">
        <f>IF(V320&lt;&gt;"",COUNTIF(V$46:V320,V320)-1,0)</f>
        <v>0</v>
      </c>
      <c r="Y320" s="533"/>
      <c r="Z320" s="533"/>
      <c r="AA320" s="533"/>
      <c r="AB320" s="533"/>
      <c r="AC320" s="533"/>
      <c r="AD320" s="533"/>
      <c r="AE320" s="533"/>
      <c r="AF320" s="533"/>
      <c r="AG320" s="533"/>
      <c r="AH320" s="533"/>
      <c r="AI320" s="533"/>
      <c r="AJ320" s="533"/>
      <c r="AK320" s="533"/>
      <c r="AL320" s="533"/>
      <c r="AM320" s="533"/>
      <c r="AN320" s="533"/>
      <c r="AO320" s="533"/>
      <c r="AP320" s="533"/>
      <c r="AQ320" s="533"/>
      <c r="AR320" s="533"/>
      <c r="AS320" s="533"/>
      <c r="AT320" s="533"/>
      <c r="AU320" s="533"/>
    </row>
    <row r="321" spans="1:47" ht="11.25" hidden="1" customHeight="1" x14ac:dyDescent="0.25">
      <c r="A321" s="100"/>
      <c r="B321" s="104" t="s">
        <v>510</v>
      </c>
      <c r="C321" s="695" t="s">
        <v>570</v>
      </c>
      <c r="D321" s="642"/>
      <c r="E321" s="711"/>
      <c r="F321" s="688" t="s">
        <v>160</v>
      </c>
      <c r="G321" s="26" t="s">
        <v>571</v>
      </c>
      <c r="H321" s="27">
        <f>VLOOKUP(C321,A!A$1:O$669,15,FALSE)</f>
        <v>2</v>
      </c>
      <c r="I321" s="27"/>
      <c r="J321" s="348">
        <f>IF(VLOOKUP(C321,A!A$1:O$669,11,FALSE)="y",1,0)</f>
        <v>0</v>
      </c>
      <c r="K321" s="28">
        <f>IF(VLOOKUP(C321,A!A$1:O$669,12,FALSE)="y",1,0)</f>
        <v>0</v>
      </c>
      <c r="L321" s="544" t="str">
        <f t="shared" si="71"/>
        <v>Low</v>
      </c>
      <c r="M321" s="27">
        <f>VLOOKUP(C321,A!A$1:O$669,13,FALSE)</f>
        <v>0</v>
      </c>
      <c r="N321" s="101">
        <v>1</v>
      </c>
      <c r="O321" s="533">
        <f>VLOOKUP(C321,A!A$1:O$669,9,FALSE)</f>
        <v>0</v>
      </c>
      <c r="P321" s="533" t="s">
        <v>1249</v>
      </c>
      <c r="Q321" s="533" t="str">
        <f>IF(S321=0,"",COUNTIF(Q$12:Q320,"&gt;0")+1)</f>
        <v/>
      </c>
      <c r="R321" s="533" t="str">
        <f>IF(S321=0,"",COUNTIF(R$12:R320,"&gt;0")+1)</f>
        <v/>
      </c>
      <c r="S321" s="533">
        <f t="shared" si="69"/>
        <v>0</v>
      </c>
      <c r="T321" s="533">
        <f>VLOOKUP(C321,A!A$1:AH$669,32,FALSE)</f>
        <v>0</v>
      </c>
      <c r="U321" s="533">
        <v>0.11</v>
      </c>
      <c r="V321" s="533"/>
      <c r="W321" s="533" t="str">
        <f t="shared" si="72"/>
        <v/>
      </c>
      <c r="X321" s="533">
        <f>IF(V321&lt;&gt;"",COUNTIF(V$46:V321,V321)-1,0)</f>
        <v>0</v>
      </c>
      <c r="Y321" s="533"/>
      <c r="Z321" s="533"/>
      <c r="AA321" s="533"/>
      <c r="AB321" s="533"/>
      <c r="AC321" s="533"/>
      <c r="AD321" s="533"/>
      <c r="AE321" s="533"/>
      <c r="AF321" s="533"/>
      <c r="AG321" s="533"/>
      <c r="AH321" s="533"/>
      <c r="AI321" s="533"/>
      <c r="AJ321" s="533"/>
      <c r="AK321" s="533"/>
      <c r="AL321" s="533"/>
      <c r="AM321" s="533"/>
      <c r="AN321" s="533"/>
      <c r="AO321" s="533"/>
      <c r="AP321" s="533"/>
      <c r="AQ321" s="533"/>
      <c r="AR321" s="533"/>
      <c r="AS321" s="533"/>
      <c r="AT321" s="533"/>
      <c r="AU321" s="533"/>
    </row>
    <row r="322" spans="1:47" ht="11.25" hidden="1" customHeight="1" x14ac:dyDescent="0.25">
      <c r="A322" s="100"/>
      <c r="B322" s="104" t="s">
        <v>510</v>
      </c>
      <c r="C322" s="695" t="s">
        <v>572</v>
      </c>
      <c r="D322" s="642"/>
      <c r="E322" s="711"/>
      <c r="F322" s="688" t="s">
        <v>160</v>
      </c>
      <c r="G322" s="26" t="s">
        <v>573</v>
      </c>
      <c r="H322" s="27">
        <f>VLOOKUP(C322,A!A$1:O$669,15,FALSE)</f>
        <v>2</v>
      </c>
      <c r="I322" s="27"/>
      <c r="J322" s="348">
        <f>IF(VLOOKUP(C322,A!A$1:O$669,11,FALSE)="y",1,0)</f>
        <v>0</v>
      </c>
      <c r="K322" s="28">
        <f>IF(VLOOKUP(C322,A!A$1:O$669,12,FALSE)="y",1,0)</f>
        <v>0</v>
      </c>
      <c r="L322" s="544" t="str">
        <f t="shared" si="71"/>
        <v>Low</v>
      </c>
      <c r="M322" s="27">
        <f>VLOOKUP(C322,A!A$1:O$669,13,FALSE)</f>
        <v>0</v>
      </c>
      <c r="N322" s="101">
        <v>1</v>
      </c>
      <c r="O322" s="533">
        <f>VLOOKUP(C322,A!A$1:O$669,9,FALSE)</f>
        <v>0</v>
      </c>
      <c r="P322" s="533" t="s">
        <v>1249</v>
      </c>
      <c r="Q322" s="533" t="str">
        <f>IF(S322=0,"",COUNTIF(Q$12:Q321,"&gt;0")+1)</f>
        <v/>
      </c>
      <c r="R322" s="533" t="str">
        <f>IF(S322=0,"",COUNTIF(R$12:R321,"&gt;0")+1)</f>
        <v/>
      </c>
      <c r="S322" s="533">
        <f t="shared" si="69"/>
        <v>0</v>
      </c>
      <c r="T322" s="533">
        <f>VLOOKUP(C322,A!A$1:AH$669,32,FALSE)</f>
        <v>0</v>
      </c>
      <c r="U322" s="533">
        <v>0.11</v>
      </c>
      <c r="V322" s="533"/>
      <c r="W322" s="533" t="str">
        <f t="shared" si="72"/>
        <v/>
      </c>
      <c r="X322" s="533">
        <f>IF(V322&lt;&gt;"",COUNTIF(V$46:V322,V322)-1,0)</f>
        <v>0</v>
      </c>
      <c r="Y322" s="533"/>
      <c r="Z322" s="533"/>
      <c r="AA322" s="533"/>
      <c r="AB322" s="533"/>
      <c r="AC322" s="533"/>
      <c r="AD322" s="533"/>
      <c r="AE322" s="533"/>
      <c r="AF322" s="533"/>
      <c r="AG322" s="533"/>
      <c r="AH322" s="533"/>
      <c r="AI322" s="533"/>
      <c r="AJ322" s="533"/>
      <c r="AK322" s="533"/>
      <c r="AL322" s="533"/>
      <c r="AM322" s="533"/>
      <c r="AN322" s="533"/>
      <c r="AO322" s="533"/>
      <c r="AP322" s="533"/>
      <c r="AQ322" s="533"/>
      <c r="AR322" s="533"/>
      <c r="AS322" s="533"/>
      <c r="AT322" s="533"/>
      <c r="AU322" s="533"/>
    </row>
    <row r="323" spans="1:47" ht="11.25" hidden="1" customHeight="1" x14ac:dyDescent="0.25">
      <c r="A323" s="100"/>
      <c r="B323" s="104" t="s">
        <v>510</v>
      </c>
      <c r="C323" s="695" t="s">
        <v>574</v>
      </c>
      <c r="D323" s="642"/>
      <c r="E323" s="711"/>
      <c r="F323" s="688" t="s">
        <v>160</v>
      </c>
      <c r="G323" s="26" t="s">
        <v>575</v>
      </c>
      <c r="H323" s="27">
        <f>VLOOKUP(C323,A!A$1:O$669,15,FALSE)</f>
        <v>2</v>
      </c>
      <c r="I323" s="27"/>
      <c r="J323" s="348">
        <f>IF(VLOOKUP(C323,A!A$1:O$669,11,FALSE)="y",1,0)</f>
        <v>0</v>
      </c>
      <c r="K323" s="28">
        <f>IF(VLOOKUP(C323,A!A$1:O$669,12,FALSE)="y",1,0)</f>
        <v>0</v>
      </c>
      <c r="L323" s="544" t="str">
        <f t="shared" si="71"/>
        <v>Low</v>
      </c>
      <c r="M323" s="27">
        <f>VLOOKUP(C323,A!A$1:O$669,13,FALSE)</f>
        <v>0</v>
      </c>
      <c r="N323" s="101">
        <v>1</v>
      </c>
      <c r="O323" s="533">
        <f>VLOOKUP(C323,A!A$1:O$669,9,FALSE)</f>
        <v>0</v>
      </c>
      <c r="P323" s="533" t="s">
        <v>1249</v>
      </c>
      <c r="Q323" s="533" t="str">
        <f>IF(S323=0,"",COUNTIF(Q$12:Q322,"&gt;0")+1)</f>
        <v/>
      </c>
      <c r="R323" s="533" t="str">
        <f>IF(S323=0,"",COUNTIF(R$12:R322,"&gt;0")+1)</f>
        <v/>
      </c>
      <c r="S323" s="533">
        <f t="shared" si="69"/>
        <v>0</v>
      </c>
      <c r="T323" s="533">
        <f>VLOOKUP(C323,A!A$1:AH$669,32,FALSE)</f>
        <v>0</v>
      </c>
      <c r="U323" s="533">
        <v>0.11</v>
      </c>
      <c r="V323" s="533"/>
      <c r="W323" s="533" t="str">
        <f t="shared" si="72"/>
        <v/>
      </c>
      <c r="X323" s="533">
        <f>IF(V323&lt;&gt;"",COUNTIF(V$46:V323,V323)-1,0)</f>
        <v>0</v>
      </c>
      <c r="Y323" s="533"/>
      <c r="Z323" s="533"/>
      <c r="AA323" s="533"/>
      <c r="AB323" s="533"/>
      <c r="AC323" s="533"/>
      <c r="AD323" s="533"/>
      <c r="AE323" s="533"/>
      <c r="AF323" s="533"/>
      <c r="AG323" s="533"/>
      <c r="AH323" s="533"/>
      <c r="AI323" s="533"/>
      <c r="AJ323" s="533"/>
      <c r="AK323" s="533"/>
      <c r="AL323" s="533"/>
      <c r="AM323" s="533"/>
      <c r="AN323" s="533"/>
      <c r="AO323" s="533"/>
      <c r="AP323" s="533"/>
      <c r="AQ323" s="533"/>
      <c r="AR323" s="533"/>
      <c r="AS323" s="533"/>
      <c r="AT323" s="533"/>
      <c r="AU323" s="533"/>
    </row>
    <row r="324" spans="1:47" ht="11.25" hidden="1" customHeight="1" x14ac:dyDescent="0.25">
      <c r="A324" s="100"/>
      <c r="B324" s="104" t="s">
        <v>510</v>
      </c>
      <c r="C324" s="695" t="s">
        <v>576</v>
      </c>
      <c r="D324" s="642"/>
      <c r="E324" s="711"/>
      <c r="F324" s="688" t="s">
        <v>160</v>
      </c>
      <c r="G324" s="26" t="s">
        <v>577</v>
      </c>
      <c r="H324" s="27">
        <f>VLOOKUP(C324,A!A$1:O$669,15,FALSE)</f>
        <v>2</v>
      </c>
      <c r="I324" s="27"/>
      <c r="J324" s="348">
        <f>IF(VLOOKUP(C324,A!A$1:O$669,11,FALSE)="y",1,0)</f>
        <v>0</v>
      </c>
      <c r="K324" s="28">
        <f>IF(VLOOKUP(C324,A!A$1:O$669,12,FALSE)="y",1,0)</f>
        <v>0</v>
      </c>
      <c r="L324" s="544" t="str">
        <f t="shared" si="71"/>
        <v>Low</v>
      </c>
      <c r="M324" s="27">
        <f>VLOOKUP(C324,A!A$1:O$669,13,FALSE)</f>
        <v>0</v>
      </c>
      <c r="N324" s="101">
        <v>1</v>
      </c>
      <c r="O324" s="533">
        <f>VLOOKUP(C324,A!A$1:O$669,9,FALSE)</f>
        <v>0</v>
      </c>
      <c r="P324" s="533" t="s">
        <v>1249</v>
      </c>
      <c r="Q324" s="533" t="str">
        <f>IF(S324=0,"",COUNTIF(Q$12:Q323,"&gt;0")+1)</f>
        <v/>
      </c>
      <c r="R324" s="533" t="str">
        <f>IF(S324=0,"",COUNTIF(R$12:R323,"&gt;0")+1)</f>
        <v/>
      </c>
      <c r="S324" s="533">
        <f t="shared" si="69"/>
        <v>0</v>
      </c>
      <c r="T324" s="533">
        <f>VLOOKUP(C324,A!A$1:AH$669,32,FALSE)</f>
        <v>0</v>
      </c>
      <c r="U324" s="533">
        <v>0.11</v>
      </c>
      <c r="V324" s="533"/>
      <c r="W324" s="533" t="str">
        <f t="shared" si="72"/>
        <v/>
      </c>
      <c r="X324" s="533">
        <f>IF(V324&lt;&gt;"",COUNTIF(V$46:V324,V324)-1,0)</f>
        <v>0</v>
      </c>
      <c r="Y324" s="533"/>
      <c r="Z324" s="533"/>
      <c r="AA324" s="533"/>
      <c r="AB324" s="533"/>
      <c r="AC324" s="533"/>
      <c r="AD324" s="533"/>
      <c r="AE324" s="533"/>
      <c r="AF324" s="533"/>
      <c r="AG324" s="533"/>
      <c r="AH324" s="533"/>
      <c r="AI324" s="533"/>
      <c r="AJ324" s="533"/>
      <c r="AK324" s="533"/>
      <c r="AL324" s="533"/>
      <c r="AM324" s="533"/>
      <c r="AN324" s="533"/>
      <c r="AO324" s="533"/>
      <c r="AP324" s="533"/>
      <c r="AQ324" s="533"/>
      <c r="AR324" s="533"/>
      <c r="AS324" s="533"/>
      <c r="AT324" s="533"/>
      <c r="AU324" s="533"/>
    </row>
    <row r="325" spans="1:47" ht="11.25" hidden="1" customHeight="1" x14ac:dyDescent="0.25">
      <c r="A325" s="100"/>
      <c r="B325" s="104" t="s">
        <v>510</v>
      </c>
      <c r="C325" s="695" t="s">
        <v>578</v>
      </c>
      <c r="D325" s="642"/>
      <c r="E325" s="711"/>
      <c r="F325" s="688" t="s">
        <v>160</v>
      </c>
      <c r="G325" s="26" t="s">
        <v>579</v>
      </c>
      <c r="H325" s="27">
        <f>VLOOKUP(C325,A!A$1:O$669,15,FALSE)</f>
        <v>2</v>
      </c>
      <c r="I325" s="27"/>
      <c r="J325" s="348">
        <f>IF(VLOOKUP(C325,A!A$1:O$669,11,FALSE)="y",1,0)</f>
        <v>0</v>
      </c>
      <c r="K325" s="28">
        <f>IF(VLOOKUP(C325,A!A$1:O$669,12,FALSE)="y",1,0)</f>
        <v>0</v>
      </c>
      <c r="L325" s="544" t="str">
        <f t="shared" si="71"/>
        <v>Low</v>
      </c>
      <c r="M325" s="27">
        <f>VLOOKUP(C325,A!A$1:O$669,13,FALSE)</f>
        <v>0</v>
      </c>
      <c r="N325" s="101">
        <v>1</v>
      </c>
      <c r="O325" s="533">
        <f>VLOOKUP(C325,A!A$1:O$669,9,FALSE)</f>
        <v>0</v>
      </c>
      <c r="P325" s="533" t="s">
        <v>1249</v>
      </c>
      <c r="Q325" s="533" t="str">
        <f>IF(S325=0,"",COUNTIF(Q$12:Q324,"&gt;0")+1)</f>
        <v/>
      </c>
      <c r="R325" s="533" t="str">
        <f>IF(S325=0,"",COUNTIF(R$12:R324,"&gt;0")+1)</f>
        <v/>
      </c>
      <c r="S325" s="533">
        <f t="shared" si="69"/>
        <v>0</v>
      </c>
      <c r="T325" s="533">
        <f>VLOOKUP(C325,A!A$1:AH$669,32,FALSE)</f>
        <v>0</v>
      </c>
      <c r="U325" s="533">
        <v>0.11</v>
      </c>
      <c r="V325" s="533"/>
      <c r="W325" s="533" t="str">
        <f t="shared" si="72"/>
        <v/>
      </c>
      <c r="X325" s="533">
        <f>IF(V325&lt;&gt;"",COUNTIF(V$46:V325,V325)-1,0)</f>
        <v>0</v>
      </c>
      <c r="Y325" s="533"/>
      <c r="Z325" s="533"/>
      <c r="AA325" s="533"/>
      <c r="AB325" s="533"/>
      <c r="AC325" s="533"/>
      <c r="AD325" s="533"/>
      <c r="AE325" s="533"/>
      <c r="AF325" s="533"/>
      <c r="AG325" s="533"/>
      <c r="AH325" s="533"/>
      <c r="AI325" s="533"/>
      <c r="AJ325" s="533"/>
      <c r="AK325" s="533"/>
      <c r="AL325" s="533"/>
      <c r="AM325" s="533"/>
      <c r="AN325" s="533"/>
      <c r="AO325" s="533"/>
      <c r="AP325" s="533"/>
      <c r="AQ325" s="533"/>
      <c r="AR325" s="533"/>
      <c r="AS325" s="533"/>
      <c r="AT325" s="533"/>
      <c r="AU325" s="533"/>
    </row>
    <row r="326" spans="1:47" ht="11.25" hidden="1" customHeight="1" x14ac:dyDescent="0.25">
      <c r="A326" s="100"/>
      <c r="B326" s="104" t="s">
        <v>510</v>
      </c>
      <c r="C326" s="695" t="s">
        <v>580</v>
      </c>
      <c r="D326" s="642"/>
      <c r="E326" s="711"/>
      <c r="F326" s="688" t="s">
        <v>160</v>
      </c>
      <c r="G326" s="26" t="s">
        <v>581</v>
      </c>
      <c r="H326" s="27">
        <f>VLOOKUP(C326,A!A$1:O$669,15,FALSE)</f>
        <v>2</v>
      </c>
      <c r="I326" s="27"/>
      <c r="J326" s="348">
        <f>IF(VLOOKUP(C326,A!A$1:O$669,11,FALSE)="y",1,0)</f>
        <v>0</v>
      </c>
      <c r="K326" s="28">
        <f>IF(VLOOKUP(C326,A!A$1:O$669,12,FALSE)="y",1,0)</f>
        <v>0</v>
      </c>
      <c r="L326" s="544" t="str">
        <f t="shared" si="71"/>
        <v>Low</v>
      </c>
      <c r="M326" s="27">
        <f>VLOOKUP(C326,A!A$1:O$669,13,FALSE)</f>
        <v>0</v>
      </c>
      <c r="N326" s="101">
        <v>1</v>
      </c>
      <c r="O326" s="533">
        <f>VLOOKUP(C326,A!A$1:O$669,9,FALSE)</f>
        <v>0</v>
      </c>
      <c r="P326" s="533" t="s">
        <v>1249</v>
      </c>
      <c r="Q326" s="533" t="str">
        <f>IF(S326=0,"",COUNTIF(Q$12:Q325,"&gt;0")+1)</f>
        <v/>
      </c>
      <c r="R326" s="533" t="str">
        <f>IF(S326=0,"",COUNTIF(R$12:R325,"&gt;0")+1)</f>
        <v/>
      </c>
      <c r="S326" s="533">
        <f t="shared" si="69"/>
        <v>0</v>
      </c>
      <c r="T326" s="533">
        <f>VLOOKUP(C326,A!A$1:AH$669,32,FALSE)</f>
        <v>0</v>
      </c>
      <c r="U326" s="533">
        <v>0.11</v>
      </c>
      <c r="V326" s="533"/>
      <c r="W326" s="533" t="str">
        <f t="shared" si="72"/>
        <v/>
      </c>
      <c r="X326" s="533">
        <f>IF(V326&lt;&gt;"",COUNTIF(V$46:V326,V326)-1,0)</f>
        <v>0</v>
      </c>
      <c r="Y326" s="533"/>
      <c r="Z326" s="533"/>
      <c r="AA326" s="533"/>
      <c r="AB326" s="533"/>
      <c r="AC326" s="533"/>
      <c r="AD326" s="533"/>
      <c r="AE326" s="533"/>
      <c r="AF326" s="533"/>
      <c r="AG326" s="533"/>
      <c r="AH326" s="533"/>
      <c r="AI326" s="533"/>
      <c r="AJ326" s="533"/>
      <c r="AK326" s="533"/>
      <c r="AL326" s="533"/>
      <c r="AM326" s="533"/>
      <c r="AN326" s="533"/>
      <c r="AO326" s="533"/>
      <c r="AP326" s="533"/>
      <c r="AQ326" s="533"/>
      <c r="AR326" s="533"/>
      <c r="AS326" s="533"/>
      <c r="AT326" s="533"/>
      <c r="AU326" s="533"/>
    </row>
    <row r="327" spans="1:47" ht="11.25" hidden="1" customHeight="1" x14ac:dyDescent="0.25">
      <c r="A327" s="100"/>
      <c r="B327" s="104" t="s">
        <v>510</v>
      </c>
      <c r="C327" s="695" t="s">
        <v>582</v>
      </c>
      <c r="D327" s="642"/>
      <c r="E327" s="711"/>
      <c r="F327" s="688" t="s">
        <v>160</v>
      </c>
      <c r="G327" s="26" t="s">
        <v>583</v>
      </c>
      <c r="H327" s="27">
        <f>VLOOKUP(C327,A!A$1:O$669,15,FALSE)</f>
        <v>2</v>
      </c>
      <c r="I327" s="27"/>
      <c r="J327" s="348">
        <f>IF(VLOOKUP(C327,A!A$1:O$669,11,FALSE)="y",1,0)</f>
        <v>0</v>
      </c>
      <c r="K327" s="28">
        <f>IF(VLOOKUP(C327,A!A$1:O$669,12,FALSE)="y",1,0)</f>
        <v>0</v>
      </c>
      <c r="L327" s="544" t="str">
        <f t="shared" si="71"/>
        <v>Low</v>
      </c>
      <c r="M327" s="27">
        <f>VLOOKUP(C327,A!A$1:O$669,13,FALSE)</f>
        <v>0</v>
      </c>
      <c r="N327" s="101">
        <v>1</v>
      </c>
      <c r="O327" s="533">
        <f>VLOOKUP(C327,A!A$1:O$669,9,FALSE)</f>
        <v>0</v>
      </c>
      <c r="P327" s="533" t="s">
        <v>1249</v>
      </c>
      <c r="Q327" s="533" t="str">
        <f>IF(S327=0,"",COUNTIF(Q$12:Q326,"&gt;0")+1)</f>
        <v/>
      </c>
      <c r="R327" s="533" t="str">
        <f>IF(S327=0,"",COUNTIF(R$12:R326,"&gt;0")+1)</f>
        <v/>
      </c>
      <c r="S327" s="533">
        <f t="shared" si="69"/>
        <v>0</v>
      </c>
      <c r="T327" s="533">
        <f>VLOOKUP(C327,A!A$1:AH$669,32,FALSE)</f>
        <v>0</v>
      </c>
      <c r="U327" s="533">
        <v>0.11</v>
      </c>
      <c r="V327" s="533"/>
      <c r="W327" s="533" t="str">
        <f t="shared" si="72"/>
        <v/>
      </c>
      <c r="X327" s="533">
        <f>IF(V327&lt;&gt;"",COUNTIF(V$46:V327,V327)-1,0)</f>
        <v>0</v>
      </c>
      <c r="Y327" s="533"/>
      <c r="Z327" s="533"/>
      <c r="AA327" s="533"/>
      <c r="AB327" s="533"/>
      <c r="AC327" s="533"/>
      <c r="AD327" s="533"/>
      <c r="AE327" s="533"/>
      <c r="AF327" s="533"/>
      <c r="AG327" s="533"/>
      <c r="AH327" s="533"/>
      <c r="AI327" s="533"/>
      <c r="AJ327" s="533"/>
      <c r="AK327" s="533"/>
      <c r="AL327" s="533"/>
      <c r="AM327" s="533"/>
      <c r="AN327" s="533"/>
      <c r="AO327" s="533"/>
      <c r="AP327" s="533"/>
      <c r="AQ327" s="533"/>
      <c r="AR327" s="533"/>
      <c r="AS327" s="533"/>
      <c r="AT327" s="533"/>
      <c r="AU327" s="533"/>
    </row>
    <row r="328" spans="1:47" ht="11.25" hidden="1" customHeight="1" x14ac:dyDescent="0.25">
      <c r="A328" s="100"/>
      <c r="B328" s="104" t="s">
        <v>510</v>
      </c>
      <c r="C328" s="695" t="s">
        <v>584</v>
      </c>
      <c r="D328" s="642"/>
      <c r="E328" s="711"/>
      <c r="F328" s="688" t="s">
        <v>160</v>
      </c>
      <c r="G328" s="26" t="s">
        <v>585</v>
      </c>
      <c r="H328" s="27">
        <f>VLOOKUP(C328,A!A$1:O$669,15,FALSE)</f>
        <v>2</v>
      </c>
      <c r="I328" s="27"/>
      <c r="J328" s="348">
        <f>IF(VLOOKUP(C328,A!A$1:O$669,11,FALSE)="y",1,0)</f>
        <v>0</v>
      </c>
      <c r="K328" s="28">
        <f>IF(VLOOKUP(C328,A!A$1:O$669,12,FALSE)="y",1,0)</f>
        <v>0</v>
      </c>
      <c r="L328" s="544" t="str">
        <f t="shared" si="71"/>
        <v>Low</v>
      </c>
      <c r="M328" s="27">
        <f>VLOOKUP(C328,A!A$1:O$669,13,FALSE)</f>
        <v>0</v>
      </c>
      <c r="N328" s="101">
        <v>1</v>
      </c>
      <c r="O328" s="533">
        <f>VLOOKUP(C328,A!A$1:O$669,9,FALSE)</f>
        <v>0</v>
      </c>
      <c r="P328" s="533" t="s">
        <v>1249</v>
      </c>
      <c r="Q328" s="533" t="str">
        <f>IF(S328=0,"",COUNTIF(Q$12:Q327,"&gt;0")+1)</f>
        <v/>
      </c>
      <c r="R328" s="533" t="str">
        <f>IF(S328=0,"",COUNTIF(R$12:R327,"&gt;0")+1)</f>
        <v/>
      </c>
      <c r="S328" s="533">
        <f t="shared" si="69"/>
        <v>0</v>
      </c>
      <c r="T328" s="533">
        <f>VLOOKUP(C328,A!A$1:AH$669,32,FALSE)</f>
        <v>0</v>
      </c>
      <c r="U328" s="533">
        <v>0.11</v>
      </c>
      <c r="V328" s="533"/>
      <c r="W328" s="533" t="str">
        <f t="shared" si="72"/>
        <v/>
      </c>
      <c r="X328" s="533">
        <f>IF(V328&lt;&gt;"",COUNTIF(V$46:V328,V328)-1,0)</f>
        <v>0</v>
      </c>
      <c r="Y328" s="533"/>
      <c r="Z328" s="533"/>
      <c r="AA328" s="533"/>
      <c r="AB328" s="533"/>
      <c r="AC328" s="533"/>
      <c r="AD328" s="533"/>
      <c r="AE328" s="533"/>
      <c r="AF328" s="533"/>
      <c r="AG328" s="533"/>
      <c r="AH328" s="533"/>
      <c r="AI328" s="533"/>
      <c r="AJ328" s="533"/>
      <c r="AK328" s="533"/>
      <c r="AL328" s="533"/>
      <c r="AM328" s="533"/>
      <c r="AN328" s="533"/>
      <c r="AO328" s="533"/>
      <c r="AP328" s="533"/>
      <c r="AQ328" s="533"/>
      <c r="AR328" s="533"/>
      <c r="AS328" s="533"/>
      <c r="AT328" s="533"/>
      <c r="AU328" s="533"/>
    </row>
    <row r="329" spans="1:47" ht="11.25" hidden="1" customHeight="1" x14ac:dyDescent="0.25">
      <c r="A329" s="100"/>
      <c r="B329" s="104" t="s">
        <v>510</v>
      </c>
      <c r="C329" s="695" t="s">
        <v>586</v>
      </c>
      <c r="D329" s="642"/>
      <c r="E329" s="711"/>
      <c r="F329" s="688" t="s">
        <v>160</v>
      </c>
      <c r="G329" s="26" t="s">
        <v>587</v>
      </c>
      <c r="H329" s="27">
        <f>VLOOKUP(C329,A!A$1:O$669,15,FALSE)</f>
        <v>2</v>
      </c>
      <c r="I329" s="27"/>
      <c r="J329" s="348">
        <f>IF(VLOOKUP(C329,A!A$1:O$669,11,FALSE)="y",1,0)</f>
        <v>0</v>
      </c>
      <c r="K329" s="28">
        <f>IF(VLOOKUP(C329,A!A$1:O$669,12,FALSE)="y",1,0)</f>
        <v>0</v>
      </c>
      <c r="L329" s="544" t="str">
        <f t="shared" si="71"/>
        <v>Low</v>
      </c>
      <c r="M329" s="102">
        <f>VLOOKUP(C329,A!A$1:O$669,13,FALSE)</f>
        <v>0</v>
      </c>
      <c r="N329" s="101">
        <v>1</v>
      </c>
      <c r="O329" s="533">
        <f>VLOOKUP(C329,A!A$1:O$669,9,FALSE)</f>
        <v>0</v>
      </c>
      <c r="P329" s="533" t="s">
        <v>1249</v>
      </c>
      <c r="Q329" s="533" t="str">
        <f>IF(S329=0,"",COUNTIF(Q$12:Q328,"&gt;0")+1)</f>
        <v/>
      </c>
      <c r="R329" s="533" t="str">
        <f>IF(S329=0,"",COUNTIF(R$12:R328,"&gt;0")+1)</f>
        <v/>
      </c>
      <c r="S329" s="533">
        <f t="shared" si="69"/>
        <v>0</v>
      </c>
      <c r="T329" s="533">
        <f>VLOOKUP(C329,A!A$1:AH$669,32,FALSE)</f>
        <v>0</v>
      </c>
      <c r="U329" s="533">
        <v>0.11</v>
      </c>
      <c r="V329" s="533"/>
      <c r="W329" s="533" t="str">
        <f t="shared" si="72"/>
        <v/>
      </c>
      <c r="X329" s="533">
        <f>IF(V329&lt;&gt;"",COUNTIF(V$46:V329,V329)-1,0)</f>
        <v>0</v>
      </c>
      <c r="Y329" s="533"/>
      <c r="Z329" s="533"/>
      <c r="AA329" s="533"/>
      <c r="AB329" s="533"/>
      <c r="AC329" s="533"/>
      <c r="AD329" s="533"/>
      <c r="AE329" s="533"/>
      <c r="AF329" s="533"/>
      <c r="AG329" s="533"/>
      <c r="AH329" s="533"/>
      <c r="AI329" s="533"/>
      <c r="AJ329" s="533"/>
      <c r="AK329" s="533"/>
      <c r="AL329" s="533"/>
      <c r="AM329" s="533"/>
      <c r="AN329" s="533"/>
      <c r="AO329" s="533"/>
      <c r="AP329" s="533"/>
      <c r="AQ329" s="533"/>
      <c r="AR329" s="533"/>
      <c r="AS329" s="533"/>
      <c r="AT329" s="533"/>
      <c r="AU329" s="533"/>
    </row>
    <row r="330" spans="1:47" ht="11.25" hidden="1" customHeight="1" x14ac:dyDescent="0.25">
      <c r="A330" s="100"/>
      <c r="B330" s="104" t="s">
        <v>510</v>
      </c>
      <c r="C330" s="695" t="s">
        <v>588</v>
      </c>
      <c r="D330" s="642"/>
      <c r="E330" s="711"/>
      <c r="F330" s="688" t="s">
        <v>160</v>
      </c>
      <c r="G330" s="26" t="s">
        <v>589</v>
      </c>
      <c r="H330" s="27">
        <f>VLOOKUP(C330,A!A$1:O$669,15,FALSE)</f>
        <v>2</v>
      </c>
      <c r="I330" s="27"/>
      <c r="J330" s="348">
        <f>IF(VLOOKUP(C330,A!A$1:O$669,11,FALSE)="y",1,0)</f>
        <v>0</v>
      </c>
      <c r="K330" s="28">
        <f>IF(VLOOKUP(C330,A!A$1:O$669,12,FALSE)="y",1,0)</f>
        <v>0</v>
      </c>
      <c r="L330" s="544" t="str">
        <f t="shared" si="71"/>
        <v>Low</v>
      </c>
      <c r="M330" s="27">
        <f>VLOOKUP(C330,A!A$1:O$669,13,FALSE)</f>
        <v>0</v>
      </c>
      <c r="N330" s="101">
        <v>1</v>
      </c>
      <c r="O330" s="533">
        <f>VLOOKUP(C330,A!A$1:O$669,9,FALSE)</f>
        <v>0</v>
      </c>
      <c r="P330" s="533" t="s">
        <v>1249</v>
      </c>
      <c r="Q330" s="533" t="str">
        <f>IF(S330=0,"",COUNTIF(Q$12:Q329,"&gt;0")+1)</f>
        <v/>
      </c>
      <c r="R330" s="533" t="str">
        <f>IF(S330=0,"",COUNTIF(R$12:R329,"&gt;0")+1)</f>
        <v/>
      </c>
      <c r="S330" s="533">
        <f t="shared" si="69"/>
        <v>0</v>
      </c>
      <c r="T330" s="533">
        <f>VLOOKUP(C330,A!A$1:AH$669,32,FALSE)</f>
        <v>0</v>
      </c>
      <c r="U330" s="533">
        <v>0.11</v>
      </c>
      <c r="V330" s="533"/>
      <c r="W330" s="533" t="str">
        <f t="shared" si="72"/>
        <v/>
      </c>
      <c r="X330" s="533">
        <f>IF(V330&lt;&gt;"",COUNTIF(V$46:V330,V330)-1,0)</f>
        <v>0</v>
      </c>
      <c r="Y330" s="533"/>
      <c r="Z330" s="533"/>
      <c r="AA330" s="533"/>
      <c r="AB330" s="533"/>
      <c r="AC330" s="533"/>
      <c r="AD330" s="533"/>
      <c r="AE330" s="533"/>
      <c r="AF330" s="533"/>
      <c r="AG330" s="533"/>
      <c r="AH330" s="533"/>
      <c r="AI330" s="533"/>
      <c r="AJ330" s="533"/>
      <c r="AK330" s="533"/>
      <c r="AL330" s="533"/>
      <c r="AM330" s="533"/>
      <c r="AN330" s="533"/>
      <c r="AO330" s="533"/>
      <c r="AP330" s="533"/>
      <c r="AQ330" s="533"/>
      <c r="AR330" s="533"/>
      <c r="AS330" s="533"/>
      <c r="AT330" s="533"/>
      <c r="AU330" s="533"/>
    </row>
    <row r="331" spans="1:47" ht="11.25" hidden="1" customHeight="1" x14ac:dyDescent="0.25">
      <c r="A331" s="100"/>
      <c r="B331" s="104" t="s">
        <v>510</v>
      </c>
      <c r="C331" s="695" t="s">
        <v>590</v>
      </c>
      <c r="D331" s="642"/>
      <c r="E331" s="711"/>
      <c r="F331" s="688" t="s">
        <v>160</v>
      </c>
      <c r="G331" s="26" t="s">
        <v>591</v>
      </c>
      <c r="H331" s="27">
        <f>VLOOKUP(C331,A!A$1:O$669,15,FALSE)</f>
        <v>2</v>
      </c>
      <c r="I331" s="27"/>
      <c r="J331" s="348">
        <f>IF(VLOOKUP(C331,A!A$1:O$669,11,FALSE)="y",1,0)</f>
        <v>0</v>
      </c>
      <c r="K331" s="28">
        <f>IF(VLOOKUP(C331,A!A$1:O$669,12,FALSE)="y",1,0)</f>
        <v>0</v>
      </c>
      <c r="L331" s="544" t="str">
        <f t="shared" si="71"/>
        <v>Low</v>
      </c>
      <c r="M331" s="27">
        <f>VLOOKUP(C331,A!A$1:O$669,13,FALSE)</f>
        <v>0</v>
      </c>
      <c r="N331" s="101">
        <v>1</v>
      </c>
      <c r="O331" s="533">
        <f>VLOOKUP(C331,A!A$1:O$669,9,FALSE)</f>
        <v>0</v>
      </c>
      <c r="P331" s="533" t="s">
        <v>1249</v>
      </c>
      <c r="Q331" s="533" t="str">
        <f>IF(S331=0,"",COUNTIF(Q$12:Q330,"&gt;0")+1)</f>
        <v/>
      </c>
      <c r="R331" s="533" t="str">
        <f>IF(S331=0,"",COUNTIF(R$12:R330,"&gt;0")+1)</f>
        <v/>
      </c>
      <c r="S331" s="533">
        <f t="shared" si="69"/>
        <v>0</v>
      </c>
      <c r="T331" s="533">
        <f>VLOOKUP(C331,A!A$1:AH$669,32,FALSE)</f>
        <v>0</v>
      </c>
      <c r="U331" s="533">
        <v>0.11</v>
      </c>
      <c r="V331" s="533"/>
      <c r="W331" s="533" t="str">
        <f t="shared" si="72"/>
        <v/>
      </c>
      <c r="X331" s="533">
        <f>IF(V331&lt;&gt;"",COUNTIF(V$46:V331,V331)-1,0)</f>
        <v>0</v>
      </c>
      <c r="Y331" s="533"/>
      <c r="Z331" s="533"/>
      <c r="AA331" s="533"/>
      <c r="AB331" s="533"/>
      <c r="AC331" s="533"/>
      <c r="AD331" s="533"/>
      <c r="AE331" s="533"/>
      <c r="AF331" s="533"/>
      <c r="AG331" s="533"/>
      <c r="AH331" s="533"/>
      <c r="AI331" s="533"/>
      <c r="AJ331" s="533"/>
      <c r="AK331" s="533"/>
      <c r="AL331" s="533"/>
      <c r="AM331" s="533"/>
      <c r="AN331" s="533"/>
      <c r="AO331" s="533"/>
      <c r="AP331" s="533"/>
      <c r="AQ331" s="533"/>
      <c r="AR331" s="533"/>
      <c r="AS331" s="533"/>
      <c r="AT331" s="533"/>
      <c r="AU331" s="533"/>
    </row>
    <row r="332" spans="1:47" ht="11.25" hidden="1" customHeight="1" x14ac:dyDescent="0.25">
      <c r="A332" s="100"/>
      <c r="B332" s="104" t="s">
        <v>510</v>
      </c>
      <c r="C332" s="695" t="s">
        <v>592</v>
      </c>
      <c r="D332" s="642"/>
      <c r="E332" s="711"/>
      <c r="F332" s="688" t="s">
        <v>160</v>
      </c>
      <c r="G332" s="26" t="s">
        <v>593</v>
      </c>
      <c r="H332" s="27">
        <f>VLOOKUP(C332,A!A$1:O$669,15,FALSE)</f>
        <v>2</v>
      </c>
      <c r="I332" s="27"/>
      <c r="J332" s="348">
        <f>IF(VLOOKUP(C332,A!A$1:O$669,11,FALSE)="y",1,0)</f>
        <v>0</v>
      </c>
      <c r="K332" s="28">
        <f>IF(VLOOKUP(C332,A!A$1:O$669,12,FALSE)="y",1,0)</f>
        <v>0</v>
      </c>
      <c r="L332" s="544" t="str">
        <f t="shared" si="71"/>
        <v>Low</v>
      </c>
      <c r="M332" s="27">
        <f>VLOOKUP(C332,A!A$1:O$669,13,FALSE)</f>
        <v>0</v>
      </c>
      <c r="N332" s="101">
        <v>1</v>
      </c>
      <c r="O332" s="533">
        <f>VLOOKUP(C332,A!A$1:O$669,9,FALSE)</f>
        <v>0</v>
      </c>
      <c r="P332" s="533" t="s">
        <v>1249</v>
      </c>
      <c r="Q332" s="533" t="str">
        <f>IF(S332=0,"",COUNTIF(Q$12:Q331,"&gt;0")+1)</f>
        <v/>
      </c>
      <c r="R332" s="533" t="str">
        <f>IF(S332=0,"",COUNTIF(R$12:R331,"&gt;0")+1)</f>
        <v/>
      </c>
      <c r="S332" s="533">
        <f t="shared" si="69"/>
        <v>0</v>
      </c>
      <c r="T332" s="533">
        <f>VLOOKUP(C332,A!A$1:AH$669,32,FALSE)</f>
        <v>0</v>
      </c>
      <c r="U332" s="533">
        <v>0.11</v>
      </c>
      <c r="V332" s="533"/>
      <c r="W332" s="533" t="str">
        <f t="shared" si="72"/>
        <v/>
      </c>
      <c r="X332" s="533">
        <f>IF(V332&lt;&gt;"",COUNTIF(V$46:V332,V332)-1,0)</f>
        <v>0</v>
      </c>
      <c r="Y332" s="533"/>
      <c r="Z332" s="533"/>
      <c r="AA332" s="533"/>
      <c r="AB332" s="533"/>
      <c r="AC332" s="533"/>
      <c r="AD332" s="533"/>
      <c r="AE332" s="533"/>
      <c r="AF332" s="533"/>
      <c r="AG332" s="533"/>
      <c r="AH332" s="533"/>
      <c r="AI332" s="533"/>
      <c r="AJ332" s="533"/>
      <c r="AK332" s="533"/>
      <c r="AL332" s="533"/>
      <c r="AM332" s="533"/>
      <c r="AN332" s="533"/>
      <c r="AO332" s="533"/>
      <c r="AP332" s="533"/>
      <c r="AQ332" s="533"/>
      <c r="AR332" s="533"/>
      <c r="AS332" s="533"/>
      <c r="AT332" s="533"/>
      <c r="AU332" s="533"/>
    </row>
    <row r="333" spans="1:47" ht="11.25" hidden="1" customHeight="1" x14ac:dyDescent="0.25">
      <c r="A333" s="100"/>
      <c r="B333" s="104" t="s">
        <v>510</v>
      </c>
      <c r="C333" s="695" t="s">
        <v>594</v>
      </c>
      <c r="D333" s="642"/>
      <c r="E333" s="711"/>
      <c r="F333" s="688" t="s">
        <v>160</v>
      </c>
      <c r="G333" s="26" t="s">
        <v>595</v>
      </c>
      <c r="H333" s="27">
        <f>VLOOKUP(C333,A!A$1:O$669,15,FALSE)</f>
        <v>2</v>
      </c>
      <c r="I333" s="27"/>
      <c r="J333" s="348">
        <f>IF(VLOOKUP(C333,A!A$1:O$669,11,FALSE)="y",1,0)</f>
        <v>0</v>
      </c>
      <c r="K333" s="28">
        <f>IF(VLOOKUP(C333,A!A$1:O$669,12,FALSE)="y",1,0)</f>
        <v>0</v>
      </c>
      <c r="L333" s="544" t="str">
        <f t="shared" si="71"/>
        <v>Low</v>
      </c>
      <c r="M333" s="27">
        <f>VLOOKUP(C333,A!A$1:O$669,13,FALSE)</f>
        <v>0</v>
      </c>
      <c r="N333" s="101">
        <v>1</v>
      </c>
      <c r="O333" s="533">
        <f>VLOOKUP(C333,A!A$1:O$669,9,FALSE)</f>
        <v>0</v>
      </c>
      <c r="P333" s="533" t="s">
        <v>1249</v>
      </c>
      <c r="Q333" s="533" t="str">
        <f>IF(S333=0,"",COUNTIF(Q$12:Q332,"&gt;0")+1)</f>
        <v/>
      </c>
      <c r="R333" s="533" t="str">
        <f>IF(S333=0,"",COUNTIF(R$12:R332,"&gt;0")+1)</f>
        <v/>
      </c>
      <c r="S333" s="533">
        <f t="shared" si="69"/>
        <v>0</v>
      </c>
      <c r="T333" s="533">
        <f>VLOOKUP(C333,A!A$1:AH$669,32,FALSE)</f>
        <v>0</v>
      </c>
      <c r="U333" s="533">
        <v>0.11</v>
      </c>
      <c r="V333" s="533"/>
      <c r="W333" s="533" t="str">
        <f t="shared" si="72"/>
        <v/>
      </c>
      <c r="X333" s="533">
        <f>IF(V333&lt;&gt;"",COUNTIF(V$46:V333,V333)-1,0)</f>
        <v>0</v>
      </c>
      <c r="Y333" s="533"/>
      <c r="Z333" s="533"/>
      <c r="AA333" s="533"/>
      <c r="AB333" s="533"/>
      <c r="AC333" s="533"/>
      <c r="AD333" s="533"/>
      <c r="AE333" s="533"/>
      <c r="AF333" s="533"/>
      <c r="AG333" s="533"/>
      <c r="AH333" s="533"/>
      <c r="AI333" s="533"/>
      <c r="AJ333" s="533"/>
      <c r="AK333" s="533"/>
      <c r="AL333" s="533"/>
      <c r="AM333" s="533"/>
      <c r="AN333" s="533"/>
      <c r="AO333" s="533"/>
      <c r="AP333" s="533"/>
      <c r="AQ333" s="533"/>
      <c r="AR333" s="533"/>
      <c r="AS333" s="533"/>
      <c r="AT333" s="533"/>
      <c r="AU333" s="533"/>
    </row>
    <row r="334" spans="1:47" ht="11.25" hidden="1" customHeight="1" x14ac:dyDescent="0.25">
      <c r="A334" s="100"/>
      <c r="B334" s="104" t="s">
        <v>510</v>
      </c>
      <c r="C334" s="695" t="s">
        <v>596</v>
      </c>
      <c r="D334" s="642"/>
      <c r="E334" s="711"/>
      <c r="F334" s="688" t="s">
        <v>160</v>
      </c>
      <c r="G334" s="26" t="s">
        <v>597</v>
      </c>
      <c r="H334" s="27">
        <f>VLOOKUP(C334,A!A$1:O$669,15,FALSE)</f>
        <v>2</v>
      </c>
      <c r="I334" s="27"/>
      <c r="J334" s="348">
        <f>IF(VLOOKUP(C334,A!A$1:O$669,11,FALSE)="y",1,0)</f>
        <v>0</v>
      </c>
      <c r="K334" s="28">
        <f>IF(VLOOKUP(C334,A!A$1:O$669,12,FALSE)="y",1,0)</f>
        <v>0</v>
      </c>
      <c r="L334" s="544" t="str">
        <f t="shared" si="71"/>
        <v>Low</v>
      </c>
      <c r="M334" s="27">
        <f>VLOOKUP(C334,A!A$1:O$669,13,FALSE)</f>
        <v>0</v>
      </c>
      <c r="N334" s="101">
        <v>1</v>
      </c>
      <c r="O334" s="533">
        <f>VLOOKUP(C334,A!A$1:O$669,9,FALSE)</f>
        <v>0</v>
      </c>
      <c r="P334" s="533" t="s">
        <v>1249</v>
      </c>
      <c r="Q334" s="533" t="str">
        <f>IF(S334=0,"",COUNTIF(Q$12:Q333,"&gt;0")+1)</f>
        <v/>
      </c>
      <c r="R334" s="533" t="str">
        <f>IF(S334=0,"",COUNTIF(R$12:R333,"&gt;0")+1)</f>
        <v/>
      </c>
      <c r="S334" s="533">
        <f t="shared" si="69"/>
        <v>0</v>
      </c>
      <c r="T334" s="533">
        <f>VLOOKUP(C334,A!A$1:AH$669,32,FALSE)</f>
        <v>0</v>
      </c>
      <c r="U334" s="533">
        <v>0.11</v>
      </c>
      <c r="V334" s="533"/>
      <c r="W334" s="533" t="str">
        <f t="shared" si="72"/>
        <v/>
      </c>
      <c r="X334" s="533">
        <f>IF(V334&lt;&gt;"",COUNTIF(V$46:V334,V334)-1,0)</f>
        <v>0</v>
      </c>
      <c r="Y334" s="533"/>
      <c r="Z334" s="533"/>
      <c r="AA334" s="533"/>
      <c r="AB334" s="533"/>
      <c r="AC334" s="533"/>
      <c r="AD334" s="533"/>
      <c r="AE334" s="533"/>
      <c r="AF334" s="533"/>
      <c r="AG334" s="533"/>
      <c r="AH334" s="533"/>
      <c r="AI334" s="533"/>
      <c r="AJ334" s="533"/>
      <c r="AK334" s="533"/>
      <c r="AL334" s="533"/>
      <c r="AM334" s="533"/>
      <c r="AN334" s="533"/>
      <c r="AO334" s="533"/>
      <c r="AP334" s="533"/>
      <c r="AQ334" s="533"/>
      <c r="AR334" s="533"/>
      <c r="AS334" s="533"/>
      <c r="AT334" s="533"/>
      <c r="AU334" s="533"/>
    </row>
    <row r="335" spans="1:47" ht="13.5" hidden="1" customHeight="1" x14ac:dyDescent="0.25">
      <c r="A335" s="100"/>
      <c r="B335" s="104" t="s">
        <v>510</v>
      </c>
      <c r="C335" s="695" t="s">
        <v>203</v>
      </c>
      <c r="D335" s="642"/>
      <c r="E335" s="711"/>
      <c r="F335" s="688" t="s">
        <v>204</v>
      </c>
      <c r="G335" s="26" t="s">
        <v>205</v>
      </c>
      <c r="H335" s="27">
        <f>VLOOKUP(C335,A!A$1:O$669,15,FALSE)</f>
        <v>2</v>
      </c>
      <c r="I335" s="27"/>
      <c r="J335" s="348">
        <f>IF(VLOOKUP(C335,A!A$1:O$669,11,FALSE)="y",1,0)</f>
        <v>0</v>
      </c>
      <c r="K335" s="28">
        <f>IF(VLOOKUP(C335,A!A$1:O$669,12,FALSE)="y",1,0)</f>
        <v>0</v>
      </c>
      <c r="L335" s="544" t="str">
        <f t="shared" si="71"/>
        <v>Low</v>
      </c>
      <c r="M335" s="27">
        <f>VLOOKUP(C335,A!A$1:O$669,13,FALSE)</f>
        <v>0</v>
      </c>
      <c r="N335" s="101">
        <v>1</v>
      </c>
      <c r="O335" s="533">
        <f>VLOOKUP(C335,A!A$1:O$669,9,FALSE)</f>
        <v>0</v>
      </c>
      <c r="P335" s="533" t="s">
        <v>1249</v>
      </c>
      <c r="Q335" s="533" t="str">
        <f>IF(S335=0,"",COUNTIF(Q$12:Q334,"&gt;0")+1)</f>
        <v/>
      </c>
      <c r="R335" s="533" t="str">
        <f>IF(S335=0,"",COUNTIF(R$12:R334,"&gt;0")+1)</f>
        <v/>
      </c>
      <c r="S335" s="533">
        <f t="shared" si="69"/>
        <v>0</v>
      </c>
      <c r="T335" s="533">
        <f>VLOOKUP(C335,A!A$1:AH$669,32,FALSE)</f>
        <v>0</v>
      </c>
      <c r="U335" s="533">
        <v>0.11</v>
      </c>
      <c r="V335" s="533"/>
      <c r="W335" s="533" t="str">
        <f t="shared" si="72"/>
        <v/>
      </c>
      <c r="X335" s="533">
        <f>IF(V335&lt;&gt;"",COUNTIF(V$46:V335,V335)-1,0)</f>
        <v>0</v>
      </c>
      <c r="Y335" s="533"/>
      <c r="Z335" s="533"/>
      <c r="AA335" s="533"/>
      <c r="AB335" s="533"/>
      <c r="AC335" s="533"/>
      <c r="AD335" s="533"/>
      <c r="AE335" s="533"/>
      <c r="AF335" s="533"/>
      <c r="AG335" s="533"/>
      <c r="AH335" s="533"/>
      <c r="AI335" s="533"/>
      <c r="AJ335" s="533"/>
      <c r="AK335" s="533"/>
      <c r="AL335" s="533"/>
      <c r="AM335" s="533"/>
      <c r="AN335" s="533"/>
      <c r="AO335" s="533"/>
      <c r="AP335" s="533"/>
      <c r="AQ335" s="533"/>
      <c r="AR335" s="533"/>
      <c r="AS335" s="533"/>
      <c r="AT335" s="533"/>
      <c r="AU335" s="533"/>
    </row>
    <row r="336" spans="1:47" ht="11.25" hidden="1" customHeight="1" x14ac:dyDescent="0.25">
      <c r="A336" s="100"/>
      <c r="B336" s="104" t="s">
        <v>510</v>
      </c>
      <c r="C336" s="695" t="s">
        <v>598</v>
      </c>
      <c r="D336" s="642"/>
      <c r="E336" s="711"/>
      <c r="F336" s="688" t="s">
        <v>204</v>
      </c>
      <c r="G336" s="26" t="s">
        <v>599</v>
      </c>
      <c r="H336" s="27">
        <f>VLOOKUP(C336,A!A$1:O$669,15,FALSE)</f>
        <v>0</v>
      </c>
      <c r="I336" s="27"/>
      <c r="J336" s="348">
        <f>IF(VLOOKUP(C336,A!A$1:O$669,11,FALSE)="y",1,0)</f>
        <v>0</v>
      </c>
      <c r="K336" s="28">
        <f>IF(VLOOKUP(C336,A!A$1:O$669,12,FALSE)="y",1,0)</f>
        <v>0</v>
      </c>
      <c r="L336" s="544" t="str">
        <f t="shared" si="71"/>
        <v>Low</v>
      </c>
      <c r="M336" s="27">
        <f>VLOOKUP(C336,A!A$1:O$669,13,FALSE)</f>
        <v>0</v>
      </c>
      <c r="N336" s="101">
        <v>1</v>
      </c>
      <c r="O336" s="533">
        <f>VLOOKUP(C336,A!A$1:O$669,9,FALSE)</f>
        <v>0</v>
      </c>
      <c r="P336" s="533" t="s">
        <v>1249</v>
      </c>
      <c r="Q336" s="533" t="str">
        <f>IF(S336=0,"",COUNTIF(Q$12:Q335,"&gt;0")+1)</f>
        <v/>
      </c>
      <c r="R336" s="533" t="str">
        <f>IF(S336=0,"",COUNTIF(R$12:R335,"&gt;0")+1)</f>
        <v/>
      </c>
      <c r="S336" s="533">
        <f t="shared" si="69"/>
        <v>0</v>
      </c>
      <c r="T336" s="533">
        <f>VLOOKUP(C336,A!A$1:AH$669,32,FALSE)</f>
        <v>0</v>
      </c>
      <c r="U336" s="533">
        <v>0.11</v>
      </c>
      <c r="V336" s="533"/>
      <c r="W336" s="533" t="str">
        <f t="shared" si="72"/>
        <v/>
      </c>
      <c r="X336" s="533">
        <f>IF(V336&lt;&gt;"",COUNTIF(V$46:V336,V336)-1,0)</f>
        <v>0</v>
      </c>
      <c r="Y336" s="533"/>
      <c r="Z336" s="533"/>
      <c r="AA336" s="533"/>
      <c r="AB336" s="533"/>
      <c r="AC336" s="533"/>
      <c r="AD336" s="533"/>
      <c r="AE336" s="533"/>
      <c r="AF336" s="533"/>
      <c r="AG336" s="533"/>
      <c r="AH336" s="533"/>
      <c r="AI336" s="533"/>
      <c r="AJ336" s="533"/>
      <c r="AK336" s="533"/>
      <c r="AL336" s="533"/>
      <c r="AM336" s="533"/>
      <c r="AN336" s="533"/>
      <c r="AO336" s="533"/>
      <c r="AP336" s="533"/>
      <c r="AQ336" s="533"/>
      <c r="AR336" s="533"/>
      <c r="AS336" s="533"/>
      <c r="AT336" s="533"/>
      <c r="AU336" s="533"/>
    </row>
    <row r="337" spans="1:47" ht="11.25" hidden="1" customHeight="1" x14ac:dyDescent="0.25">
      <c r="A337" s="100"/>
      <c r="B337" s="104" t="s">
        <v>510</v>
      </c>
      <c r="C337" s="695" t="s">
        <v>206</v>
      </c>
      <c r="D337" s="642"/>
      <c r="E337" s="711"/>
      <c r="F337" s="688" t="s">
        <v>204</v>
      </c>
      <c r="G337" s="26" t="s">
        <v>207</v>
      </c>
      <c r="H337" s="27">
        <f>VLOOKUP(C337,A!A$1:O$669,15,FALSE)</f>
        <v>0</v>
      </c>
      <c r="I337" s="27"/>
      <c r="J337" s="348">
        <f>IF(VLOOKUP(C337,A!A$1:O$669,11,FALSE)="y",1,0)</f>
        <v>0</v>
      </c>
      <c r="K337" s="28">
        <f>IF(VLOOKUP(C337,A!A$1:O$669,12,FALSE)="y",1,0)</f>
        <v>0</v>
      </c>
      <c r="L337" s="544" t="str">
        <f t="shared" si="71"/>
        <v>Low</v>
      </c>
      <c r="M337" s="27">
        <f>VLOOKUP(C337,A!A$1:O$669,13,FALSE)</f>
        <v>0</v>
      </c>
      <c r="N337" s="101">
        <v>1</v>
      </c>
      <c r="O337" s="533">
        <f>VLOOKUP(C337,A!A$1:O$669,9,FALSE)</f>
        <v>0</v>
      </c>
      <c r="P337" s="533" t="s">
        <v>1249</v>
      </c>
      <c r="Q337" s="533" t="str">
        <f>IF(S337=0,"",COUNTIF(Q$12:Q336,"&gt;0")+1)</f>
        <v/>
      </c>
      <c r="R337" s="533" t="str">
        <f>IF(S337=0,"",COUNTIF(R$12:R336,"&gt;0")+1)</f>
        <v/>
      </c>
      <c r="S337" s="533">
        <f t="shared" si="69"/>
        <v>0</v>
      </c>
      <c r="T337" s="533">
        <f>VLOOKUP(C337,A!A$1:AH$669,32,FALSE)</f>
        <v>0</v>
      </c>
      <c r="U337" s="533">
        <v>0.11</v>
      </c>
      <c r="V337" s="533"/>
      <c r="W337" s="533" t="str">
        <f t="shared" si="72"/>
        <v/>
      </c>
      <c r="X337" s="533">
        <f>IF(V337&lt;&gt;"",COUNTIF(V$46:V337,V337)-1,0)</f>
        <v>0</v>
      </c>
      <c r="Y337" s="533"/>
      <c r="Z337" s="533"/>
      <c r="AA337" s="533"/>
      <c r="AB337" s="533"/>
      <c r="AC337" s="533"/>
      <c r="AD337" s="533"/>
      <c r="AE337" s="533"/>
      <c r="AF337" s="533"/>
      <c r="AG337" s="533"/>
      <c r="AH337" s="533"/>
      <c r="AI337" s="533"/>
      <c r="AJ337" s="533"/>
      <c r="AK337" s="533"/>
      <c r="AL337" s="533"/>
      <c r="AM337" s="533"/>
      <c r="AN337" s="533"/>
      <c r="AO337" s="533"/>
      <c r="AP337" s="533"/>
      <c r="AQ337" s="533"/>
      <c r="AR337" s="533"/>
      <c r="AS337" s="533"/>
      <c r="AT337" s="533"/>
      <c r="AU337" s="533"/>
    </row>
    <row r="338" spans="1:47" ht="11.25" hidden="1" customHeight="1" x14ac:dyDescent="0.25">
      <c r="A338" s="100"/>
      <c r="B338" s="104" t="s">
        <v>510</v>
      </c>
      <c r="C338" s="695" t="s">
        <v>208</v>
      </c>
      <c r="D338" s="642"/>
      <c r="E338" s="711"/>
      <c r="F338" s="688" t="s">
        <v>204</v>
      </c>
      <c r="G338" s="26" t="s">
        <v>209</v>
      </c>
      <c r="H338" s="27">
        <f>VLOOKUP(C338,A!A$1:O$669,15,FALSE)</f>
        <v>0</v>
      </c>
      <c r="I338" s="27"/>
      <c r="J338" s="348">
        <f>IF(VLOOKUP(C338,A!A$1:O$669,11,FALSE)="y",1,0)</f>
        <v>0</v>
      </c>
      <c r="K338" s="28">
        <f>IF(VLOOKUP(C338,A!A$1:O$669,12,FALSE)="y",1,0)</f>
        <v>0</v>
      </c>
      <c r="L338" s="544" t="str">
        <f t="shared" si="71"/>
        <v>Low</v>
      </c>
      <c r="M338" s="27">
        <f>VLOOKUP(C338,A!A$1:O$669,13,FALSE)</f>
        <v>0</v>
      </c>
      <c r="N338" s="101">
        <v>1</v>
      </c>
      <c r="O338" s="533">
        <f>VLOOKUP(C338,A!A$1:O$669,9,FALSE)</f>
        <v>0</v>
      </c>
      <c r="P338" s="533" t="s">
        <v>1249</v>
      </c>
      <c r="Q338" s="533" t="str">
        <f>IF(S338=0,"",COUNTIF(Q$12:Q337,"&gt;0")+1)</f>
        <v/>
      </c>
      <c r="R338" s="533" t="str">
        <f>IF(S338=0,"",COUNTIF(R$12:R337,"&gt;0")+1)</f>
        <v/>
      </c>
      <c r="S338" s="533">
        <f t="shared" si="69"/>
        <v>0</v>
      </c>
      <c r="T338" s="533">
        <f>VLOOKUP(C338,A!A$1:AH$669,32,FALSE)</f>
        <v>0</v>
      </c>
      <c r="U338" s="533">
        <v>0.11</v>
      </c>
      <c r="V338" s="533"/>
      <c r="W338" s="533" t="str">
        <f t="shared" si="72"/>
        <v/>
      </c>
      <c r="X338" s="533">
        <f>IF(V338&lt;&gt;"",COUNTIF(V$46:V338,V338)-1,0)</f>
        <v>0</v>
      </c>
      <c r="Y338" s="533"/>
      <c r="Z338" s="533"/>
      <c r="AA338" s="533"/>
      <c r="AB338" s="533"/>
      <c r="AC338" s="533"/>
      <c r="AD338" s="533"/>
      <c r="AE338" s="533"/>
      <c r="AF338" s="533"/>
      <c r="AG338" s="533"/>
      <c r="AH338" s="533"/>
      <c r="AI338" s="533"/>
      <c r="AJ338" s="533"/>
      <c r="AK338" s="533"/>
      <c r="AL338" s="533"/>
      <c r="AM338" s="533"/>
      <c r="AN338" s="533"/>
      <c r="AO338" s="533"/>
      <c r="AP338" s="533"/>
      <c r="AQ338" s="533"/>
      <c r="AR338" s="533"/>
      <c r="AS338" s="533"/>
      <c r="AT338" s="533"/>
      <c r="AU338" s="533"/>
    </row>
    <row r="339" spans="1:47" ht="11.25" hidden="1" customHeight="1" x14ac:dyDescent="0.25">
      <c r="A339" s="100"/>
      <c r="B339" s="104" t="s">
        <v>510</v>
      </c>
      <c r="C339" s="695" t="s">
        <v>600</v>
      </c>
      <c r="D339" s="642"/>
      <c r="E339" s="711"/>
      <c r="F339" s="688" t="s">
        <v>204</v>
      </c>
      <c r="G339" s="26" t="s">
        <v>601</v>
      </c>
      <c r="H339" s="27">
        <f>VLOOKUP(C339,A!A$1:O$669,15,FALSE)</f>
        <v>0</v>
      </c>
      <c r="I339" s="27"/>
      <c r="J339" s="348">
        <f>IF(VLOOKUP(C339,A!A$1:O$669,11,FALSE)="y",1,0)</f>
        <v>0</v>
      </c>
      <c r="K339" s="28">
        <f>IF(VLOOKUP(C339,A!A$1:O$669,12,FALSE)="y",1,0)</f>
        <v>0</v>
      </c>
      <c r="L339" s="544" t="str">
        <f t="shared" si="71"/>
        <v>Low</v>
      </c>
      <c r="M339" s="27">
        <f>VLOOKUP(C339,A!A$1:O$669,13,FALSE)</f>
        <v>0</v>
      </c>
      <c r="N339" s="101">
        <v>1</v>
      </c>
      <c r="O339" s="533">
        <f>VLOOKUP(C339,A!A$1:O$669,9,FALSE)</f>
        <v>0</v>
      </c>
      <c r="P339" s="533" t="s">
        <v>1249</v>
      </c>
      <c r="Q339" s="533" t="str">
        <f>IF(S339=0,"",COUNTIF(Q$12:Q338,"&gt;0")+1)</f>
        <v/>
      </c>
      <c r="R339" s="533" t="str">
        <f>IF(S339=0,"",COUNTIF(R$12:R338,"&gt;0")+1)</f>
        <v/>
      </c>
      <c r="S339" s="533">
        <f t="shared" si="69"/>
        <v>0</v>
      </c>
      <c r="T339" s="533">
        <f>VLOOKUP(C339,A!A$1:AH$669,32,FALSE)</f>
        <v>0</v>
      </c>
      <c r="U339" s="533">
        <v>0.11</v>
      </c>
      <c r="V339" s="533"/>
      <c r="W339" s="533" t="str">
        <f t="shared" si="72"/>
        <v/>
      </c>
      <c r="X339" s="533">
        <f>IF(V339&lt;&gt;"",COUNTIF(V$46:V339,V339)-1,0)</f>
        <v>0</v>
      </c>
      <c r="Y339" s="533"/>
      <c r="Z339" s="533"/>
      <c r="AA339" s="533"/>
      <c r="AB339" s="533"/>
      <c r="AC339" s="533"/>
      <c r="AD339" s="533"/>
      <c r="AE339" s="533"/>
      <c r="AF339" s="533"/>
      <c r="AG339" s="533"/>
      <c r="AH339" s="533"/>
      <c r="AI339" s="533"/>
      <c r="AJ339" s="533"/>
      <c r="AK339" s="533"/>
      <c r="AL339" s="533"/>
      <c r="AM339" s="533"/>
      <c r="AN339" s="533"/>
      <c r="AO339" s="533"/>
      <c r="AP339" s="533"/>
      <c r="AQ339" s="533"/>
      <c r="AR339" s="533"/>
      <c r="AS339" s="533"/>
      <c r="AT339" s="533"/>
      <c r="AU339" s="533"/>
    </row>
    <row r="340" spans="1:47" ht="11.25" hidden="1" customHeight="1" x14ac:dyDescent="0.25">
      <c r="A340" s="100"/>
      <c r="B340" s="104" t="s">
        <v>510</v>
      </c>
      <c r="C340" s="695" t="s">
        <v>213</v>
      </c>
      <c r="D340" s="642"/>
      <c r="E340" s="711"/>
      <c r="F340" s="688" t="s">
        <v>204</v>
      </c>
      <c r="G340" s="26" t="s">
        <v>214</v>
      </c>
      <c r="H340" s="27">
        <f>VLOOKUP(C340,A!A$1:O$669,15,FALSE)</f>
        <v>0</v>
      </c>
      <c r="I340" s="27"/>
      <c r="J340" s="348">
        <f>IF(VLOOKUP(C340,A!A$1:O$669,11,FALSE)="y",1,0)</f>
        <v>0</v>
      </c>
      <c r="K340" s="28">
        <f>IF(VLOOKUP(C340,A!A$1:O$669,12,FALSE)="y",1,0)</f>
        <v>0</v>
      </c>
      <c r="L340" s="544" t="str">
        <f t="shared" si="71"/>
        <v>Low</v>
      </c>
      <c r="M340" s="27">
        <f>VLOOKUP(C340,A!A$1:O$669,13,FALSE)</f>
        <v>0</v>
      </c>
      <c r="N340" s="101">
        <v>1</v>
      </c>
      <c r="O340" s="533">
        <f>VLOOKUP(C340,A!A$1:O$669,9,FALSE)</f>
        <v>0</v>
      </c>
      <c r="P340" s="533" t="s">
        <v>1249</v>
      </c>
      <c r="Q340" s="533" t="str">
        <f>IF(S340=0,"",COUNTIF(Q$12:Q339,"&gt;0")+1)</f>
        <v/>
      </c>
      <c r="R340" s="533" t="str">
        <f>IF(S340=0,"",COUNTIF(R$12:R339,"&gt;0")+1)</f>
        <v/>
      </c>
      <c r="S340" s="533">
        <f t="shared" si="69"/>
        <v>0</v>
      </c>
      <c r="T340" s="533">
        <f>VLOOKUP(C340,A!A$1:AH$669,32,FALSE)</f>
        <v>0</v>
      </c>
      <c r="U340" s="533">
        <v>0.11</v>
      </c>
      <c r="V340" s="533"/>
      <c r="W340" s="533" t="str">
        <f t="shared" si="72"/>
        <v/>
      </c>
      <c r="X340" s="533">
        <f>IF(V340&lt;&gt;"",COUNTIF(V$46:V340,V340)-1,0)</f>
        <v>0</v>
      </c>
      <c r="Y340" s="533"/>
      <c r="Z340" s="533"/>
      <c r="AA340" s="533"/>
      <c r="AB340" s="533"/>
      <c r="AC340" s="533"/>
      <c r="AD340" s="533"/>
      <c r="AE340" s="533"/>
      <c r="AF340" s="533"/>
      <c r="AG340" s="533"/>
      <c r="AH340" s="533"/>
      <c r="AI340" s="533"/>
      <c r="AJ340" s="533"/>
      <c r="AK340" s="533"/>
      <c r="AL340" s="533"/>
      <c r="AM340" s="533"/>
      <c r="AN340" s="533"/>
      <c r="AO340" s="533"/>
      <c r="AP340" s="533"/>
      <c r="AQ340" s="533"/>
      <c r="AR340" s="533"/>
      <c r="AS340" s="533"/>
      <c r="AT340" s="533"/>
      <c r="AU340" s="533"/>
    </row>
    <row r="341" spans="1:47" ht="11.25" hidden="1" customHeight="1" x14ac:dyDescent="0.25">
      <c r="A341" s="100"/>
      <c r="B341" s="104" t="s">
        <v>510</v>
      </c>
      <c r="C341" s="695" t="s">
        <v>211</v>
      </c>
      <c r="D341" s="642"/>
      <c r="E341" s="711"/>
      <c r="F341" s="688" t="s">
        <v>204</v>
      </c>
      <c r="G341" s="26" t="s">
        <v>212</v>
      </c>
      <c r="H341" s="27">
        <f>VLOOKUP(C341,A!A$1:O$669,15,FALSE)</f>
        <v>0</v>
      </c>
      <c r="I341" s="27"/>
      <c r="J341" s="348">
        <f>IF(VLOOKUP(C341,A!A$1:O$669,11,FALSE)="y",1,0)</f>
        <v>0</v>
      </c>
      <c r="K341" s="28">
        <f>IF(VLOOKUP(C341,A!A$1:O$669,12,FALSE)="y",1,0)</f>
        <v>0</v>
      </c>
      <c r="L341" s="544" t="str">
        <f t="shared" si="71"/>
        <v>Low</v>
      </c>
      <c r="M341" s="27">
        <f>VLOOKUP(C341,A!A$1:O$669,13,FALSE)</f>
        <v>0</v>
      </c>
      <c r="N341" s="101">
        <v>1</v>
      </c>
      <c r="O341" s="533">
        <f>VLOOKUP(C341,A!A$1:O$669,9,FALSE)</f>
        <v>0</v>
      </c>
      <c r="P341" s="533" t="s">
        <v>1249</v>
      </c>
      <c r="Q341" s="533" t="str">
        <f>IF(S341=0,"",COUNTIF(Q$12:Q340,"&gt;0")+1)</f>
        <v/>
      </c>
      <c r="R341" s="533" t="str">
        <f>IF(S341=0,"",COUNTIF(R$12:R340,"&gt;0")+1)</f>
        <v/>
      </c>
      <c r="S341" s="533">
        <f t="shared" si="69"/>
        <v>0</v>
      </c>
      <c r="T341" s="533">
        <f>VLOOKUP(C341,A!A$1:AH$669,32,FALSE)</f>
        <v>0</v>
      </c>
      <c r="U341" s="533">
        <v>0.11</v>
      </c>
      <c r="V341" s="533"/>
      <c r="W341" s="533" t="str">
        <f t="shared" si="72"/>
        <v/>
      </c>
      <c r="X341" s="533">
        <f>IF(V341&lt;&gt;"",COUNTIF(V$46:V341,V341)-1,0)</f>
        <v>0</v>
      </c>
      <c r="Y341" s="533"/>
      <c r="Z341" s="533"/>
      <c r="AA341" s="533"/>
      <c r="AB341" s="533"/>
      <c r="AC341" s="533"/>
      <c r="AD341" s="533"/>
      <c r="AE341" s="533"/>
      <c r="AF341" s="533"/>
      <c r="AG341" s="533"/>
      <c r="AH341" s="533"/>
      <c r="AI341" s="533"/>
      <c r="AJ341" s="533"/>
      <c r="AK341" s="533"/>
      <c r="AL341" s="533"/>
      <c r="AM341" s="533"/>
      <c r="AN341" s="533"/>
      <c r="AO341" s="533"/>
      <c r="AP341" s="533"/>
      <c r="AQ341" s="533"/>
      <c r="AR341" s="533"/>
      <c r="AS341" s="533"/>
      <c r="AT341" s="533"/>
      <c r="AU341" s="533"/>
    </row>
    <row r="342" spans="1:47" ht="11.25" hidden="1" customHeight="1" x14ac:dyDescent="0.25">
      <c r="A342" s="100"/>
      <c r="B342" s="104" t="s">
        <v>510</v>
      </c>
      <c r="C342" s="695" t="s">
        <v>602</v>
      </c>
      <c r="D342" s="642"/>
      <c r="E342" s="711"/>
      <c r="F342" s="688" t="s">
        <v>204</v>
      </c>
      <c r="G342" s="26" t="s">
        <v>603</v>
      </c>
      <c r="H342" s="27">
        <f>VLOOKUP(C342,A!A$1:O$669,15,FALSE)</f>
        <v>0</v>
      </c>
      <c r="I342" s="27"/>
      <c r="J342" s="348">
        <f>IF(VLOOKUP(C342,A!A$1:O$669,11,FALSE)="y",1,0)</f>
        <v>0</v>
      </c>
      <c r="K342" s="28">
        <f>IF(VLOOKUP(C342,A!A$1:O$669,12,FALSE)="y",1,0)</f>
        <v>0</v>
      </c>
      <c r="L342" s="544" t="str">
        <f t="shared" si="71"/>
        <v>Low</v>
      </c>
      <c r="M342" s="27">
        <f>VLOOKUP(C342,A!A$1:O$669,13,FALSE)</f>
        <v>0</v>
      </c>
      <c r="N342" s="101">
        <v>1</v>
      </c>
      <c r="O342" s="533">
        <f>VLOOKUP(C342,A!A$1:O$669,9,FALSE)</f>
        <v>0</v>
      </c>
      <c r="P342" s="533" t="s">
        <v>1249</v>
      </c>
      <c r="Q342" s="533" t="str">
        <f>IF(S342=0,"",COUNTIF(Q$12:Q341,"&gt;0")+1)</f>
        <v/>
      </c>
      <c r="R342" s="533" t="str">
        <f>IF(S342=0,"",COUNTIF(R$12:R341,"&gt;0")+1)</f>
        <v/>
      </c>
      <c r="S342" s="533">
        <f t="shared" si="69"/>
        <v>0</v>
      </c>
      <c r="T342" s="533">
        <f>VLOOKUP(C342,A!A$1:AH$669,32,FALSE)</f>
        <v>0</v>
      </c>
      <c r="U342" s="533">
        <v>0.11</v>
      </c>
      <c r="V342" s="533"/>
      <c r="W342" s="533" t="str">
        <f t="shared" si="72"/>
        <v/>
      </c>
      <c r="X342" s="533">
        <f>IF(V342&lt;&gt;"",COUNTIF(V$46:V342,V342)-1,0)</f>
        <v>0</v>
      </c>
      <c r="Y342" s="533"/>
      <c r="Z342" s="533"/>
      <c r="AA342" s="533"/>
      <c r="AB342" s="533"/>
      <c r="AC342" s="533"/>
      <c r="AD342" s="533"/>
      <c r="AE342" s="533"/>
      <c r="AF342" s="533"/>
      <c r="AG342" s="533"/>
      <c r="AH342" s="533"/>
      <c r="AI342" s="533"/>
      <c r="AJ342" s="533"/>
      <c r="AK342" s="533"/>
      <c r="AL342" s="533"/>
      <c r="AM342" s="533"/>
      <c r="AN342" s="533"/>
      <c r="AO342" s="533"/>
      <c r="AP342" s="533"/>
      <c r="AQ342" s="533"/>
      <c r="AR342" s="533"/>
      <c r="AS342" s="533"/>
      <c r="AT342" s="533"/>
      <c r="AU342" s="533"/>
    </row>
    <row r="343" spans="1:47" ht="11.25" hidden="1" customHeight="1" x14ac:dyDescent="0.25">
      <c r="A343" s="100"/>
      <c r="B343" s="104" t="s">
        <v>510</v>
      </c>
      <c r="C343" s="695" t="s">
        <v>215</v>
      </c>
      <c r="D343" s="642"/>
      <c r="E343" s="711"/>
      <c r="F343" s="688" t="s">
        <v>204</v>
      </c>
      <c r="G343" s="26" t="s">
        <v>216</v>
      </c>
      <c r="H343" s="27">
        <f>VLOOKUP(C343,A!A$1:O$669,15,FALSE)</f>
        <v>0</v>
      </c>
      <c r="I343" s="27"/>
      <c r="J343" s="348">
        <f>IF(VLOOKUP(C343,A!A$1:O$669,11,FALSE)="y",1,0)</f>
        <v>0</v>
      </c>
      <c r="K343" s="28">
        <f>IF(VLOOKUP(C343,A!A$1:O$669,12,FALSE)="y",1,0)</f>
        <v>0</v>
      </c>
      <c r="L343" s="544" t="str">
        <f t="shared" si="71"/>
        <v>Low</v>
      </c>
      <c r="M343" s="27">
        <f>VLOOKUP(C343,A!A$1:O$669,13,FALSE)</f>
        <v>0</v>
      </c>
      <c r="N343" s="101">
        <v>1</v>
      </c>
      <c r="O343" s="533">
        <f>VLOOKUP(C343,A!A$1:O$669,9,FALSE)</f>
        <v>0</v>
      </c>
      <c r="P343" s="533" t="s">
        <v>1249</v>
      </c>
      <c r="Q343" s="533" t="str">
        <f>IF(S343=0,"",COUNTIF(Q$12:Q342,"&gt;0")+1)</f>
        <v/>
      </c>
      <c r="R343" s="533" t="str">
        <f>IF(S343=0,"",COUNTIF(R$12:R342,"&gt;0")+1)</f>
        <v/>
      </c>
      <c r="S343" s="533">
        <f t="shared" ref="S343:S358" si="73">A343</f>
        <v>0</v>
      </c>
      <c r="T343" s="533">
        <f>VLOOKUP(C343,A!A$1:AH$669,32,FALSE)</f>
        <v>0</v>
      </c>
      <c r="U343" s="533">
        <v>0.11</v>
      </c>
      <c r="V343" s="533"/>
      <c r="W343" s="533" t="str">
        <f t="shared" si="72"/>
        <v/>
      </c>
      <c r="X343" s="533">
        <f>IF(V343&lt;&gt;"",COUNTIF(V$46:V343,V343)-1,0)</f>
        <v>0</v>
      </c>
      <c r="Y343" s="533"/>
      <c r="Z343" s="533"/>
      <c r="AA343" s="533"/>
      <c r="AB343" s="533"/>
      <c r="AC343" s="533"/>
      <c r="AD343" s="533"/>
      <c r="AE343" s="533"/>
      <c r="AF343" s="533"/>
      <c r="AG343" s="533"/>
      <c r="AH343" s="533"/>
      <c r="AI343" s="533"/>
      <c r="AJ343" s="533"/>
      <c r="AK343" s="533"/>
      <c r="AL343" s="533"/>
      <c r="AM343" s="533"/>
      <c r="AN343" s="533"/>
      <c r="AO343" s="533"/>
      <c r="AP343" s="533"/>
      <c r="AQ343" s="533"/>
      <c r="AR343" s="533"/>
      <c r="AS343" s="533"/>
      <c r="AT343" s="533"/>
      <c r="AU343" s="533"/>
    </row>
    <row r="344" spans="1:47" ht="11.25" hidden="1" customHeight="1" x14ac:dyDescent="0.25">
      <c r="A344" s="103"/>
      <c r="B344" s="104" t="s">
        <v>510</v>
      </c>
      <c r="C344" s="695" t="s">
        <v>604</v>
      </c>
      <c r="D344" s="642"/>
      <c r="E344" s="711"/>
      <c r="F344" s="765" t="s">
        <v>204</v>
      </c>
      <c r="G344" s="26" t="s">
        <v>218</v>
      </c>
      <c r="H344" s="27">
        <f>VLOOKUP(C344,A!A$1:O$669,15,FALSE)</f>
        <v>0</v>
      </c>
      <c r="I344" s="27"/>
      <c r="J344" s="348">
        <f>IF(VLOOKUP(C344,A!A$1:O$669,11,FALSE)="y",1,0)</f>
        <v>0</v>
      </c>
      <c r="K344" s="28">
        <f>IF(VLOOKUP(C344,A!A$1:O$669,12,FALSE)="y",1,0)</f>
        <v>0</v>
      </c>
      <c r="L344" s="544" t="str">
        <f t="shared" si="71"/>
        <v>Low</v>
      </c>
      <c r="M344" s="27">
        <f>VLOOKUP(C344,A!A$1:O$669,13,FALSE)</f>
        <v>0</v>
      </c>
      <c r="N344" s="101">
        <v>1</v>
      </c>
      <c r="O344" s="533">
        <f>VLOOKUP(C344,A!A$1:O$669,9,FALSE)</f>
        <v>0</v>
      </c>
      <c r="P344" s="533" t="s">
        <v>1249</v>
      </c>
      <c r="Q344" s="533" t="str">
        <f>IF(S344=0,"",COUNTIF(Q$12:Q343,"&gt;0")+1)</f>
        <v/>
      </c>
      <c r="R344" s="533" t="str">
        <f>IF(S344=0,"",COUNTIF(R$12:R343,"&gt;0")+1)</f>
        <v/>
      </c>
      <c r="S344" s="533">
        <f t="shared" si="73"/>
        <v>0</v>
      </c>
      <c r="T344" s="533">
        <f>VLOOKUP(C344,A!A$1:AH$669,32,FALSE)</f>
        <v>0</v>
      </c>
      <c r="U344" s="533">
        <v>0.11</v>
      </c>
      <c r="V344" s="533"/>
      <c r="W344" s="533" t="str">
        <f t="shared" si="72"/>
        <v/>
      </c>
      <c r="X344" s="533">
        <f>IF(V344&lt;&gt;"",COUNTIF(V$46:V344,V344)-1,0)</f>
        <v>0</v>
      </c>
      <c r="Y344" s="533"/>
      <c r="Z344" s="533"/>
      <c r="AA344" s="533"/>
      <c r="AB344" s="533"/>
      <c r="AC344" s="533"/>
      <c r="AD344" s="533"/>
      <c r="AE344" s="533"/>
      <c r="AF344" s="533"/>
      <c r="AG344" s="533"/>
      <c r="AH344" s="533"/>
      <c r="AI344" s="533"/>
      <c r="AJ344" s="533"/>
      <c r="AK344" s="533"/>
      <c r="AL344" s="533"/>
      <c r="AM344" s="533"/>
      <c r="AN344" s="533"/>
      <c r="AO344" s="533"/>
      <c r="AP344" s="533"/>
      <c r="AQ344" s="533"/>
      <c r="AR344" s="533"/>
      <c r="AS344" s="533"/>
      <c r="AT344" s="533"/>
      <c r="AU344" s="533"/>
    </row>
    <row r="345" spans="1:47" ht="11.25" hidden="1" customHeight="1" x14ac:dyDescent="0.25">
      <c r="A345" s="103"/>
      <c r="B345" s="104" t="s">
        <v>510</v>
      </c>
      <c r="C345" s="695" t="s">
        <v>217</v>
      </c>
      <c r="D345" s="642"/>
      <c r="E345" s="711"/>
      <c r="F345" s="765" t="s">
        <v>204</v>
      </c>
      <c r="G345" s="26" t="s">
        <v>605</v>
      </c>
      <c r="H345" s="27">
        <f>VLOOKUP(C345,A!A$1:O$669,15,FALSE)</f>
        <v>0</v>
      </c>
      <c r="I345" s="27"/>
      <c r="J345" s="348">
        <f>IF(VLOOKUP(C345,A!A$1:O$669,11,FALSE)="y",1,0)</f>
        <v>0</v>
      </c>
      <c r="K345" s="28">
        <f>IF(VLOOKUP(C345,A!A$1:O$669,12,FALSE)="y",1,0)</f>
        <v>0</v>
      </c>
      <c r="L345" s="544" t="str">
        <f t="shared" si="71"/>
        <v>Low</v>
      </c>
      <c r="M345" s="27">
        <f>VLOOKUP(C345,A!A$1:O$669,13,FALSE)</f>
        <v>0</v>
      </c>
      <c r="N345" s="101">
        <v>1</v>
      </c>
      <c r="O345" s="533">
        <f>VLOOKUP(C345,A!A$1:O$669,9,FALSE)</f>
        <v>0</v>
      </c>
      <c r="P345" s="533" t="s">
        <v>1249</v>
      </c>
      <c r="Q345" s="533" t="str">
        <f>IF(S345=0,"",COUNTIF(Q$12:Q344,"&gt;0")+1)</f>
        <v/>
      </c>
      <c r="R345" s="533" t="str">
        <f>IF(S345=0,"",COUNTIF(R$12:R344,"&gt;0")+1)</f>
        <v/>
      </c>
      <c r="S345" s="533">
        <f t="shared" si="73"/>
        <v>0</v>
      </c>
      <c r="T345" s="533">
        <f>VLOOKUP(C345,A!A$1:AH$669,32,FALSE)</f>
        <v>0</v>
      </c>
      <c r="U345" s="533">
        <v>0.11</v>
      </c>
      <c r="V345" s="533"/>
      <c r="W345" s="533" t="str">
        <f t="shared" si="72"/>
        <v/>
      </c>
      <c r="X345" s="533">
        <f>IF(V345&lt;&gt;"",COUNTIF(V$46:V345,V345)-1,0)</f>
        <v>0</v>
      </c>
      <c r="Y345" s="533"/>
      <c r="Z345" s="533"/>
      <c r="AA345" s="533"/>
      <c r="AB345" s="533"/>
      <c r="AC345" s="533"/>
      <c r="AD345" s="533"/>
      <c r="AE345" s="533"/>
      <c r="AF345" s="533"/>
      <c r="AG345" s="533"/>
      <c r="AH345" s="533"/>
      <c r="AI345" s="533"/>
      <c r="AJ345" s="533"/>
      <c r="AK345" s="533"/>
      <c r="AL345" s="533"/>
      <c r="AM345" s="533"/>
      <c r="AN345" s="533"/>
      <c r="AO345" s="533"/>
      <c r="AP345" s="533"/>
      <c r="AQ345" s="533"/>
      <c r="AR345" s="533"/>
      <c r="AS345" s="533"/>
      <c r="AT345" s="533"/>
      <c r="AU345" s="533"/>
    </row>
    <row r="346" spans="1:47" ht="11.25" hidden="1" customHeight="1" x14ac:dyDescent="0.25">
      <c r="A346" s="100"/>
      <c r="B346" s="104" t="s">
        <v>510</v>
      </c>
      <c r="C346" s="695" t="s">
        <v>606</v>
      </c>
      <c r="D346" s="642"/>
      <c r="E346" s="711"/>
      <c r="F346" s="688" t="s">
        <v>607</v>
      </c>
      <c r="G346" s="26" t="s">
        <v>608</v>
      </c>
      <c r="H346" s="27">
        <f>VLOOKUP(C346,A!A$1:O$669,15,FALSE)</f>
        <v>2</v>
      </c>
      <c r="I346" s="27"/>
      <c r="J346" s="348">
        <f>IF(VLOOKUP(C346,A!A$1:O$669,11,FALSE)="y",1,0)</f>
        <v>0</v>
      </c>
      <c r="K346" s="28">
        <f>IF(VLOOKUP(C346,A!A$1:O$669,12,FALSE)="y",1,0)</f>
        <v>0</v>
      </c>
      <c r="L346" s="544" t="str">
        <f t="shared" si="71"/>
        <v>Low</v>
      </c>
      <c r="M346" s="27">
        <f>VLOOKUP(C346,A!A$1:O$669,13,FALSE)</f>
        <v>0</v>
      </c>
      <c r="N346" s="101">
        <v>1</v>
      </c>
      <c r="O346" s="533">
        <f>VLOOKUP(C346,A!A$1:O$669,9,FALSE)</f>
        <v>0</v>
      </c>
      <c r="P346" s="533" t="s">
        <v>1249</v>
      </c>
      <c r="Q346" s="533" t="str">
        <f>IF(S346=0,"",COUNTIF(Q$12:Q345,"&gt;0")+1)</f>
        <v/>
      </c>
      <c r="R346" s="533" t="str">
        <f>IF(S346=0,"",COUNTIF(R$12:R345,"&gt;0")+1)</f>
        <v/>
      </c>
      <c r="S346" s="533">
        <f t="shared" si="73"/>
        <v>0</v>
      </c>
      <c r="T346" s="533">
        <f>VLOOKUP(C346,A!A$1:AH$669,32,FALSE)</f>
        <v>0</v>
      </c>
      <c r="U346" s="533">
        <v>0.11</v>
      </c>
      <c r="V346" s="533"/>
      <c r="W346" s="533" t="str">
        <f t="shared" si="72"/>
        <v/>
      </c>
      <c r="X346" s="533">
        <f>IF(V346&lt;&gt;"",COUNTIF(V$46:V346,V346)-1,0)</f>
        <v>0</v>
      </c>
      <c r="Y346" s="533"/>
      <c r="Z346" s="533"/>
      <c r="AA346" s="533"/>
      <c r="AB346" s="533"/>
      <c r="AC346" s="533"/>
      <c r="AD346" s="533"/>
      <c r="AE346" s="533"/>
      <c r="AF346" s="533"/>
      <c r="AG346" s="533"/>
      <c r="AH346" s="533"/>
      <c r="AI346" s="533"/>
      <c r="AJ346" s="533"/>
      <c r="AK346" s="533"/>
      <c r="AL346" s="533"/>
      <c r="AM346" s="533"/>
      <c r="AN346" s="533"/>
      <c r="AO346" s="533"/>
      <c r="AP346" s="533"/>
      <c r="AQ346" s="533"/>
      <c r="AR346" s="533"/>
      <c r="AS346" s="533"/>
      <c r="AT346" s="533"/>
      <c r="AU346" s="533"/>
    </row>
    <row r="347" spans="1:47" ht="11.25" hidden="1" customHeight="1" x14ac:dyDescent="0.25">
      <c r="A347" s="100"/>
      <c r="B347" s="104" t="s">
        <v>510</v>
      </c>
      <c r="C347" s="695" t="s">
        <v>609</v>
      </c>
      <c r="D347" s="642"/>
      <c r="E347" s="711"/>
      <c r="F347" s="688" t="s">
        <v>610</v>
      </c>
      <c r="G347" s="26" t="s">
        <v>611</v>
      </c>
      <c r="H347" s="27">
        <f>VLOOKUP(C347,A!A$1:O$669,15,FALSE)</f>
        <v>2</v>
      </c>
      <c r="I347" s="27"/>
      <c r="J347" s="348">
        <f>IF(VLOOKUP(C347,A!A$1:O$669,11,FALSE)="y",1,0)</f>
        <v>0</v>
      </c>
      <c r="K347" s="28">
        <f>IF(VLOOKUP(C347,A!A$1:O$669,12,FALSE)="y",1,0)</f>
        <v>0</v>
      </c>
      <c r="L347" s="544" t="str">
        <f t="shared" si="71"/>
        <v>Low</v>
      </c>
      <c r="M347" s="27">
        <f>VLOOKUP(C347,A!A$1:O$669,13,FALSE)</f>
        <v>0</v>
      </c>
      <c r="N347" s="101">
        <v>1</v>
      </c>
      <c r="O347" s="533">
        <f>VLOOKUP(C347,A!A$1:O$669,9,FALSE)</f>
        <v>0</v>
      </c>
      <c r="P347" s="533" t="s">
        <v>1249</v>
      </c>
      <c r="Q347" s="533" t="str">
        <f>IF(S347=0,"",COUNTIF(Q$12:Q346,"&gt;0")+1)</f>
        <v/>
      </c>
      <c r="R347" s="533" t="str">
        <f>IF(S347=0,"",COUNTIF(R$12:R346,"&gt;0")+1)</f>
        <v/>
      </c>
      <c r="S347" s="533">
        <f t="shared" si="73"/>
        <v>0</v>
      </c>
      <c r="T347" s="533">
        <f>VLOOKUP(C347,A!A$1:AH$669,32,FALSE)</f>
        <v>0</v>
      </c>
      <c r="U347" s="533">
        <v>0.11</v>
      </c>
      <c r="V347" s="533"/>
      <c r="W347" s="533" t="str">
        <f t="shared" si="72"/>
        <v/>
      </c>
      <c r="X347" s="533">
        <f>IF(V347&lt;&gt;"",COUNTIF(V$46:V347,V347)-1,0)</f>
        <v>0</v>
      </c>
      <c r="Y347" s="533"/>
      <c r="Z347" s="533"/>
      <c r="AA347" s="533"/>
      <c r="AB347" s="533"/>
      <c r="AC347" s="533"/>
      <c r="AD347" s="533"/>
      <c r="AE347" s="533"/>
      <c r="AF347" s="533"/>
      <c r="AG347" s="533"/>
      <c r="AH347" s="533"/>
      <c r="AI347" s="533"/>
      <c r="AJ347" s="533"/>
      <c r="AK347" s="533"/>
      <c r="AL347" s="533"/>
      <c r="AM347" s="533"/>
      <c r="AN347" s="533"/>
      <c r="AO347" s="533"/>
      <c r="AP347" s="533"/>
      <c r="AQ347" s="533"/>
      <c r="AR347" s="533"/>
      <c r="AS347" s="533"/>
      <c r="AT347" s="533"/>
      <c r="AU347" s="533"/>
    </row>
    <row r="348" spans="1:47" ht="11.25" hidden="1" customHeight="1" x14ac:dyDescent="0.25">
      <c r="A348" s="100"/>
      <c r="B348" s="104" t="s">
        <v>510</v>
      </c>
      <c r="C348" s="695" t="s">
        <v>612</v>
      </c>
      <c r="D348" s="642"/>
      <c r="E348" s="711"/>
      <c r="F348" s="688" t="s">
        <v>613</v>
      </c>
      <c r="G348" s="26" t="s">
        <v>614</v>
      </c>
      <c r="H348" s="27">
        <f>VLOOKUP(C348,A!A$1:O$669,15,FALSE)</f>
        <v>2</v>
      </c>
      <c r="I348" s="27"/>
      <c r="J348" s="348">
        <f>IF(VLOOKUP(C348,A!A$1:O$669,11,FALSE)="y",1,0)</f>
        <v>0</v>
      </c>
      <c r="K348" s="28">
        <f>IF(VLOOKUP(C348,A!A$1:O$669,12,FALSE)="y",1,0)</f>
        <v>0</v>
      </c>
      <c r="L348" s="544" t="str">
        <f t="shared" ref="L348:L353" si="74">IF(T348&lt;35,"Low",IF(T348&gt;40,"High","Med"))</f>
        <v>Low</v>
      </c>
      <c r="M348" s="27">
        <f>VLOOKUP(C348,A!A$1:O$669,13,FALSE)</f>
        <v>0</v>
      </c>
      <c r="N348" s="101">
        <v>1</v>
      </c>
      <c r="O348" s="533">
        <f>VLOOKUP(C348,A!A$1:O$669,9,FALSE)</f>
        <v>0</v>
      </c>
      <c r="P348" s="533" t="s">
        <v>1249</v>
      </c>
      <c r="Q348" s="533" t="str">
        <f>IF(S348=0,"",COUNTIF(Q$12:Q347,"&gt;0")+1)</f>
        <v/>
      </c>
      <c r="R348" s="533" t="str">
        <f>IF(S348=0,"",COUNTIF(R$12:R347,"&gt;0")+1)</f>
        <v/>
      </c>
      <c r="S348" s="533">
        <f t="shared" si="73"/>
        <v>0</v>
      </c>
      <c r="T348" s="533">
        <f>VLOOKUP(C348,A!A$1:AH$669,32,FALSE)</f>
        <v>0</v>
      </c>
      <c r="U348" s="533">
        <v>0.11</v>
      </c>
      <c r="V348" s="533"/>
      <c r="W348" s="533" t="str">
        <f t="shared" ref="W348:W361" si="75">IF(AND(V348&lt;&gt;"",O348=0),"Check",IF(AND(V348=0,O348="Y"),"Check",""))</f>
        <v/>
      </c>
      <c r="X348" s="533">
        <f>IF(V348&lt;&gt;"",COUNTIF(V$46:V348,V348)-1,0)</f>
        <v>0</v>
      </c>
      <c r="Y348" s="533"/>
      <c r="Z348" s="533"/>
      <c r="AA348" s="533"/>
      <c r="AB348" s="533"/>
      <c r="AC348" s="533"/>
      <c r="AD348" s="533"/>
      <c r="AE348" s="533"/>
      <c r="AF348" s="533"/>
      <c r="AG348" s="533"/>
      <c r="AH348" s="533"/>
      <c r="AI348" s="533"/>
      <c r="AJ348" s="533"/>
      <c r="AK348" s="533"/>
      <c r="AL348" s="533"/>
      <c r="AM348" s="533"/>
      <c r="AN348" s="533"/>
      <c r="AO348" s="533"/>
      <c r="AP348" s="533"/>
      <c r="AQ348" s="533"/>
      <c r="AR348" s="533"/>
      <c r="AS348" s="533"/>
      <c r="AT348" s="533"/>
      <c r="AU348" s="533"/>
    </row>
    <row r="349" spans="1:47" ht="11.25" hidden="1" customHeight="1" x14ac:dyDescent="0.25">
      <c r="A349" s="100"/>
      <c r="B349" s="104" t="s">
        <v>510</v>
      </c>
      <c r="C349" s="695" t="s">
        <v>615</v>
      </c>
      <c r="D349" s="642"/>
      <c r="E349" s="711"/>
      <c r="F349" s="765" t="s">
        <v>616</v>
      </c>
      <c r="G349" s="26" t="s">
        <v>617</v>
      </c>
      <c r="H349" s="27">
        <f>VLOOKUP(C349,A!A$1:O$669,15,FALSE)</f>
        <v>2</v>
      </c>
      <c r="I349" s="27"/>
      <c r="J349" s="348">
        <f>IF(VLOOKUP(C349,A!A$1:O$669,11,FALSE)="y",1,0)</f>
        <v>0</v>
      </c>
      <c r="K349" s="28">
        <f>IF(VLOOKUP(C349,A!A$1:O$669,12,FALSE)="y",1,0)</f>
        <v>0</v>
      </c>
      <c r="L349" s="544" t="str">
        <f t="shared" si="74"/>
        <v>Low</v>
      </c>
      <c r="M349" s="27">
        <f>VLOOKUP(C349,A!A$1:O$669,13,FALSE)</f>
        <v>0</v>
      </c>
      <c r="N349" s="101">
        <v>1</v>
      </c>
      <c r="O349" s="533">
        <f>VLOOKUP(C349,A!A$1:O$669,9,FALSE)</f>
        <v>0</v>
      </c>
      <c r="P349" s="533" t="s">
        <v>1249</v>
      </c>
      <c r="Q349" s="533" t="str">
        <f>IF(S349=0,"",COUNTIF(Q$12:Q348,"&gt;0")+1)</f>
        <v/>
      </c>
      <c r="R349" s="533" t="str">
        <f>IF(S349=0,"",COUNTIF(R$12:R348,"&gt;0")+1)</f>
        <v/>
      </c>
      <c r="S349" s="533">
        <f t="shared" si="73"/>
        <v>0</v>
      </c>
      <c r="T349" s="533">
        <f>VLOOKUP(C349,A!A$1:AH$669,32,FALSE)</f>
        <v>0</v>
      </c>
      <c r="U349" s="533">
        <v>0.11</v>
      </c>
      <c r="V349" s="533"/>
      <c r="W349" s="533" t="str">
        <f t="shared" si="75"/>
        <v/>
      </c>
      <c r="X349" s="533">
        <f>IF(V349&lt;&gt;"",COUNTIF(V$46:V349,V349)-1,0)</f>
        <v>0</v>
      </c>
      <c r="Y349" s="533"/>
      <c r="Z349" s="533"/>
      <c r="AA349" s="533"/>
      <c r="AB349" s="533"/>
      <c r="AC349" s="533"/>
      <c r="AD349" s="533"/>
      <c r="AE349" s="533"/>
      <c r="AF349" s="533"/>
      <c r="AG349" s="533"/>
      <c r="AH349" s="533"/>
      <c r="AI349" s="533"/>
      <c r="AJ349" s="533"/>
      <c r="AK349" s="533"/>
      <c r="AL349" s="533"/>
      <c r="AM349" s="533"/>
      <c r="AN349" s="533"/>
      <c r="AO349" s="533"/>
      <c r="AP349" s="533"/>
      <c r="AQ349" s="533"/>
      <c r="AR349" s="533"/>
      <c r="AS349" s="533"/>
      <c r="AT349" s="533"/>
      <c r="AU349" s="533"/>
    </row>
    <row r="350" spans="1:47" ht="11.25" hidden="1" customHeight="1" x14ac:dyDescent="0.25">
      <c r="A350" s="100"/>
      <c r="B350" s="104" t="s">
        <v>510</v>
      </c>
      <c r="C350" s="695" t="s">
        <v>618</v>
      </c>
      <c r="D350" s="642"/>
      <c r="E350" s="711"/>
      <c r="F350" s="765" t="s">
        <v>619</v>
      </c>
      <c r="G350" s="26" t="s">
        <v>620</v>
      </c>
      <c r="H350" s="27">
        <f>VLOOKUP(C350,A!A$1:O$669,15,FALSE)</f>
        <v>2</v>
      </c>
      <c r="I350" s="27"/>
      <c r="J350" s="348">
        <f>IF(VLOOKUP(C350,A!A$1:O$669,11,FALSE)="y",1,0)</f>
        <v>0</v>
      </c>
      <c r="K350" s="28">
        <f>IF(VLOOKUP(C350,A!A$1:O$669,12,FALSE)="y",1,0)</f>
        <v>0</v>
      </c>
      <c r="L350" s="544" t="str">
        <f t="shared" si="74"/>
        <v>Low</v>
      </c>
      <c r="M350" s="27">
        <f>VLOOKUP(C350,A!A$1:O$669,13,FALSE)</f>
        <v>0</v>
      </c>
      <c r="N350" s="101">
        <v>1</v>
      </c>
      <c r="O350" s="533">
        <f>VLOOKUP(C350,A!A$1:O$669,9,FALSE)</f>
        <v>0</v>
      </c>
      <c r="P350" s="533" t="s">
        <v>1249</v>
      </c>
      <c r="Q350" s="533" t="str">
        <f>IF(S350=0,"",COUNTIF(Q$12:Q349,"&gt;0")+1)</f>
        <v/>
      </c>
      <c r="R350" s="533" t="str">
        <f>IF(S350=0,"",COUNTIF(R$12:R349,"&gt;0")+1)</f>
        <v/>
      </c>
      <c r="S350" s="533">
        <f t="shared" si="73"/>
        <v>0</v>
      </c>
      <c r="T350" s="533">
        <f>VLOOKUP(C350,A!A$1:AH$669,32,FALSE)</f>
        <v>0</v>
      </c>
      <c r="U350" s="533">
        <v>0.11</v>
      </c>
      <c r="V350" s="533"/>
      <c r="W350" s="533" t="str">
        <f t="shared" si="75"/>
        <v/>
      </c>
      <c r="X350" s="533">
        <f>IF(V350&lt;&gt;"",COUNTIF(V$46:V350,V350)-1,0)</f>
        <v>0</v>
      </c>
      <c r="Y350" s="533"/>
      <c r="Z350" s="533"/>
      <c r="AA350" s="533"/>
      <c r="AB350" s="533"/>
      <c r="AC350" s="533"/>
      <c r="AD350" s="533"/>
      <c r="AE350" s="533"/>
      <c r="AF350" s="533"/>
      <c r="AG350" s="533"/>
      <c r="AH350" s="533"/>
      <c r="AI350" s="533"/>
      <c r="AJ350" s="533"/>
      <c r="AK350" s="533"/>
      <c r="AL350" s="533"/>
      <c r="AM350" s="533"/>
      <c r="AN350" s="533"/>
      <c r="AO350" s="533"/>
      <c r="AP350" s="533"/>
      <c r="AQ350" s="533"/>
      <c r="AR350" s="533"/>
      <c r="AS350" s="533"/>
      <c r="AT350" s="533"/>
      <c r="AU350" s="533"/>
    </row>
    <row r="351" spans="1:47" ht="11.25" hidden="1" customHeight="1" x14ac:dyDescent="0.25">
      <c r="A351" s="100"/>
      <c r="B351" s="104" t="s">
        <v>510</v>
      </c>
      <c r="C351" s="695" t="s">
        <v>621</v>
      </c>
      <c r="D351" s="642"/>
      <c r="E351" s="711"/>
      <c r="F351" s="765" t="s">
        <v>619</v>
      </c>
      <c r="G351" s="26" t="s">
        <v>622</v>
      </c>
      <c r="H351" s="27">
        <f>VLOOKUP(C351,A!A$1:O$669,15,FALSE)</f>
        <v>2</v>
      </c>
      <c r="I351" s="27"/>
      <c r="J351" s="348">
        <f>IF(VLOOKUP(C351,A!A$1:O$669,11,FALSE)="y",1,0)</f>
        <v>0</v>
      </c>
      <c r="K351" s="28">
        <f>IF(VLOOKUP(C351,A!A$1:O$669,12,FALSE)="y",1,0)</f>
        <v>0</v>
      </c>
      <c r="L351" s="544" t="str">
        <f t="shared" si="74"/>
        <v>Low</v>
      </c>
      <c r="M351" s="27">
        <f>VLOOKUP(C351,A!A$1:O$669,13,FALSE)</f>
        <v>0</v>
      </c>
      <c r="N351" s="101">
        <v>1</v>
      </c>
      <c r="O351" s="533">
        <f>VLOOKUP(C351,A!A$1:O$669,9,FALSE)</f>
        <v>0</v>
      </c>
      <c r="P351" s="533" t="s">
        <v>1249</v>
      </c>
      <c r="Q351" s="533" t="str">
        <f>IF(S351=0,"",COUNTIF(Q$12:Q350,"&gt;0")+1)</f>
        <v/>
      </c>
      <c r="R351" s="533" t="str">
        <f>IF(S351=0,"",COUNTIF(R$12:R350,"&gt;0")+1)</f>
        <v/>
      </c>
      <c r="S351" s="533">
        <f t="shared" si="73"/>
        <v>0</v>
      </c>
      <c r="T351" s="533">
        <f>VLOOKUP(C351,A!A$1:AH$669,32,FALSE)</f>
        <v>0</v>
      </c>
      <c r="U351" s="533">
        <v>0.11</v>
      </c>
      <c r="V351" s="533"/>
      <c r="W351" s="533" t="str">
        <f t="shared" si="75"/>
        <v/>
      </c>
      <c r="X351" s="533">
        <f>IF(V351&lt;&gt;"",COUNTIF(V$46:V351,V351)-1,0)</f>
        <v>0</v>
      </c>
      <c r="Y351" s="533"/>
      <c r="Z351" s="533"/>
      <c r="AA351" s="533"/>
      <c r="AB351" s="533"/>
      <c r="AC351" s="533"/>
      <c r="AD351" s="533"/>
      <c r="AE351" s="533"/>
      <c r="AF351" s="533"/>
      <c r="AG351" s="533"/>
      <c r="AH351" s="533"/>
      <c r="AI351" s="533"/>
      <c r="AJ351" s="533"/>
      <c r="AK351" s="533"/>
      <c r="AL351" s="533"/>
      <c r="AM351" s="533"/>
      <c r="AN351" s="533"/>
      <c r="AO351" s="533"/>
      <c r="AP351" s="533"/>
      <c r="AQ351" s="533"/>
      <c r="AR351" s="533"/>
      <c r="AS351" s="533"/>
      <c r="AT351" s="533"/>
      <c r="AU351" s="533"/>
    </row>
    <row r="352" spans="1:47" ht="11.25" hidden="1" customHeight="1" x14ac:dyDescent="0.25">
      <c r="A352" s="100"/>
      <c r="B352" s="104" t="s">
        <v>510</v>
      </c>
      <c r="C352" s="695" t="s">
        <v>379</v>
      </c>
      <c r="D352" s="642"/>
      <c r="E352" s="711"/>
      <c r="F352" s="764" t="s">
        <v>380</v>
      </c>
      <c r="G352" s="26" t="s">
        <v>381</v>
      </c>
      <c r="H352" s="27">
        <f>VLOOKUP(C352,A!A$1:O$669,15,FALSE)</f>
        <v>1</v>
      </c>
      <c r="I352" s="27"/>
      <c r="J352" s="348">
        <f>IF(VLOOKUP(C352,A!A$1:O$669,11,FALSE)="y",1,0)</f>
        <v>0</v>
      </c>
      <c r="K352" s="28">
        <f>IF(VLOOKUP(C352,A!A$1:O$669,12,FALSE)="y",1,0)</f>
        <v>0</v>
      </c>
      <c r="L352" s="544" t="str">
        <f t="shared" si="74"/>
        <v>Low</v>
      </c>
      <c r="M352" s="27">
        <f>VLOOKUP(C352,A!A$1:O$669,13,FALSE)</f>
        <v>0</v>
      </c>
      <c r="N352" s="101">
        <v>1</v>
      </c>
      <c r="O352" s="533">
        <f>VLOOKUP(C352,A!A$1:O$669,9,FALSE)</f>
        <v>0</v>
      </c>
      <c r="P352" s="533" t="s">
        <v>1249</v>
      </c>
      <c r="Q352" s="533" t="str">
        <f>IF(S352=0,"",COUNTIF(Q$12:Q351,"&gt;0")+1)</f>
        <v/>
      </c>
      <c r="R352" s="533" t="str">
        <f>IF(S352=0,"",COUNTIF(R$12:R351,"&gt;0")+1)</f>
        <v/>
      </c>
      <c r="S352" s="533">
        <f t="shared" si="73"/>
        <v>0</v>
      </c>
      <c r="T352" s="533">
        <f>VLOOKUP(C352,A!A$1:AH$669,32,FALSE)</f>
        <v>0</v>
      </c>
      <c r="U352" s="533">
        <v>0.11</v>
      </c>
      <c r="V352" s="533"/>
      <c r="W352" s="533" t="str">
        <f t="shared" si="75"/>
        <v/>
      </c>
      <c r="X352" s="533">
        <f>IF(V352&lt;&gt;"",COUNTIF(V$46:V352,V352)-1,0)</f>
        <v>0</v>
      </c>
      <c r="Y352" s="533"/>
      <c r="Z352" s="533"/>
      <c r="AA352" s="533"/>
      <c r="AB352" s="533"/>
      <c r="AC352" s="533"/>
      <c r="AD352" s="533"/>
      <c r="AE352" s="533"/>
      <c r="AF352" s="533"/>
      <c r="AG352" s="533"/>
      <c r="AH352" s="533"/>
      <c r="AI352" s="533"/>
      <c r="AJ352" s="533"/>
      <c r="AK352" s="533"/>
      <c r="AL352" s="533"/>
      <c r="AM352" s="533"/>
      <c r="AN352" s="533"/>
      <c r="AO352" s="533"/>
      <c r="AP352" s="533"/>
      <c r="AQ352" s="533"/>
      <c r="AR352" s="533"/>
      <c r="AS352" s="533"/>
      <c r="AT352" s="533"/>
      <c r="AU352" s="533"/>
    </row>
    <row r="353" spans="1:47" ht="13.5" hidden="1" customHeight="1" x14ac:dyDescent="0.25">
      <c r="A353" s="100"/>
      <c r="B353" s="104" t="s">
        <v>510</v>
      </c>
      <c r="C353" s="695" t="s">
        <v>623</v>
      </c>
      <c r="D353" s="642"/>
      <c r="E353" s="711"/>
      <c r="F353" s="688" t="s">
        <v>624</v>
      </c>
      <c r="G353" s="26" t="s">
        <v>625</v>
      </c>
      <c r="H353" s="27">
        <f>VLOOKUP(C353,A!A$1:O$669,15,FALSE)</f>
        <v>2</v>
      </c>
      <c r="I353" s="27"/>
      <c r="J353" s="348">
        <f>IF(VLOOKUP(C353,A!A$1:O$669,11,FALSE)="y",1,0)</f>
        <v>0</v>
      </c>
      <c r="K353" s="28">
        <f>IF(VLOOKUP(C353,A!A$1:O$669,12,FALSE)="y",1,0)</f>
        <v>0</v>
      </c>
      <c r="L353" s="544" t="str">
        <f t="shared" si="74"/>
        <v>Low</v>
      </c>
      <c r="M353" s="27">
        <f>VLOOKUP(C353,A!A$1:O$669,13,FALSE)</f>
        <v>0</v>
      </c>
      <c r="N353" s="101">
        <v>1</v>
      </c>
      <c r="O353" s="533">
        <f>VLOOKUP(C353,A!A$1:O$669,9,FALSE)</f>
        <v>0</v>
      </c>
      <c r="P353" s="533" t="s">
        <v>1249</v>
      </c>
      <c r="Q353" s="533" t="str">
        <f>IF(S353=0,"",COUNTIF(Q$12:Q352,"&gt;0")+1)</f>
        <v/>
      </c>
      <c r="R353" s="533" t="str">
        <f>IF(S353=0,"",COUNTIF(R$12:R352,"&gt;0")+1)</f>
        <v/>
      </c>
      <c r="S353" s="533">
        <f t="shared" si="73"/>
        <v>0</v>
      </c>
      <c r="T353" s="533">
        <f>VLOOKUP(C353,A!A$1:AH$669,32,FALSE)</f>
        <v>0</v>
      </c>
      <c r="U353" s="533">
        <v>0.11</v>
      </c>
      <c r="V353" s="533"/>
      <c r="W353" s="533" t="str">
        <f t="shared" si="75"/>
        <v/>
      </c>
      <c r="X353" s="533">
        <f>IF(V353&lt;&gt;"",COUNTIF(V$46:V353,V353)-1,0)</f>
        <v>0</v>
      </c>
      <c r="Y353" s="533"/>
      <c r="Z353" s="533"/>
      <c r="AA353" s="533"/>
      <c r="AB353" s="533"/>
      <c r="AC353" s="533"/>
      <c r="AD353" s="533"/>
      <c r="AE353" s="533"/>
      <c r="AF353" s="533"/>
      <c r="AG353" s="533"/>
      <c r="AH353" s="533"/>
      <c r="AI353" s="533"/>
      <c r="AJ353" s="533"/>
      <c r="AK353" s="533"/>
      <c r="AL353" s="533"/>
      <c r="AM353" s="533"/>
      <c r="AN353" s="533"/>
      <c r="AO353" s="533"/>
      <c r="AP353" s="533"/>
      <c r="AQ353" s="533"/>
      <c r="AR353" s="533"/>
      <c r="AS353" s="533"/>
      <c r="AT353" s="533"/>
      <c r="AU353" s="533"/>
    </row>
    <row r="354" spans="1:47" ht="11.25" hidden="1" customHeight="1" x14ac:dyDescent="0.25">
      <c r="A354" s="100"/>
      <c r="B354" s="104" t="s">
        <v>510</v>
      </c>
      <c r="C354" s="669" t="s">
        <v>402</v>
      </c>
      <c r="D354" s="642"/>
      <c r="E354" s="711"/>
      <c r="F354" s="46" t="s">
        <v>403</v>
      </c>
      <c r="G354" s="26" t="s">
        <v>404</v>
      </c>
      <c r="H354" s="27">
        <f>VLOOKUP(C354,A!A$1:O$669,15,FALSE)</f>
        <v>1</v>
      </c>
      <c r="I354" s="27"/>
      <c r="J354" s="28">
        <f>IF(VLOOKUP(C354,A!A$1:O$669,11,FALSE)="y",1,0)</f>
        <v>0</v>
      </c>
      <c r="K354" s="402">
        <v>5021353014617</v>
      </c>
      <c r="L354" s="544" t="str">
        <f>IF(T354&lt;35,"Low",IF(T354&gt;40,"High","Med"))</f>
        <v>Low</v>
      </c>
      <c r="M354" s="27">
        <f>VLOOKUP(C354,A!A$1:O$669,13,FALSE)</f>
        <v>0</v>
      </c>
      <c r="N354" s="101">
        <v>1</v>
      </c>
      <c r="O354" s="533">
        <f>VLOOKUP(C354,A!A$1:O$669,9,FALSE)</f>
        <v>0</v>
      </c>
      <c r="P354" s="533" t="s">
        <v>1249</v>
      </c>
      <c r="Q354" s="533" t="str">
        <f>IF(S354=0,"",COUNTIF(Q$12:Q353,"&gt;0")+1)</f>
        <v/>
      </c>
      <c r="R354" s="533" t="str">
        <f>IF(S354=0,"",COUNTIF(R$12:R353,"&gt;0")+1)</f>
        <v/>
      </c>
      <c r="S354" s="533">
        <f t="shared" si="73"/>
        <v>0</v>
      </c>
      <c r="T354" s="533">
        <f>VLOOKUP(C354,A!A$1:AH$669,32,FALSE)</f>
        <v>0</v>
      </c>
      <c r="U354" s="533">
        <v>0.11</v>
      </c>
      <c r="V354" s="533"/>
      <c r="W354" s="533" t="str">
        <f t="shared" si="75"/>
        <v/>
      </c>
      <c r="X354" s="533">
        <f>IF(V354&lt;&gt;"",COUNTIF(V$46:V354,V354)-1,0)</f>
        <v>0</v>
      </c>
      <c r="Y354" s="533"/>
      <c r="Z354" s="533"/>
      <c r="AA354" s="533"/>
      <c r="AB354" s="533"/>
      <c r="AC354" s="533"/>
      <c r="AD354" s="533"/>
      <c r="AE354" s="533"/>
      <c r="AF354" s="533"/>
      <c r="AG354" s="533"/>
      <c r="AH354" s="533"/>
      <c r="AI354" s="533"/>
      <c r="AJ354" s="533"/>
      <c r="AK354" s="533"/>
      <c r="AL354" s="533"/>
      <c r="AM354" s="533"/>
      <c r="AN354" s="533"/>
      <c r="AO354" s="533"/>
      <c r="AP354" s="533"/>
      <c r="AQ354" s="533"/>
      <c r="AR354" s="533"/>
      <c r="AS354" s="533"/>
      <c r="AT354" s="533"/>
      <c r="AU354" s="533"/>
    </row>
    <row r="355" spans="1:47" ht="11.45" hidden="1" customHeight="1" x14ac:dyDescent="0.25">
      <c r="A355" s="100"/>
      <c r="B355" s="104" t="s">
        <v>510</v>
      </c>
      <c r="C355" s="24" t="s">
        <v>408</v>
      </c>
      <c r="D355" s="642"/>
      <c r="E355" s="861"/>
      <c r="F355" s="46" t="s">
        <v>409</v>
      </c>
      <c r="G355" s="26" t="s">
        <v>410</v>
      </c>
      <c r="H355" s="27">
        <f>VLOOKUP(C355,A!A$1:O$669,15,FALSE)</f>
        <v>1</v>
      </c>
      <c r="I355" s="27"/>
      <c r="J355" s="28">
        <f>IF(VLOOKUP(C355,A!A$1:O$669,11,FALSE)="y",1,0)</f>
        <v>0</v>
      </c>
      <c r="K355" s="28">
        <f>IF(VLOOKUP(C355,A!A$1:O$669,12,FALSE)="y",1,0)</f>
        <v>0</v>
      </c>
      <c r="L355" s="544" t="str">
        <f>IF(T355&lt;35,"Low",IF(T355&gt;40,"High","Med"))</f>
        <v>Low</v>
      </c>
      <c r="M355" s="27">
        <f>VLOOKUP(C355,A!A$1:O$669,13,FALSE)</f>
        <v>0</v>
      </c>
      <c r="N355" s="101">
        <v>1</v>
      </c>
      <c r="O355" s="533">
        <f>VLOOKUP(C355,A!A$1:O$669,9,FALSE)</f>
        <v>0</v>
      </c>
      <c r="P355" s="533" t="s">
        <v>1249</v>
      </c>
      <c r="Q355" s="533" t="str">
        <f>IF(S355=0,"",COUNTIF(Q$12:Q354,"&gt;0")+1)</f>
        <v/>
      </c>
      <c r="R355" s="533" t="str">
        <f>IF(S355=0,"",COUNTIF(R$12:R354,"&gt;0")+1)</f>
        <v/>
      </c>
      <c r="S355" s="533">
        <f t="shared" si="73"/>
        <v>0</v>
      </c>
      <c r="T355" s="533">
        <f>VLOOKUP(C355,A!A$1:AH$669,32,FALSE)</f>
        <v>0</v>
      </c>
      <c r="U355" s="533">
        <v>0.11</v>
      </c>
      <c r="V355" s="533"/>
      <c r="W355" s="533" t="str">
        <f t="shared" si="75"/>
        <v/>
      </c>
      <c r="X355" s="533">
        <f>IF(V355&lt;&gt;"",COUNTIF(V$46:V355,V355)-1,0)</f>
        <v>0</v>
      </c>
      <c r="Y355" s="533"/>
      <c r="Z355" s="533"/>
      <c r="AA355" s="533"/>
      <c r="AB355" s="533"/>
      <c r="AC355" s="533"/>
      <c r="AD355" s="533"/>
      <c r="AE355" s="533"/>
      <c r="AF355" s="533"/>
      <c r="AG355" s="533"/>
      <c r="AH355" s="533"/>
      <c r="AI355" s="533"/>
      <c r="AJ355" s="533"/>
      <c r="AK355" s="533"/>
      <c r="AL355" s="533"/>
      <c r="AM355" s="533"/>
      <c r="AN355" s="533"/>
      <c r="AO355" s="533"/>
      <c r="AP355" s="533"/>
      <c r="AQ355" s="533"/>
      <c r="AR355" s="533"/>
      <c r="AS355" s="533"/>
      <c r="AT355" s="533"/>
      <c r="AU355" s="533"/>
    </row>
    <row r="356" spans="1:47" ht="12" hidden="1" customHeight="1" x14ac:dyDescent="0.25">
      <c r="A356" s="100"/>
      <c r="B356" s="104" t="s">
        <v>510</v>
      </c>
      <c r="C356" s="24" t="s">
        <v>411</v>
      </c>
      <c r="D356" s="642"/>
      <c r="E356" s="861"/>
      <c r="F356" s="46" t="s">
        <v>412</v>
      </c>
      <c r="G356" s="26" t="s">
        <v>413</v>
      </c>
      <c r="H356" s="27">
        <f>VLOOKUP(C356,A!A$1:O$669,15,FALSE)</f>
        <v>1</v>
      </c>
      <c r="I356" s="27"/>
      <c r="J356" s="28">
        <f>IF(VLOOKUP(C356,A!A$1:O$669,11,FALSE)="y",1,0)</f>
        <v>0</v>
      </c>
      <c r="K356" s="28">
        <f>IF(VLOOKUP(C356,A!A$1:O$669,12,FALSE)="y",1,0)</f>
        <v>0</v>
      </c>
      <c r="L356" s="544" t="str">
        <f>IF(T356&lt;35,"Low",IF(T356&gt;40,"High","Med"))</f>
        <v>Low</v>
      </c>
      <c r="M356" s="27">
        <f>VLOOKUP(C356,A!A$1:O$669,13,FALSE)</f>
        <v>0</v>
      </c>
      <c r="N356" s="101">
        <v>1</v>
      </c>
      <c r="O356" s="533">
        <f>VLOOKUP(C356,A!A$1:O$669,9,FALSE)</f>
        <v>0</v>
      </c>
      <c r="P356" s="533" t="s">
        <v>1249</v>
      </c>
      <c r="Q356" s="533" t="str">
        <f>IF(S356=0,"",COUNTIF(Q$12:Q355,"&gt;0")+1)</f>
        <v/>
      </c>
      <c r="R356" s="533" t="str">
        <f>IF(S356=0,"",COUNTIF(R$12:R355,"&gt;0")+1)</f>
        <v/>
      </c>
      <c r="S356" s="533">
        <f t="shared" si="73"/>
        <v>0</v>
      </c>
      <c r="T356" s="533">
        <f>VLOOKUP(C356,A!A$1:AH$669,32,FALSE)</f>
        <v>0</v>
      </c>
      <c r="U356" s="533">
        <v>0.11</v>
      </c>
      <c r="V356" s="533"/>
      <c r="W356" s="533" t="str">
        <f t="shared" si="75"/>
        <v/>
      </c>
      <c r="X356" s="533">
        <f>IF(V356&lt;&gt;"",COUNTIF(V$46:V356,V356)-1,0)</f>
        <v>0</v>
      </c>
      <c r="Y356" s="533"/>
      <c r="Z356" s="533"/>
      <c r="AA356" s="533"/>
      <c r="AB356" s="533"/>
      <c r="AC356" s="533"/>
      <c r="AD356" s="533"/>
      <c r="AE356" s="533"/>
      <c r="AF356" s="533"/>
      <c r="AG356" s="533"/>
      <c r="AH356" s="533"/>
      <c r="AI356" s="533"/>
      <c r="AJ356" s="533"/>
      <c r="AK356" s="533"/>
      <c r="AL356" s="533"/>
      <c r="AM356" s="533"/>
      <c r="AN356" s="533"/>
      <c r="AO356" s="533"/>
      <c r="AP356" s="533"/>
      <c r="AQ356" s="533"/>
      <c r="AR356" s="533"/>
      <c r="AS356" s="533"/>
      <c r="AT356" s="533"/>
      <c r="AU356" s="533"/>
    </row>
    <row r="357" spans="1:47" ht="11.25" hidden="1" customHeight="1" thickBot="1" x14ac:dyDescent="0.3">
      <c r="A357" s="105"/>
      <c r="B357" s="106" t="s">
        <v>510</v>
      </c>
      <c r="C357" s="674" t="s">
        <v>438</v>
      </c>
      <c r="D357" s="731"/>
      <c r="E357" s="876"/>
      <c r="F357" s="106" t="s">
        <v>439</v>
      </c>
      <c r="G357" s="107" t="s">
        <v>440</v>
      </c>
      <c r="H357" s="108">
        <f>VLOOKUP(C357,A!A$1:O$669,15,FALSE)</f>
        <v>2</v>
      </c>
      <c r="I357" s="108"/>
      <c r="J357" s="109">
        <f>IF(VLOOKUP(C357,A!A$1:O$669,11,FALSE)="y",1,0)</f>
        <v>0</v>
      </c>
      <c r="K357" s="109">
        <f>IF(VLOOKUP(C357,A!A$1:O$669,12,FALSE)="y",1,0)</f>
        <v>0</v>
      </c>
      <c r="L357" s="544" t="str">
        <f>IF(T357&lt;35,"Low",IF(T357&gt;40,"High","Med"))</f>
        <v>Low</v>
      </c>
      <c r="M357" s="108">
        <f>VLOOKUP(C357,A!A$1:O$669,13,FALSE)</f>
        <v>0</v>
      </c>
      <c r="N357" s="110">
        <v>1</v>
      </c>
      <c r="O357" s="533">
        <f>VLOOKUP(C357,A!A$1:O$669,9,FALSE)</f>
        <v>0</v>
      </c>
      <c r="P357" s="533" t="s">
        <v>1249</v>
      </c>
      <c r="Q357" s="533" t="str">
        <f>IF(S357=0,"",COUNTIF(Q$12:Q356,"&gt;0")+1)</f>
        <v/>
      </c>
      <c r="R357" s="533" t="str">
        <f>IF(S357=0,"",COUNTIF(R$12:R356,"&gt;0")+1)</f>
        <v/>
      </c>
      <c r="S357" s="533">
        <f t="shared" si="73"/>
        <v>0</v>
      </c>
      <c r="T357" s="533">
        <f>VLOOKUP(C357,A!A$1:AH$669,32,FALSE)</f>
        <v>0</v>
      </c>
      <c r="U357" s="533">
        <v>0.125</v>
      </c>
      <c r="V357" s="533"/>
      <c r="W357" s="533" t="str">
        <f t="shared" si="75"/>
        <v/>
      </c>
      <c r="X357" s="533">
        <f>IF(V357&lt;&gt;"",COUNTIF(V$46:V357,V357)-1,0)</f>
        <v>0</v>
      </c>
      <c r="Y357" s="533"/>
      <c r="Z357" s="533"/>
      <c r="AA357" s="533"/>
      <c r="AB357" s="533"/>
      <c r="AC357" s="533"/>
      <c r="AD357" s="533"/>
      <c r="AE357" s="533"/>
      <c r="AF357" s="533"/>
      <c r="AG357" s="533"/>
      <c r="AH357" s="533"/>
      <c r="AI357" s="533"/>
      <c r="AJ357" s="533"/>
      <c r="AK357" s="533"/>
      <c r="AL357" s="533"/>
      <c r="AM357" s="533"/>
      <c r="AN357" s="533"/>
      <c r="AO357" s="533"/>
      <c r="AP357" s="533"/>
      <c r="AQ357" s="533"/>
      <c r="AR357" s="533"/>
      <c r="AS357" s="533"/>
      <c r="AT357" s="533"/>
      <c r="AU357" s="533"/>
    </row>
    <row r="358" spans="1:47" ht="12" hidden="1" customHeight="1" x14ac:dyDescent="0.25">
      <c r="A358" s="111">
        <f>SUM(A279:A357)</f>
        <v>0</v>
      </c>
      <c r="B358" s="597" t="s">
        <v>510</v>
      </c>
      <c r="C358" s="112" t="s">
        <v>626</v>
      </c>
      <c r="D358" s="653"/>
      <c r="E358" s="877"/>
      <c r="F358" s="113"/>
      <c r="G358" s="113"/>
      <c r="H358" s="113"/>
      <c r="I358" s="113"/>
      <c r="J358" s="113"/>
      <c r="K358" s="113"/>
      <c r="L358" s="114"/>
      <c r="M358" s="113"/>
      <c r="N358" s="115"/>
      <c r="P358" s="533" t="s">
        <v>1249</v>
      </c>
      <c r="Q358" s="533" t="str">
        <f>IF(S358=0,"",COUNTIF(Q$12:Q357,"&gt;0")+1)</f>
        <v/>
      </c>
      <c r="R358" s="533" t="str">
        <f>IF(S358=0,"",COUNTIF(R$12:R357,"&gt;0")+1)</f>
        <v/>
      </c>
      <c r="S358" s="533">
        <f t="shared" si="73"/>
        <v>0</v>
      </c>
      <c r="T358" s="533"/>
      <c r="U358" s="533"/>
      <c r="V358" s="533"/>
      <c r="W358" s="533" t="str">
        <f t="shared" si="75"/>
        <v/>
      </c>
      <c r="X358" s="533">
        <f>IF(V358&lt;&gt;"",COUNTIF(V$46:V358,V358)-1,0)</f>
        <v>0</v>
      </c>
      <c r="Y358" s="533"/>
      <c r="Z358" s="533"/>
      <c r="AA358" s="533"/>
      <c r="AB358" s="533"/>
      <c r="AC358" s="533"/>
      <c r="AD358" s="533"/>
      <c r="AE358" s="533"/>
      <c r="AF358" s="533"/>
      <c r="AG358" s="533"/>
      <c r="AH358" s="533"/>
      <c r="AI358" s="533"/>
      <c r="AJ358" s="533"/>
      <c r="AK358" s="533"/>
      <c r="AL358" s="533"/>
      <c r="AM358" s="533"/>
      <c r="AN358" s="533"/>
      <c r="AO358" s="533"/>
      <c r="AP358" s="533"/>
      <c r="AQ358" s="533"/>
      <c r="AR358" s="533"/>
      <c r="AS358" s="533"/>
      <c r="AT358" s="533"/>
      <c r="AU358" s="533"/>
    </row>
    <row r="359" spans="1:47" ht="12" hidden="1" customHeight="1" thickBot="1" x14ac:dyDescent="0.3">
      <c r="A359" s="23"/>
      <c r="B359" s="601"/>
      <c r="C359" s="96"/>
      <c r="L359" s="3"/>
      <c r="M359" s="2"/>
      <c r="N359" s="134"/>
      <c r="P359" s="533"/>
      <c r="Q359" s="533" t="str">
        <f>IF(S359=0,"",COUNTIF(Q$12:Q358,"&gt;0")+1)</f>
        <v/>
      </c>
      <c r="R359" s="533" t="str">
        <f>IF(S359=0,"",COUNTIF(R$12:R358,"&gt;0")+1)</f>
        <v/>
      </c>
      <c r="S359" s="533"/>
      <c r="T359" s="533"/>
      <c r="U359" s="533"/>
      <c r="V359" s="533"/>
      <c r="W359" s="533"/>
      <c r="X359" s="533"/>
      <c r="Y359" s="533"/>
      <c r="Z359" s="533"/>
      <c r="AA359" s="533"/>
      <c r="AB359" s="533"/>
      <c r="AC359" s="533"/>
      <c r="AD359" s="533"/>
      <c r="AE359" s="533"/>
      <c r="AF359" s="533"/>
      <c r="AG359" s="533"/>
      <c r="AH359" s="533"/>
      <c r="AI359" s="533"/>
      <c r="AJ359" s="533"/>
      <c r="AK359" s="533"/>
      <c r="AL359" s="533"/>
      <c r="AM359" s="533"/>
      <c r="AN359" s="533"/>
      <c r="AO359" s="533"/>
      <c r="AP359" s="533"/>
      <c r="AQ359" s="533"/>
      <c r="AR359" s="533"/>
      <c r="AS359" s="533"/>
      <c r="AT359" s="533"/>
      <c r="AU359" s="533"/>
    </row>
    <row r="360" spans="1:47" ht="12" customHeight="1" x14ac:dyDescent="0.25">
      <c r="A360" s="1118" t="s">
        <v>11</v>
      </c>
      <c r="B360" s="1173"/>
      <c r="C360" s="1188" t="s">
        <v>1279</v>
      </c>
      <c r="D360" s="1189"/>
      <c r="E360" s="1189"/>
      <c r="F360" s="1189"/>
      <c r="G360" s="1123" t="s">
        <v>507</v>
      </c>
      <c r="H360" s="29" t="s">
        <v>627</v>
      </c>
      <c r="I360" s="29"/>
      <c r="J360" s="29"/>
      <c r="K360" s="29"/>
      <c r="L360" s="29"/>
      <c r="M360" s="29"/>
      <c r="N360" s="30"/>
      <c r="P360" s="533"/>
      <c r="Q360" s="533" t="str">
        <f>IF(S360=0,"",COUNTIF(Q$12:Q359,"&gt;0")+1)</f>
        <v/>
      </c>
      <c r="R360" s="533" t="str">
        <f>IF(S360=0,"",COUNTIF(R$12:R359,"&gt;0")+1)</f>
        <v/>
      </c>
      <c r="S360" s="533"/>
      <c r="T360" s="533"/>
      <c r="U360" s="533"/>
      <c r="V360" s="533"/>
      <c r="W360" s="533" t="str">
        <f t="shared" si="75"/>
        <v/>
      </c>
      <c r="X360" s="533">
        <f>IF(V360&lt;&gt;"",COUNTIF(V$46:V360,V360)-1,0)</f>
        <v>0</v>
      </c>
      <c r="Y360" s="533"/>
      <c r="Z360" s="533"/>
      <c r="AA360" s="533"/>
      <c r="AB360" s="533"/>
      <c r="AC360" s="533"/>
      <c r="AD360" s="533"/>
      <c r="AE360" s="533"/>
      <c r="AF360" s="533"/>
      <c r="AG360" s="533"/>
      <c r="AH360" s="533"/>
      <c r="AI360" s="533"/>
      <c r="AJ360" s="533"/>
      <c r="AK360" s="533"/>
      <c r="AL360" s="533"/>
      <c r="AM360" s="533"/>
      <c r="AN360" s="533"/>
      <c r="AO360" s="533"/>
      <c r="AP360" s="533"/>
      <c r="AQ360" s="533"/>
      <c r="AR360" s="533"/>
      <c r="AS360" s="533"/>
      <c r="AT360" s="533"/>
      <c r="AU360" s="533"/>
    </row>
    <row r="361" spans="1:47" ht="13.5" customHeight="1" thickBot="1" x14ac:dyDescent="0.3">
      <c r="A361" s="1116" t="s">
        <v>509</v>
      </c>
      <c r="B361" s="1150"/>
      <c r="C361" s="1190"/>
      <c r="D361" s="1191"/>
      <c r="E361" s="1191"/>
      <c r="F361" s="1191"/>
      <c r="G361" s="1124"/>
      <c r="H361" s="33" t="s">
        <v>15</v>
      </c>
      <c r="I361" s="32"/>
      <c r="J361" s="32"/>
      <c r="K361" s="32"/>
      <c r="L361" s="545" t="s">
        <v>1</v>
      </c>
      <c r="M361" s="32"/>
      <c r="N361" s="34" t="s">
        <v>16</v>
      </c>
      <c r="O361" s="1068"/>
      <c r="P361" s="533"/>
      <c r="Q361" s="533" t="str">
        <f>IF(S361=0,"",COUNTIF(Q$12:Q360,"&gt;0")+1)</f>
        <v/>
      </c>
      <c r="R361" s="533" t="str">
        <f>IF(S361=0,"",COUNTIF(R$12:R360,"&gt;0")+1)</f>
        <v/>
      </c>
      <c r="S361" s="533"/>
      <c r="T361" s="533"/>
      <c r="U361" s="533"/>
      <c r="V361" s="533"/>
      <c r="W361" s="533" t="str">
        <f t="shared" si="75"/>
        <v/>
      </c>
      <c r="X361" s="533">
        <f>IF(V361&lt;&gt;"",COUNTIF(V$46:V361,V361)-1,0)</f>
        <v>0</v>
      </c>
      <c r="Y361" s="533"/>
      <c r="Z361" s="533"/>
      <c r="AA361" s="533"/>
      <c r="AB361" s="533"/>
      <c r="AC361" s="533"/>
      <c r="AD361" s="533"/>
      <c r="AE361" s="533"/>
      <c r="AF361" s="533"/>
      <c r="AG361" s="533"/>
      <c r="AH361" s="533"/>
      <c r="AI361" s="533"/>
      <c r="AJ361" s="533"/>
      <c r="AK361" s="533"/>
      <c r="AL361" s="533"/>
      <c r="AM361" s="533"/>
      <c r="AN361" s="533"/>
      <c r="AO361" s="533"/>
      <c r="AP361" s="533"/>
      <c r="AQ361" s="533"/>
      <c r="AR361" s="533"/>
      <c r="AS361" s="533"/>
      <c r="AT361" s="533"/>
      <c r="AU361" s="533"/>
    </row>
    <row r="362" spans="1:47" ht="13.5" customHeight="1" x14ac:dyDescent="0.25">
      <c r="A362" s="35"/>
      <c r="B362" s="586" t="s">
        <v>510</v>
      </c>
      <c r="C362" s="709" t="s">
        <v>19</v>
      </c>
      <c r="D362" s="641"/>
      <c r="E362" s="878"/>
      <c r="F362" s="739" t="s">
        <v>20</v>
      </c>
      <c r="G362" s="118" t="s">
        <v>21</v>
      </c>
      <c r="H362" s="119"/>
      <c r="I362" s="37"/>
      <c r="J362" s="38">
        <f>IF(VLOOKUP(C362,A!A$1:O$669,11,FALSE)="y",1,0)</f>
        <v>1</v>
      </c>
      <c r="K362" s="38">
        <f>IF(VLOOKUP(C362,A!A$1:O$669,12,FALSE)="y",1,0)</f>
        <v>1</v>
      </c>
      <c r="L362" s="39" t="str">
        <f>IF(VLOOKUP(C362,A!A$1:O$669,10,FALSE)="y","NEW","")</f>
        <v/>
      </c>
      <c r="M362" s="37">
        <f>VLOOKUP(C362,A!A$1:O$669,13,FALSE)</f>
        <v>0</v>
      </c>
      <c r="N362" s="40" t="s">
        <v>22</v>
      </c>
      <c r="O362" s="533" t="str">
        <f>VLOOKUP(C362,A!A$1:O$669,9,FALSE)</f>
        <v>y</v>
      </c>
      <c r="P362" s="533" t="s">
        <v>1249</v>
      </c>
      <c r="Q362" s="533"/>
      <c r="R362" s="533"/>
      <c r="S362" s="533">
        <f>A362+Y362</f>
        <v>0</v>
      </c>
      <c r="T362" s="533"/>
      <c r="U362" s="533">
        <v>0.1</v>
      </c>
      <c r="V362" s="533"/>
      <c r="W362" s="533"/>
      <c r="X362" s="533">
        <f>IF(V362&lt;&gt;"",COUNTIF(V$46:V362,V362)-1,0)</f>
        <v>0</v>
      </c>
      <c r="Y362" s="533">
        <f>SUM(A15:A24)*8+A25*11</f>
        <v>0</v>
      </c>
      <c r="Z362" s="533"/>
      <c r="AA362" s="533"/>
      <c r="AB362" s="533">
        <f>S362</f>
        <v>0</v>
      </c>
      <c r="AC362" s="533">
        <f>AB362-SUM(AB363:AB487)</f>
        <v>0</v>
      </c>
      <c r="AD362" s="533"/>
      <c r="AE362" s="533"/>
      <c r="AF362" s="533"/>
      <c r="AG362" s="533"/>
      <c r="AH362" s="533"/>
      <c r="AI362" s="533"/>
      <c r="AJ362" s="533"/>
      <c r="AK362" s="533"/>
      <c r="AL362" s="533"/>
      <c r="AM362" s="533"/>
      <c r="AN362" s="533"/>
      <c r="AO362" s="533"/>
      <c r="AP362" s="533"/>
      <c r="AQ362" s="533"/>
      <c r="AR362" s="533"/>
      <c r="AS362" s="533"/>
      <c r="AT362" s="533"/>
      <c r="AU362" s="533"/>
    </row>
    <row r="363" spans="1:47" ht="13.5" hidden="1" customHeight="1" x14ac:dyDescent="0.25">
      <c r="A363" s="41"/>
      <c r="B363" s="104" t="s">
        <v>510</v>
      </c>
      <c r="C363" s="695" t="s">
        <v>27</v>
      </c>
      <c r="D363" s="324"/>
      <c r="E363" s="711"/>
      <c r="F363" s="740" t="s">
        <v>629</v>
      </c>
      <c r="G363" s="26" t="s">
        <v>29</v>
      </c>
      <c r="H363" s="27">
        <f>VLOOKUP(C363,A!A$1:O$669,15,FALSE)</f>
        <v>2</v>
      </c>
      <c r="I363" s="27"/>
      <c r="J363" s="28">
        <f>IF(VLOOKUP(C363,A!A$1:O$669,11,FALSE)="y",1,0)</f>
        <v>0</v>
      </c>
      <c r="K363" s="28">
        <f>IF(VLOOKUP(C363,A!A$1:O$669,12,FALSE)="y",1,0)</f>
        <v>0</v>
      </c>
      <c r="L363" s="544" t="str">
        <f>IF(T363&lt;35,"Low",IF(T363&gt;40,"High","Med"))</f>
        <v>Med</v>
      </c>
      <c r="M363" s="27">
        <f>VLOOKUP(C363,A!A$1:O$669,13,FALSE)</f>
        <v>0</v>
      </c>
      <c r="N363" s="44">
        <v>2</v>
      </c>
      <c r="O363" s="533">
        <f>VLOOKUP(C363,A!A$1:O$669,9,FALSE)</f>
        <v>0</v>
      </c>
      <c r="P363" s="533" t="s">
        <v>1249</v>
      </c>
      <c r="Q363" s="533" t="str">
        <f>IF(S363=0,"",COUNTIF(Q$12:Q362,"&gt;0")+1)</f>
        <v/>
      </c>
      <c r="R363" s="533" t="str">
        <f>IF(S363=0,"",COUNTIF(R$12:R362,"&gt;0")+1)</f>
        <v/>
      </c>
      <c r="S363" s="533">
        <f t="shared" ref="S363:S381" si="76">A363+Y363+AB363+AC363</f>
        <v>0</v>
      </c>
      <c r="T363" s="533">
        <f>VLOOKUP(C363,A!A$1:AH$669,32,FALSE)</f>
        <v>40</v>
      </c>
      <c r="U363" s="533">
        <v>0.11</v>
      </c>
      <c r="V363" s="533"/>
      <c r="W363" s="533" t="str">
        <f t="shared" ref="W363:W383" si="77">IF(AND(V363&lt;&gt;"",O363=0),"Check",IF(AND(V363=0,O363="Y"),"Check",""))</f>
        <v/>
      </c>
      <c r="X363" s="533">
        <f>IF(V363&lt;&gt;"",COUNTIF(V$46:V363,V363)-1,0)</f>
        <v>0</v>
      </c>
      <c r="Y363" s="533"/>
      <c r="Z363" s="533" t="str">
        <f>IFERROR(IF(O363="y",H363*-100-A363*1000-T363,""),"")</f>
        <v/>
      </c>
      <c r="AA363" s="533" t="str">
        <f>IFERROR(RANK(Z363,Z$363:Z$487,0)+COUNTIF(Z$363:Z363,Z363)-1,"")</f>
        <v/>
      </c>
      <c r="AB363" s="533">
        <f>IF(AA363&lt;=AB$362,1,0)</f>
        <v>0</v>
      </c>
      <c r="AC363" s="533">
        <f>IF(AA363&lt;=AC$362,1,0)</f>
        <v>0</v>
      </c>
      <c r="AD363" s="533"/>
      <c r="AE363" s="533"/>
      <c r="AF363" s="533"/>
      <c r="AG363" s="533"/>
      <c r="AH363" s="533"/>
      <c r="AI363" s="533"/>
      <c r="AJ363" s="533"/>
      <c r="AK363" s="533"/>
      <c r="AL363" s="533"/>
      <c r="AM363" s="533"/>
      <c r="AN363" s="533"/>
      <c r="AO363" s="533"/>
      <c r="AP363" s="533"/>
      <c r="AQ363" s="533"/>
      <c r="AR363" s="533"/>
      <c r="AS363" s="533"/>
      <c r="AT363" s="533"/>
      <c r="AU363" s="533"/>
    </row>
    <row r="364" spans="1:47" ht="13.5" hidden="1" customHeight="1" x14ac:dyDescent="0.25">
      <c r="A364" s="41"/>
      <c r="B364" s="104" t="s">
        <v>510</v>
      </c>
      <c r="C364" s="695" t="s">
        <v>33</v>
      </c>
      <c r="D364" s="642"/>
      <c r="E364" s="711"/>
      <c r="F364" s="740" t="s">
        <v>630</v>
      </c>
      <c r="G364" s="26" t="s">
        <v>35</v>
      </c>
      <c r="H364" s="27">
        <v>2</v>
      </c>
      <c r="I364" s="27"/>
      <c r="J364" s="28">
        <f>IF(VLOOKUP(C364,A!A$1:O$669,11,FALSE)="y",1,0)</f>
        <v>0</v>
      </c>
      <c r="K364" s="28">
        <f>IF(VLOOKUP(C364,A!A$1:O$669,12,FALSE)="y",1,0)</f>
        <v>0</v>
      </c>
      <c r="L364" s="544" t="str">
        <f>IF(T364&lt;35,"Low",IF(T364&gt;40,"High","Med"))</f>
        <v>Low</v>
      </c>
      <c r="M364" s="27">
        <f>VLOOKUP(C364,A!A$1:O$669,13,FALSE)</f>
        <v>0</v>
      </c>
      <c r="N364" s="44" t="s">
        <v>31</v>
      </c>
      <c r="O364" s="533">
        <f>VLOOKUP(C364,A!A$1:O$669,9,FALSE)</f>
        <v>0</v>
      </c>
      <c r="P364" s="533" t="s">
        <v>1249</v>
      </c>
      <c r="Q364" s="533" t="str">
        <f>IF(S364=0,"",COUNTIF(Q$12:Q363,"&gt;0")+1)</f>
        <v/>
      </c>
      <c r="R364" s="533" t="str">
        <f>IF(S364=0,"",COUNTIF(R$12:R363,"&gt;0")+1)</f>
        <v/>
      </c>
      <c r="S364" s="533">
        <f t="shared" si="76"/>
        <v>0</v>
      </c>
      <c r="T364" s="533">
        <f>VLOOKUP(C364,A!A$1:AH$669,32,FALSE)</f>
        <v>0</v>
      </c>
      <c r="U364" s="533">
        <v>0.11</v>
      </c>
      <c r="V364" s="533"/>
      <c r="W364" s="533" t="str">
        <f t="shared" si="77"/>
        <v/>
      </c>
      <c r="X364" s="533">
        <f>IF(V364&lt;&gt;"",COUNTIF(V$46:V364,V364)-1,0)</f>
        <v>0</v>
      </c>
      <c r="Y364" s="533"/>
      <c r="Z364" s="533" t="str">
        <f>IFERROR(IF(O364="y",H364*-100-A364*1000-T364,""),"")</f>
        <v/>
      </c>
      <c r="AA364" s="533" t="str">
        <f>IFERROR(RANK(Z364,Z$363:Z$487,0)+COUNTIF(Z$363:Z364,Z364)-1,"")</f>
        <v/>
      </c>
      <c r="AB364" s="533">
        <f t="shared" ref="AB364:AB435" si="78">IF(AA364&lt;=AB$362,1,0)</f>
        <v>0</v>
      </c>
      <c r="AC364" s="533">
        <f t="shared" ref="AC364:AC435" si="79">IF(AA364&lt;=AC$362,1,0)</f>
        <v>0</v>
      </c>
      <c r="AD364" s="533"/>
      <c r="AE364" s="533"/>
      <c r="AF364" s="533"/>
      <c r="AG364" s="533"/>
      <c r="AH364" s="533"/>
      <c r="AI364" s="533"/>
      <c r="AJ364" s="533"/>
      <c r="AK364" s="533"/>
      <c r="AL364" s="533"/>
      <c r="AM364" s="533"/>
      <c r="AN364" s="533"/>
      <c r="AO364" s="533"/>
      <c r="AP364" s="533"/>
      <c r="AQ364" s="533"/>
      <c r="AR364" s="533"/>
      <c r="AS364" s="533"/>
      <c r="AT364" s="533"/>
      <c r="AU364" s="533"/>
    </row>
    <row r="365" spans="1:47" ht="12.75" hidden="1" customHeight="1" x14ac:dyDescent="0.25">
      <c r="A365" s="41"/>
      <c r="B365" s="104" t="s">
        <v>510</v>
      </c>
      <c r="C365" s="695" t="s">
        <v>36</v>
      </c>
      <c r="D365" s="642"/>
      <c r="E365" s="711"/>
      <c r="F365" s="740" t="s">
        <v>37</v>
      </c>
      <c r="G365" s="26" t="s">
        <v>38</v>
      </c>
      <c r="H365" s="27">
        <f>VLOOKUP(C365,A!A$1:O$669,15,FALSE)</f>
        <v>0</v>
      </c>
      <c r="I365" s="27"/>
      <c r="J365" s="28">
        <f>IF(VLOOKUP(C365,A!A$1:O$669,11,FALSE)="y",1,0)</f>
        <v>0</v>
      </c>
      <c r="K365" s="28">
        <f>IF(VLOOKUP(C365,A!A$1:O$669,12,FALSE)="y",1,0)</f>
        <v>0</v>
      </c>
      <c r="L365" s="544" t="str">
        <f>IF(T365&lt;35,"Low",IF(T365&gt;40,"High","Med"))</f>
        <v>Low</v>
      </c>
      <c r="M365" s="27">
        <f>VLOOKUP(C365,A!A$1:O$669,13,FALSE)</f>
        <v>0</v>
      </c>
      <c r="N365" s="44" t="s">
        <v>39</v>
      </c>
      <c r="O365" s="533">
        <f>VLOOKUP(C365,A!A$1:O$669,9,FALSE)</f>
        <v>0</v>
      </c>
      <c r="P365" s="533" t="s">
        <v>1249</v>
      </c>
      <c r="Q365" s="533" t="str">
        <f>IF(S365=0,"",COUNTIF(Q$12:Q364,"&gt;0")+1)</f>
        <v/>
      </c>
      <c r="R365" s="533" t="str">
        <f>IF(S365=0,"",COUNTIF(R$12:R364,"&gt;0")+1)</f>
        <v/>
      </c>
      <c r="S365" s="533">
        <f t="shared" si="76"/>
        <v>0</v>
      </c>
      <c r="T365" s="533">
        <f>VLOOKUP(C365,A!A$1:AH$669,32,FALSE)</f>
        <v>0</v>
      </c>
      <c r="U365" s="533">
        <v>0.11</v>
      </c>
      <c r="V365" s="533"/>
      <c r="W365" s="533" t="str">
        <f t="shared" si="77"/>
        <v/>
      </c>
      <c r="X365" s="533">
        <f>IF(V365&lt;&gt;"",COUNTIF(V$46:V365,V365)-1,0)</f>
        <v>0</v>
      </c>
      <c r="Y365" s="533"/>
      <c r="Z365" s="533" t="str">
        <f>IFERROR(IF(O365="y",H365*-100-A365*1000-T365,""),"")</f>
        <v/>
      </c>
      <c r="AA365" s="533" t="str">
        <f>IFERROR(RANK(Z365,Z$363:Z$487,0)+COUNTIF(Z$363:Z365,Z365)-1,"")</f>
        <v/>
      </c>
      <c r="AB365" s="533">
        <f t="shared" si="78"/>
        <v>0</v>
      </c>
      <c r="AC365" s="533">
        <f t="shared" si="79"/>
        <v>0</v>
      </c>
      <c r="AD365" s="533"/>
      <c r="AE365" s="533"/>
      <c r="AF365" s="533"/>
      <c r="AG365" s="533"/>
      <c r="AH365" s="533"/>
      <c r="AI365" s="533"/>
      <c r="AJ365" s="533"/>
      <c r="AK365" s="533"/>
      <c r="AL365" s="533"/>
      <c r="AM365" s="533"/>
      <c r="AN365" s="533"/>
      <c r="AO365" s="533"/>
      <c r="AP365" s="533"/>
      <c r="AQ365" s="533"/>
      <c r="AR365" s="533"/>
      <c r="AS365" s="533"/>
      <c r="AT365" s="533"/>
      <c r="AU365" s="533"/>
    </row>
    <row r="366" spans="1:47" ht="13.5" customHeight="1" x14ac:dyDescent="0.25">
      <c r="A366" s="41"/>
      <c r="B366" s="104" t="s">
        <v>510</v>
      </c>
      <c r="C366" s="695" t="s">
        <v>40</v>
      </c>
      <c r="D366" s="727"/>
      <c r="E366" s="828"/>
      <c r="F366" s="740" t="s">
        <v>41</v>
      </c>
      <c r="G366" s="26" t="s">
        <v>42</v>
      </c>
      <c r="H366" s="27">
        <f>VLOOKUP(C366,A!A$1:O$669,15,FALSE)</f>
        <v>1</v>
      </c>
      <c r="I366" s="27"/>
      <c r="J366" s="28">
        <f>IF(VLOOKUP(C366,A!A$1:O$669,11,FALSE)="y",1,0)</f>
        <v>1</v>
      </c>
      <c r="K366" s="28">
        <f>IF(VLOOKUP(C366,A!A$1:O$669,12,FALSE)="y",1,0)</f>
        <v>1</v>
      </c>
      <c r="L366" s="544" t="str">
        <f t="shared" ref="L366:L435" si="80">IF(T366&lt;35,"Low",IF(T366&gt;40,"High","Med"))</f>
        <v>Med</v>
      </c>
      <c r="M366" s="27">
        <f>VLOOKUP(C366,A!A$1:O$669,13,FALSE)</f>
        <v>0</v>
      </c>
      <c r="N366" s="44" t="s">
        <v>39</v>
      </c>
      <c r="O366" s="533" t="str">
        <f>VLOOKUP(C366,A!A$1:O$669,9,FALSE)</f>
        <v>y</v>
      </c>
      <c r="P366" s="533" t="s">
        <v>1249</v>
      </c>
      <c r="Q366" s="533" t="str">
        <f>IF(S366=0,"",COUNTIF(Q$12:Q365,"&gt;0")+1)</f>
        <v/>
      </c>
      <c r="R366" s="533" t="str">
        <f>IF(S366=0,"",COUNTIF(R$12:R365,"&gt;0")+1)</f>
        <v/>
      </c>
      <c r="S366" s="533">
        <f>A366+Y366+AB366+AC366</f>
        <v>0</v>
      </c>
      <c r="T366" s="533">
        <f>VLOOKUP(C366,A!A$1:AH$669,32,FALSE)</f>
        <v>35</v>
      </c>
      <c r="U366" s="533">
        <v>0.1</v>
      </c>
      <c r="V366" s="533">
        <v>80</v>
      </c>
      <c r="W366" s="533" t="str">
        <f t="shared" si="77"/>
        <v/>
      </c>
      <c r="X366" s="533">
        <f>IF(V366&lt;&gt;"",COUNTIF(V$46:V366,V366)-1,0)</f>
        <v>0</v>
      </c>
      <c r="Y366" s="533"/>
      <c r="Z366" s="533">
        <f t="shared" ref="Z366:Z383" si="81">IFERROR(IF(AND(O366="y",IF(AND(A366&lt;&gt;"",A366=0),0,1)),H366*-100-A366*1000-T366,""),"")</f>
        <v>-135</v>
      </c>
      <c r="AA366" s="533">
        <f>IFERROR(RANK(Z366,Z$363:Z$487,0)+COUNTIF(Z$363:Z366,Z366)-1,"")</f>
        <v>1</v>
      </c>
      <c r="AB366" s="533">
        <f t="shared" si="78"/>
        <v>0</v>
      </c>
      <c r="AC366" s="533">
        <f t="shared" si="79"/>
        <v>0</v>
      </c>
      <c r="AD366" s="533"/>
      <c r="AE366" s="533"/>
      <c r="AF366" s="533"/>
      <c r="AG366" s="533"/>
      <c r="AH366" s="533"/>
      <c r="AI366" s="533"/>
      <c r="AJ366" s="533"/>
      <c r="AK366" s="533"/>
      <c r="AL366" s="533"/>
      <c r="AM366" s="533"/>
      <c r="AN366" s="533"/>
      <c r="AO366" s="533"/>
      <c r="AP366" s="533"/>
      <c r="AQ366" s="533"/>
      <c r="AR366" s="533"/>
      <c r="AS366" s="533"/>
      <c r="AT366" s="533"/>
      <c r="AU366" s="533"/>
    </row>
    <row r="367" spans="1:47" ht="13.5" hidden="1" customHeight="1" x14ac:dyDescent="0.25">
      <c r="A367" s="41"/>
      <c r="B367" s="104" t="s">
        <v>510</v>
      </c>
      <c r="C367" s="695" t="s">
        <v>43</v>
      </c>
      <c r="D367" s="727"/>
      <c r="E367" s="828"/>
      <c r="F367" s="740" t="s">
        <v>1001</v>
      </c>
      <c r="G367" s="26" t="s">
        <v>45</v>
      </c>
      <c r="H367" s="27">
        <f>VLOOKUP(C367,A!A$1:O$669,15,FALSE)</f>
        <v>2</v>
      </c>
      <c r="I367" s="27"/>
      <c r="J367" s="28">
        <f>IF(VLOOKUP(C367,A!A$1:O$669,11,FALSE)="y",1,0)</f>
        <v>1</v>
      </c>
      <c r="K367" s="28">
        <f>IF(VLOOKUP(C367,A!A$1:O$669,12,FALSE)="y",1,0)</f>
        <v>1</v>
      </c>
      <c r="L367" s="544" t="str">
        <f t="shared" si="80"/>
        <v>Med</v>
      </c>
      <c r="M367" s="27">
        <f>VLOOKUP(C367,A!A$1:O$669,13,FALSE)</f>
        <v>0</v>
      </c>
      <c r="N367" s="44" t="s">
        <v>39</v>
      </c>
      <c r="O367" s="533">
        <f>VLOOKUP(C367,A!A$1:O$669,9,FALSE)</f>
        <v>0</v>
      </c>
      <c r="P367" s="533" t="s">
        <v>1249</v>
      </c>
      <c r="Q367" s="533" t="str">
        <f>IF(S367=0,"",COUNTIF(Q$12:Q366,"&gt;0")+1)</f>
        <v/>
      </c>
      <c r="R367" s="533" t="str">
        <f>IF(S367=0,"",COUNTIF(R$12:R366,"&gt;0")+1)</f>
        <v/>
      </c>
      <c r="S367" s="533">
        <f t="shared" si="76"/>
        <v>0</v>
      </c>
      <c r="T367" s="533">
        <f>VLOOKUP(C367,A!A$1:AH$669,32,FALSE)</f>
        <v>35</v>
      </c>
      <c r="U367" s="533">
        <v>0.1</v>
      </c>
      <c r="V367" s="533"/>
      <c r="W367" s="533" t="str">
        <f t="shared" si="77"/>
        <v/>
      </c>
      <c r="X367" s="533">
        <f>IF(V367&lt;&gt;"",COUNTIF(V$46:V367,V367)-1,0)</f>
        <v>0</v>
      </c>
      <c r="Y367" s="533"/>
      <c r="Z367" s="533" t="str">
        <f t="shared" si="81"/>
        <v/>
      </c>
      <c r="AA367" s="533" t="str">
        <f>IFERROR(RANK(Z367,Z$363:Z$487,0)+COUNTIF(Z$363:Z367,Z367)-1,"")</f>
        <v/>
      </c>
      <c r="AB367" s="533">
        <f t="shared" si="78"/>
        <v>0</v>
      </c>
      <c r="AC367" s="533">
        <f>IF(AA367&lt;=AC$362,1,0)</f>
        <v>0</v>
      </c>
      <c r="AD367" s="533"/>
      <c r="AE367" s="533"/>
      <c r="AF367" s="533"/>
      <c r="AG367" s="533"/>
      <c r="AH367" s="533"/>
      <c r="AI367" s="533"/>
      <c r="AJ367" s="533"/>
      <c r="AK367" s="533"/>
      <c r="AL367" s="533"/>
      <c r="AM367" s="533"/>
      <c r="AN367" s="533"/>
      <c r="AO367" s="533"/>
      <c r="AP367" s="533"/>
      <c r="AQ367" s="533"/>
      <c r="AR367" s="533"/>
      <c r="AS367" s="533"/>
      <c r="AT367" s="533"/>
      <c r="AU367" s="533"/>
    </row>
    <row r="368" spans="1:47" ht="13.5" hidden="1" customHeight="1" x14ac:dyDescent="0.25">
      <c r="A368" s="303"/>
      <c r="B368" s="599" t="s">
        <v>510</v>
      </c>
      <c r="C368" s="697" t="s">
        <v>49</v>
      </c>
      <c r="D368" s="732"/>
      <c r="E368" s="1063"/>
      <c r="F368" s="741" t="s">
        <v>50</v>
      </c>
      <c r="G368" s="291" t="s">
        <v>51</v>
      </c>
      <c r="H368" s="128">
        <v>1</v>
      </c>
      <c r="I368" s="128"/>
      <c r="J368" s="193">
        <f>IF(VLOOKUP(C368,A!A$1:O$669,11,FALSE)="y",1,0)</f>
        <v>0</v>
      </c>
      <c r="K368" s="193">
        <f>IF(VLOOKUP(C368,A!A$1:O$669,12,FALSE)="y",1,0)</f>
        <v>0</v>
      </c>
      <c r="L368" s="634" t="str">
        <f t="shared" si="80"/>
        <v>Low</v>
      </c>
      <c r="M368" s="128">
        <f>VLOOKUP(C368,A!A$1:O$669,13,FALSE)</f>
        <v>0</v>
      </c>
      <c r="N368" s="304" t="s">
        <v>39</v>
      </c>
      <c r="O368" s="533">
        <f>VLOOKUP(C368,A!A$1:O$669,9,FALSE)</f>
        <v>0</v>
      </c>
      <c r="P368" s="533" t="s">
        <v>1249</v>
      </c>
      <c r="Q368" s="533" t="str">
        <f>IF(S368=0,"",COUNTIF(Q$12:Q367,"&gt;0")+1)</f>
        <v/>
      </c>
      <c r="R368" s="533" t="str">
        <f>IF(S368=0,"",COUNTIF(R$12:R367,"&gt;0")+1)</f>
        <v/>
      </c>
      <c r="S368" s="533">
        <f t="shared" si="76"/>
        <v>0</v>
      </c>
      <c r="T368" s="533">
        <f>VLOOKUP(C368,A!A$1:AH$669,32,FALSE)</f>
        <v>0</v>
      </c>
      <c r="U368" s="533">
        <v>0.1</v>
      </c>
      <c r="V368" s="533"/>
      <c r="W368" s="533" t="str">
        <f>IF(AND(V368&lt;&gt;"",O368=0),"Check",IF(AND(V368=0,O368="Y"),"Check",""))</f>
        <v/>
      </c>
      <c r="X368" s="533">
        <f>IF(V368&lt;&gt;"",COUNTIF(V$46:V368,V368)-1,0)</f>
        <v>0</v>
      </c>
      <c r="Y368" s="533"/>
      <c r="Z368" s="533" t="str">
        <f t="shared" si="81"/>
        <v/>
      </c>
      <c r="AA368" s="533" t="str">
        <f>IFERROR(RANK(Z368,Z$363:Z$487,0)+COUNTIF(Z$363:Z368,Z368)-1,"")</f>
        <v/>
      </c>
      <c r="AB368" s="533">
        <f t="shared" si="78"/>
        <v>0</v>
      </c>
      <c r="AC368" s="533">
        <f t="shared" si="79"/>
        <v>0</v>
      </c>
      <c r="AD368" s="533"/>
      <c r="AE368" s="533"/>
      <c r="AF368" s="533"/>
      <c r="AG368" s="533"/>
      <c r="AH368" s="533"/>
      <c r="AI368" s="533"/>
      <c r="AJ368" s="533"/>
      <c r="AK368" s="533"/>
      <c r="AL368" s="533"/>
      <c r="AM368" s="533"/>
      <c r="AN368" s="533"/>
      <c r="AO368" s="533"/>
      <c r="AP368" s="533"/>
      <c r="AQ368" s="533"/>
      <c r="AR368" s="533"/>
      <c r="AS368" s="533"/>
      <c r="AT368" s="533"/>
      <c r="AU368" s="533"/>
    </row>
    <row r="369" spans="1:47" ht="13.5" hidden="1" customHeight="1" x14ac:dyDescent="0.25">
      <c r="A369" s="318"/>
      <c r="B369" s="600" t="s">
        <v>510</v>
      </c>
      <c r="C369" s="841" t="s">
        <v>52</v>
      </c>
      <c r="D369" s="1064"/>
      <c r="E369" s="1065"/>
      <c r="F369" s="742" t="s">
        <v>53</v>
      </c>
      <c r="G369" s="319" t="s">
        <v>54</v>
      </c>
      <c r="H369" s="320">
        <f>VLOOKUP(C369,A!A$1:O$669,15,FALSE)</f>
        <v>1</v>
      </c>
      <c r="I369" s="320" t="s">
        <v>30</v>
      </c>
      <c r="J369" s="321">
        <f>IF(VLOOKUP(C369,A!A$1:O$669,11,FALSE)="y",1,0)</f>
        <v>0</v>
      </c>
      <c r="K369" s="321">
        <f>IF(VLOOKUP(C369,A!A$1:O$669,12,FALSE)="y",1,0)</f>
        <v>0</v>
      </c>
      <c r="L369" s="635" t="str">
        <f t="shared" si="80"/>
        <v>Low</v>
      </c>
      <c r="M369" s="320">
        <f>VLOOKUP(C369,A!A$1:O$669,13,FALSE)</f>
        <v>0</v>
      </c>
      <c r="N369" s="322" t="s">
        <v>39</v>
      </c>
      <c r="O369" s="533">
        <f>VLOOKUP(C369,A!A$1:O$669,9,FALSE)</f>
        <v>0</v>
      </c>
      <c r="P369" s="533" t="s">
        <v>1249</v>
      </c>
      <c r="Q369" s="533" t="str">
        <f>IF(S369=0,"",COUNTIF(Q$12:Q368,"&gt;0")+1)</f>
        <v/>
      </c>
      <c r="R369" s="533" t="str">
        <f>IF(S369=0,"",COUNTIF(R$12:R368,"&gt;0")+1)</f>
        <v/>
      </c>
      <c r="S369" s="533">
        <f t="shared" si="76"/>
        <v>0</v>
      </c>
      <c r="T369" s="533">
        <f>VLOOKUP(C369,A!A$1:AH$669,32,FALSE)</f>
        <v>0</v>
      </c>
      <c r="U369" s="533">
        <v>0.1</v>
      </c>
      <c r="V369" s="533"/>
      <c r="W369" s="533" t="str">
        <f t="shared" si="77"/>
        <v/>
      </c>
      <c r="X369" s="533">
        <f>IF(V369&lt;&gt;"",COUNTIF(V$46:V369,V369)-1,0)</f>
        <v>0</v>
      </c>
      <c r="Y369" s="533"/>
      <c r="Z369" s="533" t="str">
        <f t="shared" si="81"/>
        <v/>
      </c>
      <c r="AA369" s="533" t="str">
        <f>IFERROR(RANK(Z369,Z$363:Z$487,0)+COUNTIF(Z$363:Z369,Z369)-1,"")</f>
        <v/>
      </c>
      <c r="AB369" s="533">
        <f t="shared" si="78"/>
        <v>0</v>
      </c>
      <c r="AC369" s="533">
        <f t="shared" si="79"/>
        <v>0</v>
      </c>
      <c r="AD369" s="533"/>
      <c r="AE369" s="533"/>
      <c r="AF369" s="533"/>
      <c r="AG369" s="533"/>
      <c r="AH369" s="533"/>
      <c r="AI369" s="533"/>
      <c r="AJ369" s="533"/>
      <c r="AK369" s="533"/>
      <c r="AL369" s="533"/>
      <c r="AM369" s="533"/>
      <c r="AN369" s="533"/>
      <c r="AO369" s="533"/>
      <c r="AP369" s="533"/>
      <c r="AQ369" s="533"/>
      <c r="AR369" s="533"/>
      <c r="AS369" s="533"/>
      <c r="AT369" s="533"/>
      <c r="AU369" s="533"/>
    </row>
    <row r="370" spans="1:47" ht="12.75" hidden="1" customHeight="1" x14ac:dyDescent="0.25">
      <c r="A370" s="41"/>
      <c r="B370" s="104" t="s">
        <v>510</v>
      </c>
      <c r="C370" s="695" t="s">
        <v>55</v>
      </c>
      <c r="D370" s="727"/>
      <c r="E370" s="828"/>
      <c r="F370" s="740" t="s">
        <v>56</v>
      </c>
      <c r="G370" s="26" t="s">
        <v>57</v>
      </c>
      <c r="H370" s="27">
        <f>VLOOKUP(C370,A!A$1:O$669,15,FALSE)</f>
        <v>2</v>
      </c>
      <c r="I370" s="27"/>
      <c r="J370" s="28">
        <f>IF(VLOOKUP(C370,A!A$1:O$669,11,FALSE)="y",1,0)</f>
        <v>0</v>
      </c>
      <c r="K370" s="28">
        <f>IF(VLOOKUP(C370,A!A$1:O$669,12,FALSE)="y",1,0)</f>
        <v>0</v>
      </c>
      <c r="L370" s="544" t="str">
        <f t="shared" si="80"/>
        <v>Low</v>
      </c>
      <c r="M370" s="27">
        <f>VLOOKUP(C370,A!A$1:O$669,13,FALSE)</f>
        <v>0</v>
      </c>
      <c r="N370" s="44" t="s">
        <v>39</v>
      </c>
      <c r="O370" s="533">
        <f>VLOOKUP(C370,A!A$1:O$669,9,FALSE)</f>
        <v>0</v>
      </c>
      <c r="P370" s="533" t="s">
        <v>1249</v>
      </c>
      <c r="Q370" s="533" t="str">
        <f>IF(S370=0,"",COUNTIF(Q$12:Q369,"&gt;0")+1)</f>
        <v/>
      </c>
      <c r="R370" s="533" t="str">
        <f>IF(S370=0,"",COUNTIF(R$12:R369,"&gt;0")+1)</f>
        <v/>
      </c>
      <c r="S370" s="533">
        <f t="shared" si="76"/>
        <v>0</v>
      </c>
      <c r="T370" s="533">
        <f>VLOOKUP(C370,A!A$1:AH$669,32,FALSE)</f>
        <v>0</v>
      </c>
      <c r="U370" s="533">
        <v>0.1</v>
      </c>
      <c r="V370" s="533"/>
      <c r="W370" s="533" t="str">
        <f t="shared" si="77"/>
        <v/>
      </c>
      <c r="X370" s="533">
        <f>IF(V370&lt;&gt;"",COUNTIF(V$46:V370,V370)-1,0)</f>
        <v>0</v>
      </c>
      <c r="Y370" s="533"/>
      <c r="Z370" s="533" t="str">
        <f t="shared" si="81"/>
        <v/>
      </c>
      <c r="AA370" s="533" t="str">
        <f>IFERROR(RANK(Z370,Z$363:Z$487,0)+COUNTIF(Z$363:Z370,Z370)-1,"")</f>
        <v/>
      </c>
      <c r="AB370" s="533">
        <f t="shared" si="78"/>
        <v>0</v>
      </c>
      <c r="AC370" s="533">
        <f t="shared" si="79"/>
        <v>0</v>
      </c>
      <c r="AD370" s="533"/>
      <c r="AE370" s="533"/>
      <c r="AF370" s="533"/>
      <c r="AG370" s="533"/>
      <c r="AH370" s="533"/>
      <c r="AI370" s="533"/>
      <c r="AJ370" s="533"/>
      <c r="AK370" s="533"/>
      <c r="AL370" s="533"/>
      <c r="AM370" s="533"/>
      <c r="AN370" s="533"/>
      <c r="AO370" s="533"/>
      <c r="AP370" s="533"/>
      <c r="AQ370" s="533"/>
      <c r="AR370" s="533"/>
      <c r="AS370" s="533"/>
      <c r="AT370" s="533"/>
      <c r="AU370" s="533"/>
    </row>
    <row r="371" spans="1:47" ht="12.75" hidden="1" customHeight="1" x14ac:dyDescent="0.25">
      <c r="A371" s="41"/>
      <c r="B371" s="104" t="s">
        <v>510</v>
      </c>
      <c r="C371" s="695" t="s">
        <v>61</v>
      </c>
      <c r="D371" s="727"/>
      <c r="E371" s="828"/>
      <c r="F371" s="740" t="s">
        <v>62</v>
      </c>
      <c r="G371" s="26" t="s">
        <v>63</v>
      </c>
      <c r="H371" s="27">
        <f>VLOOKUP(C371,A!A$1:O$669,15,FALSE)</f>
        <v>1</v>
      </c>
      <c r="I371" s="27"/>
      <c r="J371" s="28">
        <f>IF(VLOOKUP(C371,A!A$1:O$669,11,FALSE)="y",1,0)</f>
        <v>0</v>
      </c>
      <c r="K371" s="28">
        <f>IF(VLOOKUP(C371,A!A$1:O$669,12,FALSE)="y",1,0)</f>
        <v>0</v>
      </c>
      <c r="L371" s="544" t="str">
        <f t="shared" si="80"/>
        <v>Low</v>
      </c>
      <c r="M371" s="27">
        <f>VLOOKUP(C371,A!A$1:O$669,13,FALSE)</f>
        <v>0</v>
      </c>
      <c r="N371" s="44" t="s">
        <v>22</v>
      </c>
      <c r="O371" s="533">
        <f>VLOOKUP(C371,A!A$1:O$669,9,FALSE)</f>
        <v>0</v>
      </c>
      <c r="P371" s="533" t="s">
        <v>1249</v>
      </c>
      <c r="Q371" s="533" t="str">
        <f>IF(S371=0,"",COUNTIF(Q$12:Q370,"&gt;0")+1)</f>
        <v/>
      </c>
      <c r="R371" s="533" t="str">
        <f>IF(S371=0,"",COUNTIF(R$12:R370,"&gt;0")+1)</f>
        <v/>
      </c>
      <c r="S371" s="533">
        <f t="shared" si="76"/>
        <v>0</v>
      </c>
      <c r="T371" s="533">
        <f>VLOOKUP(C371,A!A$1:AH$669,32,FALSE)</f>
        <v>0</v>
      </c>
      <c r="U371" s="533">
        <v>0.1</v>
      </c>
      <c r="V371" s="533"/>
      <c r="W371" s="533" t="str">
        <f t="shared" si="77"/>
        <v/>
      </c>
      <c r="X371" s="533">
        <f>IF(V371&lt;&gt;"",COUNTIF(V$46:V371,V371)-1,0)</f>
        <v>0</v>
      </c>
      <c r="Y371" s="533"/>
      <c r="Z371" s="533" t="str">
        <f t="shared" si="81"/>
        <v/>
      </c>
      <c r="AA371" s="533" t="str">
        <f>IFERROR(RANK(Z371,Z$363:Z$487,0)+COUNTIF(Z$363:Z371,Z371)-1,"")</f>
        <v/>
      </c>
      <c r="AB371" s="533">
        <f t="shared" si="78"/>
        <v>0</v>
      </c>
      <c r="AC371" s="533">
        <f t="shared" si="79"/>
        <v>0</v>
      </c>
      <c r="AD371" s="533"/>
      <c r="AE371" s="533"/>
      <c r="AF371" s="533"/>
      <c r="AG371" s="533"/>
      <c r="AH371" s="533"/>
      <c r="AI371" s="533"/>
      <c r="AJ371" s="533"/>
      <c r="AK371" s="533"/>
      <c r="AL371" s="533"/>
      <c r="AM371" s="533"/>
      <c r="AN371" s="533"/>
      <c r="AO371" s="533"/>
      <c r="AP371" s="533"/>
      <c r="AQ371" s="533"/>
      <c r="AR371" s="533"/>
      <c r="AS371" s="533"/>
      <c r="AT371" s="533"/>
      <c r="AU371" s="533"/>
    </row>
    <row r="372" spans="1:47" ht="12.75" hidden="1" customHeight="1" x14ac:dyDescent="0.25">
      <c r="A372" s="41"/>
      <c r="B372" s="104" t="s">
        <v>510</v>
      </c>
      <c r="C372" s="695" t="s">
        <v>69</v>
      </c>
      <c r="D372" s="727"/>
      <c r="E372" s="828"/>
      <c r="F372" s="740" t="s">
        <v>70</v>
      </c>
      <c r="G372" s="26" t="s">
        <v>71</v>
      </c>
      <c r="H372" s="27">
        <f>VLOOKUP(C372,A!A$1:O$669,15,FALSE)</f>
        <v>2</v>
      </c>
      <c r="I372" s="27" t="s">
        <v>30</v>
      </c>
      <c r="J372" s="28">
        <f>IF(VLOOKUP(C372,A!A$1:O$669,11,FALSE)="y",1,0)</f>
        <v>0</v>
      </c>
      <c r="K372" s="28">
        <f>IF(VLOOKUP(C372,A!A$1:O$669,12,FALSE)="y",1,0)</f>
        <v>0</v>
      </c>
      <c r="L372" s="544" t="str">
        <f t="shared" si="80"/>
        <v>Low</v>
      </c>
      <c r="M372" s="27">
        <f>VLOOKUP(C372,A!A$1:O$669,13,FALSE)</f>
        <v>0</v>
      </c>
      <c r="N372" s="44" t="s">
        <v>31</v>
      </c>
      <c r="O372" s="533">
        <f>VLOOKUP(C372,A!A$1:O$669,9,FALSE)</f>
        <v>0</v>
      </c>
      <c r="P372" s="533" t="s">
        <v>1249</v>
      </c>
      <c r="Q372" s="533" t="str">
        <f>IF(S372=0,"",COUNTIF(Q$12:Q371,"&gt;0")+1)</f>
        <v/>
      </c>
      <c r="R372" s="533" t="str">
        <f>IF(S372=0,"",COUNTIF(R$12:R371,"&gt;0")+1)</f>
        <v/>
      </c>
      <c r="S372" s="533">
        <f t="shared" si="76"/>
        <v>0</v>
      </c>
      <c r="T372" s="533">
        <f>VLOOKUP(C372,A!A$1:AH$669,32,FALSE)</f>
        <v>0</v>
      </c>
      <c r="U372" s="533">
        <v>0.1</v>
      </c>
      <c r="V372" s="533"/>
      <c r="W372" s="533" t="str">
        <f t="shared" si="77"/>
        <v/>
      </c>
      <c r="X372" s="533">
        <f>IF(V372&lt;&gt;"",COUNTIF(V$46:V372,V372)-1,0)</f>
        <v>0</v>
      </c>
      <c r="Y372" s="533"/>
      <c r="Z372" s="533" t="str">
        <f t="shared" si="81"/>
        <v/>
      </c>
      <c r="AA372" s="533" t="str">
        <f>IFERROR(RANK(Z372,Z$363:Z$487,0)+COUNTIF(Z$363:Z372,Z372)-1,"")</f>
        <v/>
      </c>
      <c r="AB372" s="533">
        <f t="shared" si="78"/>
        <v>0</v>
      </c>
      <c r="AC372" s="533">
        <f t="shared" si="79"/>
        <v>0</v>
      </c>
      <c r="AD372" s="533"/>
      <c r="AE372" s="533"/>
      <c r="AF372" s="533"/>
      <c r="AG372" s="533"/>
      <c r="AH372" s="533"/>
      <c r="AI372" s="533"/>
      <c r="AJ372" s="533"/>
      <c r="AK372" s="533"/>
      <c r="AL372" s="533"/>
      <c r="AM372" s="533"/>
      <c r="AN372" s="533"/>
      <c r="AO372" s="533"/>
      <c r="AP372" s="533"/>
      <c r="AQ372" s="533"/>
      <c r="AR372" s="533"/>
      <c r="AS372" s="533"/>
      <c r="AT372" s="533"/>
      <c r="AU372" s="533"/>
    </row>
    <row r="373" spans="1:47" ht="12.75" hidden="1" customHeight="1" x14ac:dyDescent="0.25">
      <c r="A373" s="41"/>
      <c r="B373" s="104" t="s">
        <v>510</v>
      </c>
      <c r="C373" s="695" t="s">
        <v>72</v>
      </c>
      <c r="D373" s="727"/>
      <c r="E373" s="828"/>
      <c r="F373" s="740" t="s">
        <v>73</v>
      </c>
      <c r="G373" s="26" t="s">
        <v>74</v>
      </c>
      <c r="H373" s="27">
        <f>VLOOKUP(C373,A!A$1:O$669,15,FALSE)</f>
        <v>2</v>
      </c>
      <c r="I373" s="27"/>
      <c r="J373" s="28">
        <f>IF(VLOOKUP(C373,A!A$1:O$669,11,FALSE)="y",1,0)</f>
        <v>0</v>
      </c>
      <c r="K373" s="28">
        <f>IF(VLOOKUP(C373,A!A$1:O$669,12,FALSE)="y",1,0)</f>
        <v>0</v>
      </c>
      <c r="L373" s="544" t="str">
        <f t="shared" si="80"/>
        <v>Low</v>
      </c>
      <c r="M373" s="27">
        <f>VLOOKUP(C373,A!A$1:O$669,13,FALSE)</f>
        <v>0</v>
      </c>
      <c r="N373" s="44" t="s">
        <v>494</v>
      </c>
      <c r="O373" s="533">
        <f>VLOOKUP(C373,A!A$1:O$669,9,FALSE)</f>
        <v>0</v>
      </c>
      <c r="P373" s="533" t="s">
        <v>1249</v>
      </c>
      <c r="Q373" s="533" t="str">
        <f>IF(S373=0,"",COUNTIF(Q$12:Q372,"&gt;0")+1)</f>
        <v/>
      </c>
      <c r="R373" s="533" t="str">
        <f>IF(S373=0,"",COUNTIF(R$12:R372,"&gt;0")+1)</f>
        <v/>
      </c>
      <c r="S373" s="533">
        <f t="shared" si="76"/>
        <v>0</v>
      </c>
      <c r="T373" s="533">
        <f>VLOOKUP(C373,A!A$1:AH$669,32,FALSE)</f>
        <v>0</v>
      </c>
      <c r="U373" s="533">
        <v>0.1</v>
      </c>
      <c r="V373" s="533"/>
      <c r="W373" s="533" t="str">
        <f t="shared" si="77"/>
        <v/>
      </c>
      <c r="X373" s="533">
        <f>IF(V373&lt;&gt;"",COUNTIF(V$46:V373,V373)-1,0)</f>
        <v>0</v>
      </c>
      <c r="Y373" s="533"/>
      <c r="Z373" s="533" t="str">
        <f t="shared" si="81"/>
        <v/>
      </c>
      <c r="AA373" s="533" t="str">
        <f>IFERROR(RANK(Z373,Z$363:Z$487,0)+COUNTIF(Z$363:Z373,Z373)-1,"")</f>
        <v/>
      </c>
      <c r="AB373" s="533">
        <f t="shared" si="78"/>
        <v>0</v>
      </c>
      <c r="AC373" s="533">
        <f t="shared" si="79"/>
        <v>0</v>
      </c>
      <c r="AD373" s="533"/>
      <c r="AE373" s="533"/>
      <c r="AF373" s="533"/>
      <c r="AG373" s="533"/>
      <c r="AH373" s="533"/>
      <c r="AI373" s="533"/>
      <c r="AJ373" s="533"/>
      <c r="AK373" s="533"/>
      <c r="AL373" s="533"/>
      <c r="AM373" s="533"/>
      <c r="AN373" s="533"/>
      <c r="AO373" s="533"/>
      <c r="AP373" s="533"/>
      <c r="AQ373" s="533"/>
      <c r="AR373" s="533"/>
      <c r="AS373" s="533"/>
      <c r="AT373" s="533"/>
      <c r="AU373" s="533"/>
    </row>
    <row r="374" spans="1:47" ht="13.5" customHeight="1" x14ac:dyDescent="0.25">
      <c r="A374" s="41"/>
      <c r="B374" s="104" t="s">
        <v>510</v>
      </c>
      <c r="C374" s="695" t="s">
        <v>75</v>
      </c>
      <c r="D374" s="727"/>
      <c r="E374" s="828"/>
      <c r="F374" s="740" t="s">
        <v>76</v>
      </c>
      <c r="G374" s="26" t="s">
        <v>77</v>
      </c>
      <c r="H374" s="27">
        <f>VLOOKUP(C374,A!A$1:O$669,15,FALSE)</f>
        <v>1</v>
      </c>
      <c r="I374" s="27" t="s">
        <v>30</v>
      </c>
      <c r="J374" s="28">
        <f>IF(VLOOKUP(C374,A!A$1:O$669,11,FALSE)="y",1,0)</f>
        <v>1</v>
      </c>
      <c r="K374" s="28">
        <f>IF(VLOOKUP(C374,A!A$1:O$669,12,FALSE)="y",1,0)</f>
        <v>0</v>
      </c>
      <c r="L374" s="544" t="str">
        <f t="shared" si="80"/>
        <v>Med</v>
      </c>
      <c r="M374" s="27"/>
      <c r="N374" s="44" t="s">
        <v>1800</v>
      </c>
      <c r="O374" s="533" t="str">
        <f>VLOOKUP(C374,A!A$1:O$669,9,FALSE)</f>
        <v>y</v>
      </c>
      <c r="P374" s="533" t="s">
        <v>1249</v>
      </c>
      <c r="Q374" s="533" t="str">
        <f>IF(S374=0,"",COUNTIF(Q$12:Q373,"&gt;0")+1)</f>
        <v/>
      </c>
      <c r="R374" s="533" t="str">
        <f>IF(S374=0,"",COUNTIF(R$12:R373,"&gt;0")+1)</f>
        <v/>
      </c>
      <c r="S374" s="533">
        <f t="shared" si="76"/>
        <v>0</v>
      </c>
      <c r="T374" s="533">
        <f>VLOOKUP(C374,A!A$1:AH$669,32,FALSE)</f>
        <v>35</v>
      </c>
      <c r="U374" s="533">
        <v>0.1</v>
      </c>
      <c r="V374" s="533">
        <v>94</v>
      </c>
      <c r="W374" s="533" t="str">
        <f t="shared" si="77"/>
        <v/>
      </c>
      <c r="X374" s="533">
        <f>IF(V374&lt;&gt;"",COUNTIF(V$46:V374,V374)-1,0)</f>
        <v>0</v>
      </c>
      <c r="Y374" s="533"/>
      <c r="Z374" s="533">
        <f t="shared" si="81"/>
        <v>-135</v>
      </c>
      <c r="AA374" s="533">
        <f>IFERROR(RANK(Z374,Z$363:Z$487,0)+COUNTIF(Z$363:Z374,Z374)-1,"")</f>
        <v>2</v>
      </c>
      <c r="AB374" s="533">
        <f t="shared" si="78"/>
        <v>0</v>
      </c>
      <c r="AC374" s="533">
        <f t="shared" si="79"/>
        <v>0</v>
      </c>
      <c r="AD374" s="533"/>
      <c r="AE374" s="533"/>
      <c r="AF374" s="533"/>
      <c r="AG374" s="533"/>
      <c r="AH374" s="533"/>
      <c r="AI374" s="533"/>
      <c r="AJ374" s="533"/>
      <c r="AK374" s="533"/>
      <c r="AL374" s="533"/>
      <c r="AM374" s="533"/>
      <c r="AN374" s="533"/>
      <c r="AO374" s="533"/>
      <c r="AP374" s="533"/>
      <c r="AQ374" s="533"/>
      <c r="AR374" s="533"/>
      <c r="AS374" s="533"/>
      <c r="AT374" s="533"/>
      <c r="AU374" s="533"/>
    </row>
    <row r="375" spans="1:47" ht="12.75" hidden="1" customHeight="1" x14ac:dyDescent="0.25">
      <c r="A375" s="41"/>
      <c r="B375" s="104" t="s">
        <v>510</v>
      </c>
      <c r="C375" s="695" t="s">
        <v>78</v>
      </c>
      <c r="D375" s="727"/>
      <c r="E375" s="828"/>
      <c r="F375" s="740" t="s">
        <v>79</v>
      </c>
      <c r="G375" s="26" t="s">
        <v>80</v>
      </c>
      <c r="H375" s="27">
        <f>VLOOKUP(C375,A!A$1:O$669,15,FALSE)</f>
        <v>2</v>
      </c>
      <c r="I375" s="27"/>
      <c r="J375" s="28">
        <f>IF(VLOOKUP(C375,A!A$1:O$669,11,FALSE)="y",1,0)</f>
        <v>0</v>
      </c>
      <c r="K375" s="28">
        <f>IF(VLOOKUP(C375,A!A$1:O$669,12,FALSE)="y",1,0)</f>
        <v>0</v>
      </c>
      <c r="L375" s="544" t="str">
        <f t="shared" si="80"/>
        <v>Low</v>
      </c>
      <c r="M375" s="27">
        <f>VLOOKUP(C375,A!A$1:O$669,13,FALSE)</f>
        <v>0</v>
      </c>
      <c r="N375" s="44" t="s">
        <v>1801</v>
      </c>
      <c r="O375" s="533">
        <f>VLOOKUP(C375,A!A$1:O$669,9,FALSE)</f>
        <v>0</v>
      </c>
      <c r="P375" s="533" t="s">
        <v>1249</v>
      </c>
      <c r="Q375" s="533" t="str">
        <f>IF(S375=0,"",COUNTIF(Q$12:Q374,"&gt;0")+1)</f>
        <v/>
      </c>
      <c r="R375" s="533" t="str">
        <f>IF(S375=0,"",COUNTIF(R$12:R374,"&gt;0")+1)</f>
        <v/>
      </c>
      <c r="S375" s="533">
        <f t="shared" si="76"/>
        <v>0</v>
      </c>
      <c r="T375" s="533">
        <f>VLOOKUP(C375,A!A$1:AH$669,32,FALSE)</f>
        <v>0</v>
      </c>
      <c r="U375" s="533">
        <v>0.1</v>
      </c>
      <c r="V375" s="533"/>
      <c r="W375" s="533" t="str">
        <f t="shared" si="77"/>
        <v/>
      </c>
      <c r="X375" s="533">
        <f>IF(V375&lt;&gt;"",COUNTIF(V$46:V375,V375)-1,0)</f>
        <v>0</v>
      </c>
      <c r="Y375" s="533"/>
      <c r="Z375" s="533" t="str">
        <f t="shared" si="81"/>
        <v/>
      </c>
      <c r="AA375" s="533" t="str">
        <f>IFERROR(RANK(Z375,Z$363:Z$487,0)+COUNTIF(Z$363:Z375,Z375)-1,"")</f>
        <v/>
      </c>
      <c r="AB375" s="533">
        <f t="shared" si="78"/>
        <v>0</v>
      </c>
      <c r="AC375" s="533">
        <f t="shared" si="79"/>
        <v>0</v>
      </c>
      <c r="AD375" s="533"/>
      <c r="AE375" s="533"/>
      <c r="AF375" s="533"/>
      <c r="AG375" s="533"/>
      <c r="AH375" s="533"/>
      <c r="AI375" s="533"/>
      <c r="AJ375" s="533"/>
      <c r="AK375" s="533"/>
      <c r="AL375" s="533"/>
      <c r="AM375" s="533"/>
      <c r="AN375" s="533"/>
      <c r="AO375" s="533"/>
      <c r="AP375" s="533"/>
      <c r="AQ375" s="533"/>
      <c r="AR375" s="533"/>
      <c r="AS375" s="533"/>
      <c r="AT375" s="533"/>
      <c r="AU375" s="533"/>
    </row>
    <row r="376" spans="1:47" ht="13.5" hidden="1" customHeight="1" x14ac:dyDescent="0.25">
      <c r="A376" s="41"/>
      <c r="B376" s="104" t="s">
        <v>510</v>
      </c>
      <c r="C376" s="695" t="s">
        <v>81</v>
      </c>
      <c r="D376" s="727"/>
      <c r="E376" s="828"/>
      <c r="F376" s="740" t="s">
        <v>82</v>
      </c>
      <c r="G376" s="26" t="s">
        <v>83</v>
      </c>
      <c r="H376" s="27">
        <f>VLOOKUP(C376,A!A$1:O$669,15,FALSE)</f>
        <v>2</v>
      </c>
      <c r="I376" s="27"/>
      <c r="J376" s="28">
        <f>IF(VLOOKUP(C376,A!A$1:O$669,11,FALSE)="y",1,0)</f>
        <v>0</v>
      </c>
      <c r="K376" s="28">
        <f>IF(VLOOKUP(C376,A!A$1:O$669,12,FALSE)="y",1,0)</f>
        <v>0</v>
      </c>
      <c r="L376" s="544" t="str">
        <f t="shared" si="80"/>
        <v>Low</v>
      </c>
      <c r="M376" s="27">
        <f>VLOOKUP(C376,A!A$1:O$669,13,FALSE)</f>
        <v>0</v>
      </c>
      <c r="N376" s="44" t="s">
        <v>1802</v>
      </c>
      <c r="O376" s="533">
        <f>VLOOKUP(C376,A!A$1:O$669,9,FALSE)</f>
        <v>0</v>
      </c>
      <c r="P376" s="533" t="s">
        <v>1249</v>
      </c>
      <c r="Q376" s="533" t="str">
        <f>IF(S376=0,"",COUNTIF(Q$12:Q375,"&gt;0")+1)</f>
        <v/>
      </c>
      <c r="R376" s="533" t="str">
        <f>IF(S376=0,"",COUNTIF(R$12:R375,"&gt;0")+1)</f>
        <v/>
      </c>
      <c r="S376" s="533">
        <f t="shared" si="76"/>
        <v>0</v>
      </c>
      <c r="T376" s="533">
        <f>VLOOKUP(C376,A!A$1:AH$669,32,FALSE)</f>
        <v>0</v>
      </c>
      <c r="U376" s="533">
        <v>0.1</v>
      </c>
      <c r="V376" s="533"/>
      <c r="W376" s="533" t="str">
        <f t="shared" si="77"/>
        <v/>
      </c>
      <c r="X376" s="533">
        <f>IF(V376&lt;&gt;"",COUNTIF(V$46:V376,V376)-1,0)</f>
        <v>0</v>
      </c>
      <c r="Y376" s="533"/>
      <c r="Z376" s="533" t="str">
        <f t="shared" si="81"/>
        <v/>
      </c>
      <c r="AA376" s="533" t="str">
        <f>IFERROR(RANK(Z376,Z$363:Z$487,0)+COUNTIF(Z$363:Z376,Z376)-1,"")</f>
        <v/>
      </c>
      <c r="AB376" s="533">
        <f t="shared" si="78"/>
        <v>0</v>
      </c>
      <c r="AC376" s="533">
        <f t="shared" si="79"/>
        <v>0</v>
      </c>
      <c r="AD376" s="533"/>
      <c r="AE376" s="533"/>
      <c r="AF376" s="533"/>
      <c r="AG376" s="533"/>
      <c r="AH376" s="533"/>
      <c r="AI376" s="533"/>
      <c r="AJ376" s="533"/>
      <c r="AK376" s="533"/>
      <c r="AL376" s="533"/>
      <c r="AM376" s="533"/>
      <c r="AN376" s="533"/>
      <c r="AO376" s="533"/>
      <c r="AP376" s="533"/>
      <c r="AQ376" s="533"/>
      <c r="AR376" s="533"/>
      <c r="AS376" s="533"/>
      <c r="AT376" s="533"/>
      <c r="AU376" s="533"/>
    </row>
    <row r="377" spans="1:47" ht="12.75" hidden="1" customHeight="1" x14ac:dyDescent="0.25">
      <c r="A377" s="41"/>
      <c r="B377" s="104" t="s">
        <v>510</v>
      </c>
      <c r="C377" s="695" t="s">
        <v>84</v>
      </c>
      <c r="D377" s="727"/>
      <c r="E377" s="828"/>
      <c r="F377" s="740" t="s">
        <v>85</v>
      </c>
      <c r="G377" s="26" t="s">
        <v>86</v>
      </c>
      <c r="H377" s="27">
        <f>VLOOKUP(C377,A!A$1:O$669,15,FALSE)</f>
        <v>2</v>
      </c>
      <c r="I377" s="27"/>
      <c r="J377" s="28">
        <f>IF(VLOOKUP(C377,A!A$1:O$669,11,FALSE)="y",1,0)</f>
        <v>0</v>
      </c>
      <c r="K377" s="28">
        <f>IF(VLOOKUP(C377,A!A$1:O$669,12,FALSE)="y",1,0)</f>
        <v>0</v>
      </c>
      <c r="L377" s="544" t="str">
        <f t="shared" si="80"/>
        <v>Low</v>
      </c>
      <c r="M377" s="27">
        <f>VLOOKUP(C377,A!A$1:O$669,13,FALSE)</f>
        <v>0</v>
      </c>
      <c r="N377" s="44" t="s">
        <v>1297</v>
      </c>
      <c r="O377" s="533">
        <f>VLOOKUP(C377,A!A$1:O$669,9,FALSE)</f>
        <v>0</v>
      </c>
      <c r="P377" s="533" t="s">
        <v>1249</v>
      </c>
      <c r="Q377" s="533" t="str">
        <f>IF(S377=0,"",COUNTIF(Q$12:Q376,"&gt;0")+1)</f>
        <v/>
      </c>
      <c r="R377" s="533" t="str">
        <f>IF(S377=0,"",COUNTIF(R$12:R376,"&gt;0")+1)</f>
        <v/>
      </c>
      <c r="S377" s="533">
        <f t="shared" si="76"/>
        <v>0</v>
      </c>
      <c r="T377" s="533">
        <f>VLOOKUP(C377,A!A$1:AH$669,32,FALSE)</f>
        <v>0</v>
      </c>
      <c r="U377" s="533">
        <v>0.1</v>
      </c>
      <c r="V377" s="533"/>
      <c r="W377" s="533" t="str">
        <f t="shared" si="77"/>
        <v/>
      </c>
      <c r="X377" s="533">
        <f>IF(V377&lt;&gt;"",COUNTIF(V$46:V377,V377)-1,0)</f>
        <v>0</v>
      </c>
      <c r="Y377" s="533"/>
      <c r="Z377" s="533" t="str">
        <f t="shared" si="81"/>
        <v/>
      </c>
      <c r="AA377" s="533" t="str">
        <f>IFERROR(RANK(Z377,Z$363:Z$487,0)+COUNTIF(Z$363:Z377,Z377)-1,"")</f>
        <v/>
      </c>
      <c r="AB377" s="533">
        <f t="shared" si="78"/>
        <v>0</v>
      </c>
      <c r="AC377" s="533">
        <f t="shared" si="79"/>
        <v>0</v>
      </c>
      <c r="AD377" s="533"/>
      <c r="AE377" s="533"/>
      <c r="AF377" s="533"/>
      <c r="AG377" s="533"/>
      <c r="AH377" s="533"/>
      <c r="AI377" s="533"/>
      <c r="AJ377" s="533"/>
      <c r="AK377" s="533"/>
      <c r="AL377" s="533"/>
      <c r="AM377" s="533"/>
      <c r="AN377" s="533"/>
      <c r="AO377" s="533"/>
      <c r="AP377" s="533"/>
      <c r="AQ377" s="533"/>
      <c r="AR377" s="533"/>
      <c r="AS377" s="533"/>
      <c r="AT377" s="533"/>
      <c r="AU377" s="533"/>
    </row>
    <row r="378" spans="1:47" ht="12.75" hidden="1" customHeight="1" x14ac:dyDescent="0.25">
      <c r="A378" s="41"/>
      <c r="B378" s="104" t="s">
        <v>510</v>
      </c>
      <c r="C378" s="837" t="s">
        <v>93</v>
      </c>
      <c r="D378" s="727"/>
      <c r="E378" s="828"/>
      <c r="F378" s="743" t="s">
        <v>94</v>
      </c>
      <c r="G378" s="42" t="s">
        <v>95</v>
      </c>
      <c r="H378" s="27">
        <f>VLOOKUP(C378,A!A$1:O$669,15,FALSE)</f>
        <v>3</v>
      </c>
      <c r="I378" s="27"/>
      <c r="J378" s="28">
        <f>IF(VLOOKUP(C378,A!A$1:O$669,11,FALSE)="y",1,0)</f>
        <v>0</v>
      </c>
      <c r="K378" s="28">
        <f>IF(VLOOKUP(C378,A!A$1:O$669,12,FALSE)="y",1,0)</f>
        <v>0</v>
      </c>
      <c r="L378" s="544" t="str">
        <f t="shared" si="80"/>
        <v>Low</v>
      </c>
      <c r="M378" s="27">
        <f>VLOOKUP(C378,A!A$1:O$669,13,FALSE)</f>
        <v>0</v>
      </c>
      <c r="N378" s="44" t="s">
        <v>1298</v>
      </c>
      <c r="O378" s="533">
        <f>VLOOKUP(C378,A!A$1:O$669,9,FALSE)</f>
        <v>0</v>
      </c>
      <c r="P378" s="533" t="s">
        <v>1249</v>
      </c>
      <c r="Q378" s="533" t="str">
        <f>IF(S378=0,"",COUNTIF(Q$12:Q377,"&gt;0")+1)</f>
        <v/>
      </c>
      <c r="R378" s="533" t="str">
        <f>IF(S378=0,"",COUNTIF(R$12:R377,"&gt;0")+1)</f>
        <v/>
      </c>
      <c r="S378" s="533">
        <f t="shared" si="76"/>
        <v>0</v>
      </c>
      <c r="T378" s="533">
        <f>VLOOKUP(C378,A!A$1:AH$669,32,FALSE)</f>
        <v>0</v>
      </c>
      <c r="U378" s="533">
        <v>0.1</v>
      </c>
      <c r="V378" s="533"/>
      <c r="W378" s="533" t="str">
        <f t="shared" si="77"/>
        <v/>
      </c>
      <c r="X378" s="533">
        <f>IF(V378&lt;&gt;"",COUNTIF(V$46:V378,V378)-1,0)</f>
        <v>0</v>
      </c>
      <c r="Y378" s="533"/>
      <c r="Z378" s="533" t="str">
        <f t="shared" si="81"/>
        <v/>
      </c>
      <c r="AA378" s="533" t="str">
        <f>IFERROR(RANK(Z378,Z$363:Z$487,0)+COUNTIF(Z$363:Z378,Z378)-1,"")</f>
        <v/>
      </c>
      <c r="AB378" s="533">
        <f t="shared" si="78"/>
        <v>0</v>
      </c>
      <c r="AC378" s="533">
        <f t="shared" si="79"/>
        <v>0</v>
      </c>
      <c r="AD378" s="533"/>
      <c r="AE378" s="533"/>
      <c r="AF378" s="533"/>
      <c r="AG378" s="533"/>
      <c r="AH378" s="533"/>
      <c r="AI378" s="533"/>
      <c r="AJ378" s="533"/>
      <c r="AK378" s="533"/>
      <c r="AL378" s="533"/>
      <c r="AM378" s="533"/>
      <c r="AN378" s="533"/>
      <c r="AO378" s="533"/>
      <c r="AP378" s="533"/>
      <c r="AQ378" s="533"/>
      <c r="AR378" s="533"/>
      <c r="AS378" s="533"/>
      <c r="AT378" s="533"/>
      <c r="AU378" s="533"/>
    </row>
    <row r="379" spans="1:47" ht="12.75" hidden="1" customHeight="1" x14ac:dyDescent="0.25">
      <c r="A379" s="41"/>
      <c r="B379" s="104" t="s">
        <v>510</v>
      </c>
      <c r="C379" s="695" t="s">
        <v>631</v>
      </c>
      <c r="D379" s="727"/>
      <c r="E379" s="828"/>
      <c r="F379" s="740" t="s">
        <v>632</v>
      </c>
      <c r="G379" s="26" t="s">
        <v>633</v>
      </c>
      <c r="H379" s="27">
        <f>VLOOKUP(C379,A!A$1:O$669,15,FALSE)</f>
        <v>0</v>
      </c>
      <c r="I379" s="27"/>
      <c r="J379" s="28">
        <f>IF(VLOOKUP(C379,A!A$1:O$669,11,FALSE)="y",1,0)</f>
        <v>0</v>
      </c>
      <c r="K379" s="28">
        <f>IF(VLOOKUP(C379,A!A$1:O$669,12,FALSE)="y",1,0)</f>
        <v>0</v>
      </c>
      <c r="L379" s="544" t="str">
        <f t="shared" si="80"/>
        <v>Low</v>
      </c>
      <c r="M379" s="27">
        <f>VLOOKUP(C379,A!A$1:O$669,13,FALSE)</f>
        <v>0</v>
      </c>
      <c r="N379" s="44" t="s">
        <v>1803</v>
      </c>
      <c r="O379" s="533">
        <f>VLOOKUP(C379,A!A$1:O$669,9,FALSE)</f>
        <v>0</v>
      </c>
      <c r="P379" s="533" t="s">
        <v>1249</v>
      </c>
      <c r="Q379" s="533" t="str">
        <f>IF(S379=0,"",COUNTIF(Q$12:Q378,"&gt;0")+1)</f>
        <v/>
      </c>
      <c r="R379" s="533" t="str">
        <f>IF(S379=0,"",COUNTIF(R$12:R378,"&gt;0")+1)</f>
        <v/>
      </c>
      <c r="S379" s="533">
        <f t="shared" si="76"/>
        <v>0</v>
      </c>
      <c r="T379" s="533">
        <f>VLOOKUP(C379,A!A$1:AH$669,32,FALSE)</f>
        <v>0</v>
      </c>
      <c r="U379" s="533">
        <v>0.1</v>
      </c>
      <c r="V379" s="533"/>
      <c r="W379" s="533" t="str">
        <f t="shared" si="77"/>
        <v/>
      </c>
      <c r="X379" s="533">
        <f>IF(V379&lt;&gt;"",COUNTIF(V$46:V379,V379)-1,0)</f>
        <v>0</v>
      </c>
      <c r="Y379" s="533"/>
      <c r="Z379" s="533" t="str">
        <f t="shared" si="81"/>
        <v/>
      </c>
      <c r="AA379" s="533" t="str">
        <f>IFERROR(RANK(Z379,Z$363:Z$487,0)+COUNTIF(Z$363:Z379,Z379)-1,"")</f>
        <v/>
      </c>
      <c r="AB379" s="533">
        <f t="shared" si="78"/>
        <v>0</v>
      </c>
      <c r="AC379" s="533">
        <f t="shared" si="79"/>
        <v>0</v>
      </c>
      <c r="AD379" s="533"/>
      <c r="AE379" s="533"/>
      <c r="AF379" s="533"/>
      <c r="AG379" s="533"/>
      <c r="AH379" s="533"/>
      <c r="AI379" s="533"/>
      <c r="AJ379" s="533"/>
      <c r="AK379" s="533"/>
      <c r="AL379" s="533"/>
      <c r="AM379" s="533"/>
      <c r="AN379" s="533"/>
      <c r="AO379" s="533"/>
      <c r="AP379" s="533"/>
      <c r="AQ379" s="533"/>
      <c r="AR379" s="533"/>
      <c r="AS379" s="533"/>
      <c r="AT379" s="533"/>
      <c r="AU379" s="533"/>
    </row>
    <row r="380" spans="1:47" ht="12.75" hidden="1" customHeight="1" x14ac:dyDescent="0.25">
      <c r="A380" s="41"/>
      <c r="B380" s="104" t="s">
        <v>510</v>
      </c>
      <c r="C380" s="695" t="s">
        <v>96</v>
      </c>
      <c r="D380" s="727"/>
      <c r="E380" s="828"/>
      <c r="F380" s="740" t="s">
        <v>97</v>
      </c>
      <c r="G380" s="26" t="s">
        <v>98</v>
      </c>
      <c r="H380" s="27">
        <f>VLOOKUP(C380,A!A$1:O$669,15,FALSE)</f>
        <v>0</v>
      </c>
      <c r="I380" s="27"/>
      <c r="J380" s="28">
        <f>IF(VLOOKUP(C380,A!A$1:O$669,11,FALSE)="y",1,0)</f>
        <v>0</v>
      </c>
      <c r="K380" s="28">
        <f>IF(VLOOKUP(C380,A!A$1:O$669,12,FALSE)="y",1,0)</f>
        <v>0</v>
      </c>
      <c r="L380" s="544" t="str">
        <f t="shared" si="80"/>
        <v>Low</v>
      </c>
      <c r="M380" s="27">
        <f>VLOOKUP(C380,A!A$1:O$669,13,FALSE)</f>
        <v>0</v>
      </c>
      <c r="N380" s="44" t="s">
        <v>1299</v>
      </c>
      <c r="O380" s="533">
        <f>VLOOKUP(C380,A!A$1:O$669,9,FALSE)</f>
        <v>0</v>
      </c>
      <c r="P380" s="533" t="s">
        <v>1249</v>
      </c>
      <c r="Q380" s="533" t="str">
        <f>IF(S380=0,"",COUNTIF(Q$12:Q379,"&gt;0")+1)</f>
        <v/>
      </c>
      <c r="R380" s="533" t="str">
        <f>IF(S380=0,"",COUNTIF(R$12:R379,"&gt;0")+1)</f>
        <v/>
      </c>
      <c r="S380" s="533">
        <f t="shared" si="76"/>
        <v>0</v>
      </c>
      <c r="T380" s="533">
        <f>VLOOKUP(C380,A!A$1:AH$669,32,FALSE)</f>
        <v>0</v>
      </c>
      <c r="U380" s="533">
        <v>0.1</v>
      </c>
      <c r="V380" s="533"/>
      <c r="W380" s="533" t="str">
        <f t="shared" si="77"/>
        <v/>
      </c>
      <c r="X380" s="533">
        <f>IF(V380&lt;&gt;"",COUNTIF(V$46:V380,V380)-1,0)</f>
        <v>0</v>
      </c>
      <c r="Y380" s="533"/>
      <c r="Z380" s="533" t="str">
        <f t="shared" si="81"/>
        <v/>
      </c>
      <c r="AA380" s="533" t="str">
        <f>IFERROR(RANK(Z380,Z$363:Z$487,0)+COUNTIF(Z$363:Z380,Z380)-1,"")</f>
        <v/>
      </c>
      <c r="AB380" s="533">
        <f t="shared" si="78"/>
        <v>0</v>
      </c>
      <c r="AC380" s="533">
        <f t="shared" si="79"/>
        <v>0</v>
      </c>
      <c r="AD380" s="533"/>
      <c r="AE380" s="533"/>
      <c r="AF380" s="533"/>
      <c r="AG380" s="533"/>
      <c r="AH380" s="533"/>
      <c r="AI380" s="533"/>
      <c r="AJ380" s="533"/>
      <c r="AK380" s="533"/>
      <c r="AL380" s="533"/>
      <c r="AM380" s="533"/>
      <c r="AN380" s="533"/>
      <c r="AO380" s="533"/>
      <c r="AP380" s="533"/>
      <c r="AQ380" s="533"/>
      <c r="AR380" s="533"/>
      <c r="AS380" s="533"/>
      <c r="AT380" s="533"/>
      <c r="AU380" s="533"/>
    </row>
    <row r="381" spans="1:47" ht="12.75" hidden="1" customHeight="1" x14ac:dyDescent="0.25">
      <c r="A381" s="41"/>
      <c r="B381" s="104" t="s">
        <v>510</v>
      </c>
      <c r="C381" s="695" t="s">
        <v>634</v>
      </c>
      <c r="D381" s="727"/>
      <c r="E381" s="828"/>
      <c r="F381" s="740" t="s">
        <v>635</v>
      </c>
      <c r="G381" s="26" t="s">
        <v>636</v>
      </c>
      <c r="H381" s="27">
        <f>VLOOKUP(C381,A!A$1:O$669,15,FALSE)</f>
        <v>2</v>
      </c>
      <c r="I381" s="27"/>
      <c r="J381" s="28">
        <f>IF(VLOOKUP(C381,A!A$1:O$669,11,FALSE)="y",1,0)</f>
        <v>0</v>
      </c>
      <c r="K381" s="28">
        <f>IF(VLOOKUP(C381,A!A$1:O$669,12,FALSE)="y",1,0)</f>
        <v>0</v>
      </c>
      <c r="L381" s="544" t="str">
        <f t="shared" si="80"/>
        <v>Med</v>
      </c>
      <c r="M381" s="27">
        <f>VLOOKUP(C381,A!A$1:O$669,13,FALSE)</f>
        <v>0</v>
      </c>
      <c r="N381" s="44" t="s">
        <v>1804</v>
      </c>
      <c r="O381" s="533">
        <f>VLOOKUP(C381,A!A$1:O$669,9,FALSE)</f>
        <v>0</v>
      </c>
      <c r="P381" s="533" t="s">
        <v>1249</v>
      </c>
      <c r="Q381" s="533" t="str">
        <f>IF(S381=0,"",COUNTIF(Q$12:Q380,"&gt;0")+1)</f>
        <v/>
      </c>
      <c r="R381" s="533" t="str">
        <f>IF(S381=0,"",COUNTIF(R$12:R380,"&gt;0")+1)</f>
        <v/>
      </c>
      <c r="S381" s="533">
        <f t="shared" si="76"/>
        <v>0</v>
      </c>
      <c r="T381" s="533">
        <v>35</v>
      </c>
      <c r="U381" s="533">
        <v>0.1</v>
      </c>
      <c r="V381" s="533"/>
      <c r="W381" s="533" t="str">
        <f t="shared" si="77"/>
        <v/>
      </c>
      <c r="X381" s="533">
        <f>IF(V381&lt;&gt;"",COUNTIF(V$46:V381,V381)-1,0)</f>
        <v>0</v>
      </c>
      <c r="Y381" s="533"/>
      <c r="Z381" s="533" t="str">
        <f t="shared" si="81"/>
        <v/>
      </c>
      <c r="AA381" s="533" t="str">
        <f>IFERROR(RANK(Z381,Z$363:Z$487,0)+COUNTIF(Z$363:Z381,Z381)-1,"")</f>
        <v/>
      </c>
      <c r="AB381" s="533">
        <f t="shared" si="78"/>
        <v>0</v>
      </c>
      <c r="AC381" s="533">
        <f t="shared" si="79"/>
        <v>0</v>
      </c>
      <c r="AD381" s="533"/>
      <c r="AE381" s="533"/>
      <c r="AF381" s="533"/>
      <c r="AG381" s="533"/>
      <c r="AH381" s="533"/>
      <c r="AI381" s="533"/>
      <c r="AJ381" s="533"/>
      <c r="AK381" s="533"/>
      <c r="AL381" s="533"/>
      <c r="AM381" s="533"/>
      <c r="AN381" s="533"/>
      <c r="AO381" s="533"/>
      <c r="AP381" s="533"/>
      <c r="AQ381" s="533"/>
      <c r="AR381" s="533"/>
      <c r="AS381" s="533"/>
      <c r="AT381" s="533"/>
      <c r="AU381" s="533"/>
    </row>
    <row r="382" spans="1:47" ht="12.75" customHeight="1" x14ac:dyDescent="0.25">
      <c r="A382" s="41"/>
      <c r="B382" s="104" t="s">
        <v>510</v>
      </c>
      <c r="C382" s="695" t="s">
        <v>102</v>
      </c>
      <c r="D382" s="727"/>
      <c r="E382" s="828"/>
      <c r="F382" s="740" t="s">
        <v>103</v>
      </c>
      <c r="G382" s="26" t="s">
        <v>104</v>
      </c>
      <c r="H382" s="27">
        <f>VLOOKUP(C382,A!A$1:O$669,15,FALSE)</f>
        <v>3</v>
      </c>
      <c r="I382" s="27"/>
      <c r="J382" s="28">
        <f>IF(VLOOKUP(C382,A!A$1:O$669,11,FALSE)="y",1,0)</f>
        <v>1</v>
      </c>
      <c r="K382" s="28">
        <f>IF(VLOOKUP(C382,A!A$1:O$669,12,FALSE)="y",1,0)</f>
        <v>0</v>
      </c>
      <c r="L382" s="544" t="str">
        <f t="shared" si="80"/>
        <v>Med</v>
      </c>
      <c r="M382" s="27">
        <f>VLOOKUP(C382,A!A$1:O$669,13,FALSE)</f>
        <v>0</v>
      </c>
      <c r="N382" s="44" t="s">
        <v>1805</v>
      </c>
      <c r="O382" s="533" t="str">
        <f>VLOOKUP(C382,A!A$1:O$669,9,FALSE)</f>
        <v>y</v>
      </c>
      <c r="P382" s="533" t="s">
        <v>1249</v>
      </c>
      <c r="Q382" s="533" t="str">
        <f>IF(S382=0,"",COUNTIF(Q$12:Q381,"&gt;0")+1)</f>
        <v/>
      </c>
      <c r="R382" s="533" t="str">
        <f>IF(S382=0,"",COUNTIF(R$12:R381,"&gt;0")+1)</f>
        <v/>
      </c>
      <c r="S382" s="533">
        <f>A382+Y382+AB382+AC382</f>
        <v>0</v>
      </c>
      <c r="T382" s="533">
        <f>VLOOKUP(C382,A!A$1:AH$669,32,FALSE)</f>
        <v>35</v>
      </c>
      <c r="U382" s="533">
        <v>0.1</v>
      </c>
      <c r="V382" s="533">
        <v>79</v>
      </c>
      <c r="W382" s="533" t="str">
        <f t="shared" si="77"/>
        <v/>
      </c>
      <c r="X382" s="533">
        <f>IF(V382&lt;&gt;"",COUNTIF(V$46:V382,V382)-1,0)</f>
        <v>0</v>
      </c>
      <c r="Y382" s="533"/>
      <c r="Z382" s="533">
        <f t="shared" si="81"/>
        <v>-335</v>
      </c>
      <c r="AA382" s="533">
        <f>IFERROR(RANK(Z382,Z$363:Z$487,0)+COUNTIF(Z$363:Z382,Z382)-1,"")</f>
        <v>15</v>
      </c>
      <c r="AB382" s="533">
        <f t="shared" si="78"/>
        <v>0</v>
      </c>
      <c r="AC382" s="533">
        <f t="shared" si="79"/>
        <v>0</v>
      </c>
      <c r="AD382" s="533"/>
      <c r="AE382" s="533"/>
      <c r="AF382" s="533"/>
      <c r="AG382" s="533"/>
      <c r="AH382" s="533"/>
      <c r="AI382" s="533"/>
      <c r="AJ382" s="533"/>
      <c r="AK382" s="533"/>
      <c r="AL382" s="533"/>
      <c r="AM382" s="533"/>
      <c r="AN382" s="533"/>
      <c r="AO382" s="533"/>
      <c r="AP382" s="533"/>
      <c r="AQ382" s="533"/>
      <c r="AR382" s="533"/>
      <c r="AS382" s="533"/>
      <c r="AT382" s="533"/>
      <c r="AU382" s="533"/>
    </row>
    <row r="383" spans="1:47" ht="12.75" customHeight="1" x14ac:dyDescent="0.25">
      <c r="A383" s="41"/>
      <c r="B383" s="104" t="s">
        <v>510</v>
      </c>
      <c r="C383" s="695" t="s">
        <v>637</v>
      </c>
      <c r="D383" s="727"/>
      <c r="E383" s="828"/>
      <c r="F383" s="740" t="s">
        <v>100</v>
      </c>
      <c r="G383" s="26" t="s">
        <v>101</v>
      </c>
      <c r="H383" s="27">
        <f>VLOOKUP(C383,A!A$1:O$669,15,FALSE)</f>
        <v>3</v>
      </c>
      <c r="I383" s="27" t="s">
        <v>30</v>
      </c>
      <c r="J383" s="28">
        <f>IF(VLOOKUP(C383,A!A$1:O$669,11,FALSE)="y",1,0)</f>
        <v>1</v>
      </c>
      <c r="K383" s="28">
        <f>IF(VLOOKUP(C383,A!A$1:O$669,12,FALSE)="y",1,0)</f>
        <v>0</v>
      </c>
      <c r="L383" s="544" t="str">
        <f t="shared" si="80"/>
        <v>Med</v>
      </c>
      <c r="M383" s="27">
        <f>VLOOKUP(C383,A!A$1:O$669,13,FALSE)</f>
        <v>0</v>
      </c>
      <c r="N383" s="44" t="s">
        <v>1806</v>
      </c>
      <c r="O383" s="533" t="str">
        <f>VLOOKUP(C383,A!A$1:O$669,9,FALSE)</f>
        <v>y</v>
      </c>
      <c r="P383" s="533" t="s">
        <v>1249</v>
      </c>
      <c r="Q383" s="533" t="str">
        <f>IF(S383=0,"",COUNTIF(Q$12:Q382,"&gt;0")+1)</f>
        <v/>
      </c>
      <c r="R383" s="533" t="str">
        <f>IF(S383=0,"",COUNTIF(R$12:R382,"&gt;0")+1)</f>
        <v/>
      </c>
      <c r="S383" s="533">
        <f t="shared" ref="S383:S446" si="82">A383+Y383+AB383+AC383</f>
        <v>0</v>
      </c>
      <c r="T383" s="533">
        <f>VLOOKUP(C383,A!A$1:AH$669,32,FALSE)</f>
        <v>35</v>
      </c>
      <c r="U383" s="533">
        <v>0.1</v>
      </c>
      <c r="V383" s="533">
        <v>95</v>
      </c>
      <c r="W383" s="533" t="str">
        <f t="shared" si="77"/>
        <v/>
      </c>
      <c r="X383" s="533">
        <f>IF(V383&lt;&gt;"",COUNTIF(V$46:V383,V383)-1,0)</f>
        <v>0</v>
      </c>
      <c r="Y383" s="533"/>
      <c r="Z383" s="533">
        <f t="shared" si="81"/>
        <v>-335</v>
      </c>
      <c r="AA383" s="533">
        <f>IFERROR(RANK(Z383,Z$363:Z$487,0)+COUNTIF(Z$363:Z383,Z383)-1,"")</f>
        <v>16</v>
      </c>
      <c r="AB383" s="533">
        <f t="shared" si="78"/>
        <v>0</v>
      </c>
      <c r="AC383" s="533">
        <f t="shared" si="79"/>
        <v>0</v>
      </c>
      <c r="AD383" s="533"/>
      <c r="AE383" s="533"/>
      <c r="AF383" s="533"/>
      <c r="AG383" s="533"/>
      <c r="AH383" s="533"/>
      <c r="AI383" s="533"/>
      <c r="AJ383" s="533"/>
      <c r="AK383" s="533"/>
      <c r="AL383" s="533"/>
      <c r="AM383" s="533"/>
      <c r="AN383" s="533"/>
      <c r="AO383" s="533"/>
      <c r="AP383" s="533"/>
      <c r="AQ383" s="533"/>
      <c r="AR383" s="533"/>
      <c r="AS383" s="533"/>
      <c r="AT383" s="533"/>
      <c r="AU383" s="533"/>
    </row>
    <row r="384" spans="1:47" ht="12.75" hidden="1" customHeight="1" x14ac:dyDescent="0.25">
      <c r="A384" s="41"/>
      <c r="B384" s="104" t="s">
        <v>510</v>
      </c>
      <c r="C384" s="695" t="s">
        <v>1039</v>
      </c>
      <c r="D384" s="727"/>
      <c r="E384" s="828"/>
      <c r="F384" s="740" t="s">
        <v>1040</v>
      </c>
      <c r="G384" s="26" t="s">
        <v>1041</v>
      </c>
      <c r="H384" s="27">
        <f>VLOOKUP(C384,A!A$1:O$669,15,FALSE)</f>
        <v>2</v>
      </c>
      <c r="I384" s="27" t="s">
        <v>30</v>
      </c>
      <c r="J384" s="28">
        <f>IF(VLOOKUP(C384,A!A$1:O$669,11,FALSE)="y",1,0)</f>
        <v>0</v>
      </c>
      <c r="K384" s="28">
        <f>IF(VLOOKUP(C384,A!A$1:O$669,12,FALSE)="y",1,0)</f>
        <v>0</v>
      </c>
      <c r="L384" s="544" t="str">
        <f t="shared" si="80"/>
        <v>Low</v>
      </c>
      <c r="M384" s="27"/>
      <c r="N384" s="44" t="s">
        <v>1807</v>
      </c>
      <c r="O384" s="533">
        <f>VLOOKUP(C384,A!A$1:O$669,9,FALSE)</f>
        <v>0</v>
      </c>
      <c r="P384" s="533" t="s">
        <v>1249</v>
      </c>
      <c r="Q384" s="533" t="str">
        <f>IF(S384=0,"",COUNTIF(Q$12:Q383,"&gt;0")+1)</f>
        <v/>
      </c>
      <c r="R384" s="533" t="str">
        <f>IF(S384=0,"",COUNTIF(R$12:R383,"&gt;0")+1)</f>
        <v/>
      </c>
      <c r="S384" s="533">
        <f t="shared" si="82"/>
        <v>0</v>
      </c>
      <c r="T384" s="533">
        <f>VLOOKUP(C384,A!A$1:AH$669,32,FALSE)</f>
        <v>0</v>
      </c>
      <c r="U384" s="533">
        <v>0.1</v>
      </c>
      <c r="V384" s="533"/>
      <c r="W384" s="533" t="str">
        <f t="shared" ref="W384:W410" si="83">IF(AND(V384&lt;&gt;"",O384=0),"Check",IF(AND(V384=0,O384="Y"),"Check",""))</f>
        <v/>
      </c>
      <c r="X384" s="533">
        <f>IF(V384&lt;&gt;"",COUNTIF(V$46:V384,V384)-1,0)</f>
        <v>0</v>
      </c>
      <c r="Y384" s="533"/>
      <c r="Z384" s="533" t="str">
        <f t="shared" ref="Z384:Z410" si="84">IFERROR(IF(AND(O384="y",IF(AND(A384&lt;&gt;"",A384=0),0,1)),H384*-100-A384*1000-T384,""),"")</f>
        <v/>
      </c>
      <c r="AA384" s="533" t="str">
        <f>IFERROR(RANK(Z384,Z$363:Z$487,0)+COUNTIF(Z$363:Z384,Z384)-1,"")</f>
        <v/>
      </c>
      <c r="AB384" s="533">
        <f t="shared" ref="AB384:AB410" si="85">IF(AA384&lt;=AB$362,1,0)</f>
        <v>0</v>
      </c>
      <c r="AC384" s="533">
        <f t="shared" ref="AC384:AC410" si="86">IF(AA384&lt;=AC$362,1,0)</f>
        <v>0</v>
      </c>
      <c r="AD384" s="533"/>
      <c r="AE384" s="533"/>
      <c r="AF384" s="533"/>
      <c r="AG384" s="533"/>
      <c r="AH384" s="533"/>
      <c r="AI384" s="533"/>
      <c r="AJ384" s="533"/>
      <c r="AK384" s="533"/>
      <c r="AL384" s="533"/>
      <c r="AM384" s="533"/>
      <c r="AN384" s="533"/>
      <c r="AO384" s="533"/>
      <c r="AP384" s="533"/>
      <c r="AQ384" s="533"/>
      <c r="AR384" s="533"/>
      <c r="AS384" s="533"/>
      <c r="AT384" s="533"/>
      <c r="AU384" s="533"/>
    </row>
    <row r="385" spans="1:47" ht="13.5" hidden="1" customHeight="1" x14ac:dyDescent="0.25">
      <c r="A385" s="41"/>
      <c r="B385" s="104" t="s">
        <v>510</v>
      </c>
      <c r="C385" s="695" t="s">
        <v>1799</v>
      </c>
      <c r="D385" s="727"/>
      <c r="E385" s="828"/>
      <c r="F385" s="740" t="s">
        <v>1796</v>
      </c>
      <c r="G385" s="26" t="s">
        <v>1809</v>
      </c>
      <c r="H385" s="27">
        <f>VLOOKUP(C385,A!A$1:O$669,15,FALSE)</f>
        <v>2</v>
      </c>
      <c r="I385" s="27"/>
      <c r="J385" s="28">
        <f>IF(VLOOKUP(C385,A!A$1:O$669,11,FALSE)="y",1,0)</f>
        <v>0</v>
      </c>
      <c r="K385" s="28">
        <f>IF(VLOOKUP(C385,A!A$1:O$669,12,FALSE)="y",1,0)</f>
        <v>0</v>
      </c>
      <c r="L385" s="544" t="str">
        <f>IF(T385&lt;35,"Low",IF(T385&gt;40,"High","Med"))</f>
        <v>High</v>
      </c>
      <c r="M385" s="27"/>
      <c r="N385" s="44" t="s">
        <v>31</v>
      </c>
      <c r="O385" s="533">
        <f>VLOOKUP(C385,A!A$1:O$669,9,FALSE)</f>
        <v>0</v>
      </c>
      <c r="P385" s="533" t="s">
        <v>1249</v>
      </c>
      <c r="Q385" s="533" t="str">
        <f>IF(S385=0,"",COUNTIF(Q$12:Q384,"&gt;0")+1)</f>
        <v/>
      </c>
      <c r="R385" s="533" t="str">
        <f>IF(S385=0,"",COUNTIF(R$12:R384,"&gt;0")+1)</f>
        <v/>
      </c>
      <c r="S385" s="533">
        <f t="shared" si="82"/>
        <v>0</v>
      </c>
      <c r="T385" s="533">
        <v>45</v>
      </c>
      <c r="U385" s="533">
        <v>0.1</v>
      </c>
      <c r="V385" s="533"/>
      <c r="W385" s="533"/>
      <c r="X385" s="533"/>
      <c r="Y385" s="533"/>
      <c r="Z385" s="533"/>
      <c r="AA385" s="533"/>
      <c r="AB385" s="533"/>
      <c r="AC385" s="533"/>
      <c r="AD385" s="533"/>
      <c r="AE385" s="533"/>
      <c r="AF385" s="533"/>
      <c r="AG385" s="533"/>
      <c r="AH385" s="533"/>
      <c r="AI385" s="533"/>
      <c r="AJ385" s="533"/>
      <c r="AK385" s="533"/>
      <c r="AL385" s="533"/>
      <c r="AM385" s="533"/>
      <c r="AN385" s="533"/>
      <c r="AO385" s="533"/>
      <c r="AP385" s="533"/>
      <c r="AQ385" s="533"/>
      <c r="AR385" s="533"/>
      <c r="AS385" s="533"/>
      <c r="AT385" s="533"/>
      <c r="AU385" s="533"/>
    </row>
    <row r="386" spans="1:47" ht="13.5" hidden="1" customHeight="1" x14ac:dyDescent="0.25">
      <c r="A386" s="41"/>
      <c r="B386" s="104" t="s">
        <v>510</v>
      </c>
      <c r="C386" s="695" t="s">
        <v>1795</v>
      </c>
      <c r="D386" s="727"/>
      <c r="E386" s="828"/>
      <c r="F386" s="740" t="s">
        <v>1796</v>
      </c>
      <c r="G386" s="26" t="s">
        <v>1808</v>
      </c>
      <c r="H386" s="27">
        <f>VLOOKUP(C386,A!A$1:O$669,15,FALSE)</f>
        <v>2</v>
      </c>
      <c r="I386" s="27"/>
      <c r="J386" s="28">
        <f>IF(VLOOKUP(C386,A!A$1:O$669,11,FALSE)="y",1,0)</f>
        <v>0</v>
      </c>
      <c r="K386" s="28">
        <f>IF(VLOOKUP(C386,A!A$1:O$669,12,FALSE)="y",1,0)</f>
        <v>0</v>
      </c>
      <c r="L386" s="544" t="str">
        <f t="shared" ref="L386" si="87">IF(T386&lt;35,"Low",IF(T386&gt;40,"High","Med"))</f>
        <v>Low</v>
      </c>
      <c r="M386" s="27"/>
      <c r="N386" s="44" t="s">
        <v>31</v>
      </c>
      <c r="O386" s="533">
        <f>VLOOKUP(C386,A!A$1:O$669,9,FALSE)</f>
        <v>0</v>
      </c>
      <c r="P386" s="533" t="s">
        <v>1249</v>
      </c>
      <c r="Q386" s="533" t="str">
        <f>IF(S386=0,"",COUNTIF(Q$12:Q385,"&gt;0")+1)</f>
        <v/>
      </c>
      <c r="R386" s="533" t="str">
        <f>IF(S386=0,"",COUNTIF(R$12:R385,"&gt;0")+1)</f>
        <v/>
      </c>
      <c r="S386" s="533">
        <f t="shared" si="82"/>
        <v>0</v>
      </c>
      <c r="T386" s="533">
        <f>VLOOKUP(C386,A!A$1:AH$669,32,FALSE)</f>
        <v>0</v>
      </c>
      <c r="U386" s="533">
        <v>0.1</v>
      </c>
      <c r="V386" s="533"/>
      <c r="W386" s="533" t="str">
        <f t="shared" si="83"/>
        <v/>
      </c>
      <c r="X386" s="533">
        <f>IF(V386&lt;&gt;"",COUNTIF(V$46:V386,V386)-1,0)</f>
        <v>0</v>
      </c>
      <c r="Y386" s="533"/>
      <c r="Z386" s="533" t="str">
        <f t="shared" si="84"/>
        <v/>
      </c>
      <c r="AA386" s="533" t="str">
        <f>IFERROR(RANK(Z386,Z$363:Z$487,0)+COUNTIF(Z$363:Z386,Z386)-1,"")</f>
        <v/>
      </c>
      <c r="AB386" s="533">
        <f t="shared" si="85"/>
        <v>0</v>
      </c>
      <c r="AC386" s="533">
        <f t="shared" si="86"/>
        <v>0</v>
      </c>
      <c r="AD386" s="533"/>
      <c r="AE386" s="533"/>
      <c r="AF386" s="533"/>
      <c r="AG386" s="533"/>
      <c r="AH386" s="533"/>
      <c r="AI386" s="533"/>
      <c r="AJ386" s="533"/>
      <c r="AK386" s="533"/>
      <c r="AL386" s="533"/>
      <c r="AM386" s="533"/>
      <c r="AN386" s="533"/>
      <c r="AO386" s="533"/>
      <c r="AP386" s="533"/>
      <c r="AQ386" s="533"/>
      <c r="AR386" s="533"/>
      <c r="AS386" s="533"/>
      <c r="AT386" s="533"/>
      <c r="AU386" s="533"/>
    </row>
    <row r="387" spans="1:47" ht="13.5" hidden="1" customHeight="1" x14ac:dyDescent="0.25">
      <c r="A387" s="41"/>
      <c r="B387" s="104" t="s">
        <v>510</v>
      </c>
      <c r="C387" s="695" t="s">
        <v>107</v>
      </c>
      <c r="D387" s="727"/>
      <c r="E387" s="828"/>
      <c r="F387" s="740" t="s">
        <v>108</v>
      </c>
      <c r="G387" s="26" t="s">
        <v>109</v>
      </c>
      <c r="H387" s="27">
        <f>VLOOKUP(C387,A!A$1:O$669,15,FALSE)</f>
        <v>2</v>
      </c>
      <c r="I387" s="27"/>
      <c r="J387" s="28">
        <f>IF(VLOOKUP(C387,A!A$1:O$669,11,FALSE)="y",1,0)</f>
        <v>0</v>
      </c>
      <c r="K387" s="28">
        <f>IF(VLOOKUP(C387,A!A$1:O$669,12,FALSE)="y",1,0)</f>
        <v>0</v>
      </c>
      <c r="L387" s="544" t="str">
        <f t="shared" si="80"/>
        <v>Low</v>
      </c>
      <c r="M387" s="27">
        <f>VLOOKUP(C387,A!A$1:O$669,13,FALSE)</f>
        <v>0</v>
      </c>
      <c r="N387" s="44" t="s">
        <v>39</v>
      </c>
      <c r="O387" s="533">
        <f>VLOOKUP(C387,A!A$1:O$669,9,FALSE)</f>
        <v>0</v>
      </c>
      <c r="P387" s="533" t="s">
        <v>1249</v>
      </c>
      <c r="Q387" s="533" t="str">
        <f>IF(S387=0,"",COUNTIF(Q$12:Q386,"&gt;0")+1)</f>
        <v/>
      </c>
      <c r="R387" s="533" t="str">
        <f>IF(S387=0,"",COUNTIF(R$12:R386,"&gt;0")+1)</f>
        <v/>
      </c>
      <c r="S387" s="533">
        <f t="shared" si="82"/>
        <v>0</v>
      </c>
      <c r="T387" s="533">
        <f>VLOOKUP(C387,A!A$1:AH$669,32,FALSE)</f>
        <v>0</v>
      </c>
      <c r="U387" s="533">
        <v>0.1</v>
      </c>
      <c r="V387" s="533"/>
      <c r="W387" s="533" t="str">
        <f t="shared" si="83"/>
        <v/>
      </c>
      <c r="X387" s="533">
        <f>IF(V387&lt;&gt;"",COUNTIF(V$46:V387,V387)-1,0)</f>
        <v>0</v>
      </c>
      <c r="Y387" s="533"/>
      <c r="Z387" s="533" t="str">
        <f t="shared" si="84"/>
        <v/>
      </c>
      <c r="AA387" s="533" t="str">
        <f>IFERROR(RANK(Z387,Z$363:Z$487,0)+COUNTIF(Z$363:Z387,Z387)-1,"")</f>
        <v/>
      </c>
      <c r="AB387" s="533">
        <f t="shared" si="85"/>
        <v>0</v>
      </c>
      <c r="AC387" s="533">
        <f t="shared" si="86"/>
        <v>0</v>
      </c>
      <c r="AD387" s="533"/>
      <c r="AE387" s="533"/>
      <c r="AF387" s="533"/>
      <c r="AG387" s="533"/>
      <c r="AH387" s="533"/>
      <c r="AI387" s="533"/>
      <c r="AJ387" s="533"/>
      <c r="AK387" s="533"/>
      <c r="AL387" s="533"/>
      <c r="AM387" s="533"/>
      <c r="AN387" s="533"/>
      <c r="AO387" s="533"/>
      <c r="AP387" s="533"/>
      <c r="AQ387" s="533"/>
      <c r="AR387" s="533"/>
      <c r="AS387" s="533"/>
      <c r="AT387" s="533"/>
      <c r="AU387" s="533"/>
    </row>
    <row r="388" spans="1:47" ht="13.5" hidden="1" customHeight="1" x14ac:dyDescent="0.25">
      <c r="A388" s="41"/>
      <c r="B388" s="104" t="s">
        <v>510</v>
      </c>
      <c r="C388" s="695" t="s">
        <v>110</v>
      </c>
      <c r="D388" s="727"/>
      <c r="E388" s="828"/>
      <c r="F388" s="743" t="s">
        <v>111</v>
      </c>
      <c r="G388" s="42" t="s">
        <v>112</v>
      </c>
      <c r="H388" s="27">
        <f>VLOOKUP(C388,A!A$1:O$669,15,FALSE)</f>
        <v>2</v>
      </c>
      <c r="I388" s="27"/>
      <c r="J388" s="28">
        <f>IF(VLOOKUP(C388,A!A$1:O$669,11,FALSE)="y",1,0)</f>
        <v>0</v>
      </c>
      <c r="K388" s="28">
        <f>IF(VLOOKUP(C388,A!A$1:O$669,12,FALSE)="y",1,0)</f>
        <v>0</v>
      </c>
      <c r="L388" s="544" t="str">
        <f t="shared" si="80"/>
        <v>Low</v>
      </c>
      <c r="M388" s="27">
        <f>VLOOKUP(C388,A!A$1:O$669,13,FALSE)</f>
        <v>0</v>
      </c>
      <c r="N388" s="44" t="s">
        <v>31</v>
      </c>
      <c r="O388" s="533">
        <f>VLOOKUP(C388,A!A$1:O$669,9,FALSE)</f>
        <v>0</v>
      </c>
      <c r="P388" s="533" t="s">
        <v>1249</v>
      </c>
      <c r="Q388" s="533" t="str">
        <f>IF(S388=0,"",COUNTIF(Q$12:Q387,"&gt;0")+1)</f>
        <v/>
      </c>
      <c r="R388" s="533" t="str">
        <f>IF(S388=0,"",COUNTIF(R$12:R387,"&gt;0")+1)</f>
        <v/>
      </c>
      <c r="S388" s="533">
        <f t="shared" si="82"/>
        <v>0</v>
      </c>
      <c r="T388" s="533">
        <f>VLOOKUP(C388,A!A$1:AH$669,32,FALSE)</f>
        <v>0</v>
      </c>
      <c r="U388" s="533">
        <v>0.1</v>
      </c>
      <c r="V388" s="533"/>
      <c r="W388" s="533" t="str">
        <f t="shared" si="83"/>
        <v/>
      </c>
      <c r="X388" s="533">
        <f>IF(V388&lt;&gt;"",COUNTIF(V$46:V388,V388)-1,0)</f>
        <v>0</v>
      </c>
      <c r="Y388" s="533"/>
      <c r="Z388" s="533" t="str">
        <f t="shared" si="84"/>
        <v/>
      </c>
      <c r="AA388" s="533" t="str">
        <f>IFERROR(RANK(Z388,Z$363:Z$487,0)+COUNTIF(Z$363:Z388,Z388)-1,"")</f>
        <v/>
      </c>
      <c r="AB388" s="533">
        <f t="shared" si="85"/>
        <v>0</v>
      </c>
      <c r="AC388" s="533">
        <f t="shared" si="86"/>
        <v>0</v>
      </c>
      <c r="AD388" s="533"/>
      <c r="AE388" s="533"/>
      <c r="AF388" s="533"/>
      <c r="AG388" s="533"/>
      <c r="AH388" s="533"/>
      <c r="AI388" s="533"/>
      <c r="AJ388" s="533"/>
      <c r="AK388" s="533"/>
      <c r="AL388" s="533"/>
      <c r="AM388" s="533"/>
      <c r="AN388" s="533"/>
      <c r="AO388" s="533"/>
      <c r="AP388" s="533"/>
      <c r="AQ388" s="533"/>
      <c r="AR388" s="533"/>
      <c r="AS388" s="533"/>
      <c r="AT388" s="533"/>
      <c r="AU388" s="533"/>
    </row>
    <row r="389" spans="1:47" ht="12.75" hidden="1" customHeight="1" x14ac:dyDescent="0.25">
      <c r="A389" s="41"/>
      <c r="B389" s="104" t="s">
        <v>510</v>
      </c>
      <c r="C389" s="695" t="s">
        <v>113</v>
      </c>
      <c r="D389" s="636"/>
      <c r="E389" s="828"/>
      <c r="F389" s="743" t="s">
        <v>114</v>
      </c>
      <c r="G389" s="42" t="s">
        <v>115</v>
      </c>
      <c r="H389" s="27">
        <f>VLOOKUP(C389,A!A$1:O$669,15,FALSE)</f>
        <v>2</v>
      </c>
      <c r="I389" s="27"/>
      <c r="J389" s="28">
        <f>IF(VLOOKUP(C389,A!A$1:O$669,11,FALSE)="y",1,0)</f>
        <v>0</v>
      </c>
      <c r="K389" s="28">
        <f>IF(VLOOKUP(C389,A!A$1:O$669,12,FALSE)="y",1,0)</f>
        <v>0</v>
      </c>
      <c r="L389" s="544" t="str">
        <f t="shared" si="80"/>
        <v>Low</v>
      </c>
      <c r="M389" s="27">
        <f>VLOOKUP(C389,A!A$1:O$669,13,FALSE)</f>
        <v>0</v>
      </c>
      <c r="N389" s="44" t="s">
        <v>31</v>
      </c>
      <c r="O389" s="533">
        <f>VLOOKUP(C389,A!A$1:O$669,9,FALSE)</f>
        <v>0</v>
      </c>
      <c r="P389" s="533" t="s">
        <v>1249</v>
      </c>
      <c r="Q389" s="533" t="str">
        <f>IF(S389=0,"",COUNTIF(Q$12:Q388,"&gt;0")+1)</f>
        <v/>
      </c>
      <c r="R389" s="533" t="str">
        <f>IF(S389=0,"",COUNTIF(R$12:R388,"&gt;0")+1)</f>
        <v/>
      </c>
      <c r="S389" s="533">
        <f t="shared" si="82"/>
        <v>0</v>
      </c>
      <c r="T389" s="533">
        <f>VLOOKUP(C389,A!A$1:AH$669,32,FALSE)</f>
        <v>0</v>
      </c>
      <c r="U389" s="533">
        <v>0.1</v>
      </c>
      <c r="V389" s="533"/>
      <c r="W389" s="533" t="str">
        <f t="shared" si="83"/>
        <v/>
      </c>
      <c r="X389" s="533">
        <f>IF(V389&lt;&gt;"",COUNTIF(V$46:V389,V389)-1,0)</f>
        <v>0</v>
      </c>
      <c r="Y389" s="533"/>
      <c r="Z389" s="533" t="str">
        <f t="shared" si="84"/>
        <v/>
      </c>
      <c r="AA389" s="533" t="str">
        <f>IFERROR(RANK(Z389,Z$363:Z$487,0)+COUNTIF(Z$363:Z389,Z389)-1,"")</f>
        <v/>
      </c>
      <c r="AB389" s="533">
        <f t="shared" si="85"/>
        <v>0</v>
      </c>
      <c r="AC389" s="533">
        <f t="shared" si="86"/>
        <v>0</v>
      </c>
      <c r="AD389" s="533"/>
      <c r="AE389" s="533"/>
      <c r="AF389" s="533"/>
      <c r="AG389" s="533"/>
      <c r="AH389" s="533"/>
      <c r="AI389" s="533"/>
      <c r="AJ389" s="533"/>
      <c r="AK389" s="533"/>
      <c r="AL389" s="533"/>
      <c r="AM389" s="533"/>
      <c r="AN389" s="533"/>
      <c r="AO389" s="533"/>
      <c r="AP389" s="533"/>
      <c r="AQ389" s="533"/>
      <c r="AR389" s="533"/>
      <c r="AS389" s="533"/>
      <c r="AT389" s="533"/>
      <c r="AU389" s="533"/>
    </row>
    <row r="390" spans="1:47" ht="12.75" hidden="1" customHeight="1" x14ac:dyDescent="0.25">
      <c r="A390" s="41"/>
      <c r="B390" s="104" t="s">
        <v>510</v>
      </c>
      <c r="C390" s="695" t="s">
        <v>1081</v>
      </c>
      <c r="D390" s="727"/>
      <c r="E390" s="828"/>
      <c r="F390" s="773" t="s">
        <v>1024</v>
      </c>
      <c r="G390" s="42" t="s">
        <v>1025</v>
      </c>
      <c r="H390" s="27">
        <f>VLOOKUP(C390,A!A$1:O$669,15,FALSE)</f>
        <v>1</v>
      </c>
      <c r="I390" s="27"/>
      <c r="J390" s="28">
        <f>IF(VLOOKUP(C390,A!A$1:O$669,11,FALSE)="y",1,0)</f>
        <v>0</v>
      </c>
      <c r="K390" s="28">
        <f>IF(VLOOKUP(C390,A!A$1:O$669,12,FALSE)="y",1,0)</f>
        <v>0</v>
      </c>
      <c r="L390" s="544" t="str">
        <f t="shared" si="80"/>
        <v>Low</v>
      </c>
      <c r="M390" s="27"/>
      <c r="N390" s="44" t="s">
        <v>39</v>
      </c>
      <c r="O390" s="533">
        <f>VLOOKUP(C390,A!A$1:O$669,9,FALSE)</f>
        <v>0</v>
      </c>
      <c r="P390" s="533" t="s">
        <v>1249</v>
      </c>
      <c r="Q390" s="533" t="str">
        <f>IF(S390=0,"",COUNTIF(Q$12:Q389,"&gt;0")+1)</f>
        <v/>
      </c>
      <c r="R390" s="533" t="str">
        <f>IF(S390=0,"",COUNTIF(R$12:R389,"&gt;0")+1)</f>
        <v/>
      </c>
      <c r="S390" s="533">
        <f t="shared" si="82"/>
        <v>0</v>
      </c>
      <c r="T390" s="533">
        <f>VLOOKUP(C390,A!A$1:AH$669,32,FALSE)</f>
        <v>0</v>
      </c>
      <c r="U390" s="533">
        <v>0.1</v>
      </c>
      <c r="V390" s="533"/>
      <c r="W390" s="533" t="str">
        <f t="shared" si="83"/>
        <v/>
      </c>
      <c r="X390" s="533">
        <f>IF(V390&lt;&gt;"",COUNTIF(V$46:V390,V390)-1,0)</f>
        <v>0</v>
      </c>
      <c r="Y390" s="533"/>
      <c r="Z390" s="533" t="str">
        <f t="shared" si="84"/>
        <v/>
      </c>
      <c r="AA390" s="533" t="str">
        <f>IFERROR(RANK(Z390,Z$363:Z$487,0)+COUNTIF(Z$363:Z390,Z390)-1,"")</f>
        <v/>
      </c>
      <c r="AB390" s="533">
        <f t="shared" si="85"/>
        <v>0</v>
      </c>
      <c r="AC390" s="533">
        <f t="shared" si="86"/>
        <v>0</v>
      </c>
      <c r="AD390" s="533"/>
      <c r="AE390" s="533"/>
      <c r="AF390" s="533"/>
      <c r="AG390" s="533"/>
      <c r="AH390" s="533"/>
      <c r="AI390" s="533"/>
      <c r="AJ390" s="533"/>
      <c r="AK390" s="533"/>
      <c r="AL390" s="533"/>
      <c r="AM390" s="533"/>
      <c r="AN390" s="533"/>
      <c r="AO390" s="533"/>
      <c r="AP390" s="533"/>
      <c r="AQ390" s="533"/>
      <c r="AR390" s="533"/>
      <c r="AS390" s="533"/>
      <c r="AT390" s="533"/>
      <c r="AU390" s="533"/>
    </row>
    <row r="391" spans="1:47" ht="12.75" hidden="1" customHeight="1" x14ac:dyDescent="0.25">
      <c r="A391" s="41"/>
      <c r="B391" s="104" t="s">
        <v>510</v>
      </c>
      <c r="C391" s="694" t="s">
        <v>116</v>
      </c>
      <c r="D391" s="727"/>
      <c r="E391" s="1066"/>
      <c r="F391" s="773" t="s">
        <v>117</v>
      </c>
      <c r="G391" s="42" t="s">
        <v>118</v>
      </c>
      <c r="H391" s="27">
        <f>VLOOKUP(C391,A!A$1:O$669,15,FALSE)</f>
        <v>2</v>
      </c>
      <c r="I391" s="27"/>
      <c r="J391" s="28">
        <f>IF(VLOOKUP(C391,A!A$1:O$669,11,FALSE)="y",1,0)</f>
        <v>0</v>
      </c>
      <c r="K391" s="28">
        <f>IF(VLOOKUP(C391,A!A$1:O$669,12,FALSE)="y",1,0)</f>
        <v>0</v>
      </c>
      <c r="L391" s="544" t="str">
        <f t="shared" si="80"/>
        <v>Low</v>
      </c>
      <c r="M391" s="27">
        <f>VLOOKUP(C391,A!A$1:O$669,13,FALSE)</f>
        <v>0</v>
      </c>
      <c r="N391" s="44" t="s">
        <v>31</v>
      </c>
      <c r="O391" s="533">
        <f>VLOOKUP(C391,A!A$1:O$669,9,FALSE)</f>
        <v>0</v>
      </c>
      <c r="P391" s="533" t="s">
        <v>1249</v>
      </c>
      <c r="Q391" s="533" t="str">
        <f>IF(S391=0,"",COUNTIF(Q$12:Q390,"&gt;0")+1)</f>
        <v/>
      </c>
      <c r="R391" s="533" t="str">
        <f>IF(S391=0,"",COUNTIF(R$12:R390,"&gt;0")+1)</f>
        <v/>
      </c>
      <c r="S391" s="533">
        <f t="shared" si="82"/>
        <v>0</v>
      </c>
      <c r="T391" s="533">
        <f>VLOOKUP(C391,A!A$1:AH$669,32,FALSE)</f>
        <v>0</v>
      </c>
      <c r="U391" s="533">
        <v>0.1</v>
      </c>
      <c r="V391" s="533"/>
      <c r="W391" s="533" t="str">
        <f t="shared" si="83"/>
        <v/>
      </c>
      <c r="X391" s="533">
        <f>IF(V391&lt;&gt;"",COUNTIF(V$46:V391,V391)-1,0)</f>
        <v>0</v>
      </c>
      <c r="Y391" s="533"/>
      <c r="Z391" s="533" t="str">
        <f t="shared" si="84"/>
        <v/>
      </c>
      <c r="AA391" s="533" t="str">
        <f>IFERROR(RANK(Z391,Z$363:Z$487,0)+COUNTIF(Z$363:Z391,Z391)-1,"")</f>
        <v/>
      </c>
      <c r="AB391" s="533">
        <f t="shared" si="85"/>
        <v>0</v>
      </c>
      <c r="AC391" s="533">
        <f t="shared" si="86"/>
        <v>0</v>
      </c>
      <c r="AD391" s="533"/>
      <c r="AE391" s="533"/>
      <c r="AF391" s="533"/>
      <c r="AG391" s="533"/>
      <c r="AH391" s="533"/>
      <c r="AI391" s="533"/>
      <c r="AJ391" s="533"/>
      <c r="AK391" s="533"/>
      <c r="AL391" s="533"/>
      <c r="AM391" s="533"/>
      <c r="AN391" s="533"/>
      <c r="AO391" s="533"/>
      <c r="AP391" s="533"/>
      <c r="AQ391" s="533"/>
      <c r="AR391" s="533"/>
      <c r="AS391" s="533"/>
      <c r="AT391" s="533"/>
      <c r="AU391" s="533"/>
    </row>
    <row r="392" spans="1:47" ht="13.5" hidden="1" customHeight="1" x14ac:dyDescent="0.25">
      <c r="A392" s="41"/>
      <c r="B392" s="104" t="s">
        <v>510</v>
      </c>
      <c r="C392" s="695" t="s">
        <v>119</v>
      </c>
      <c r="D392" s="727"/>
      <c r="E392" s="828"/>
      <c r="F392" s="773" t="s">
        <v>1000</v>
      </c>
      <c r="G392" s="42" t="s">
        <v>121</v>
      </c>
      <c r="H392" s="27">
        <f>VLOOKUP(C392,A!A$1:O$669,15,FALSE)</f>
        <v>1</v>
      </c>
      <c r="I392" s="27"/>
      <c r="J392" s="28">
        <f>IF(VLOOKUP(C392,A!A$1:O$669,11,FALSE)="y",1,0)</f>
        <v>0</v>
      </c>
      <c r="K392" s="28">
        <f>IF(VLOOKUP(C392,A!A$1:O$669,12,FALSE)="y",1,0)</f>
        <v>0</v>
      </c>
      <c r="L392" s="544" t="str">
        <f t="shared" si="80"/>
        <v>Low</v>
      </c>
      <c r="M392" s="27">
        <f>VLOOKUP(C392,A!A$1:O$669,13,FALSE)</f>
        <v>0</v>
      </c>
      <c r="N392" s="44" t="s">
        <v>31</v>
      </c>
      <c r="O392" s="533">
        <f>VLOOKUP(C392,A!A$1:O$669,9,FALSE)</f>
        <v>0</v>
      </c>
      <c r="P392" s="533" t="s">
        <v>1249</v>
      </c>
      <c r="Q392" s="533" t="str">
        <f>IF(S392=0,"",COUNTIF(Q$12:Q391,"&gt;0")+1)</f>
        <v/>
      </c>
      <c r="R392" s="533" t="str">
        <f>IF(S392=0,"",COUNTIF(R$12:R391,"&gt;0")+1)</f>
        <v/>
      </c>
      <c r="S392" s="533">
        <f t="shared" si="82"/>
        <v>0</v>
      </c>
      <c r="T392" s="533">
        <f>VLOOKUP(C392,A!A$1:AH$669,32,FALSE)</f>
        <v>0</v>
      </c>
      <c r="U392" s="533">
        <v>0.1</v>
      </c>
      <c r="V392" s="533"/>
      <c r="W392" s="533" t="str">
        <f t="shared" si="83"/>
        <v/>
      </c>
      <c r="X392" s="533">
        <f>IF(V392&lt;&gt;"",COUNTIF(V$46:V392,V392)-1,0)</f>
        <v>0</v>
      </c>
      <c r="Y392" s="533"/>
      <c r="Z392" s="533" t="str">
        <f t="shared" si="84"/>
        <v/>
      </c>
      <c r="AA392" s="533" t="str">
        <f>IFERROR(RANK(Z392,Z$363:Z$487,0)+COUNTIF(Z$363:Z392,Z392)-1,"")</f>
        <v/>
      </c>
      <c r="AB392" s="533">
        <f t="shared" si="85"/>
        <v>0</v>
      </c>
      <c r="AC392" s="533">
        <f t="shared" si="86"/>
        <v>0</v>
      </c>
      <c r="AD392" s="533"/>
      <c r="AE392" s="533"/>
      <c r="AF392" s="533"/>
      <c r="AG392" s="533"/>
      <c r="AH392" s="533"/>
      <c r="AI392" s="533"/>
      <c r="AJ392" s="533"/>
      <c r="AK392" s="533"/>
      <c r="AL392" s="533"/>
      <c r="AM392" s="533"/>
      <c r="AN392" s="533"/>
      <c r="AO392" s="533"/>
      <c r="AP392" s="533"/>
      <c r="AQ392" s="533"/>
      <c r="AR392" s="533"/>
      <c r="AS392" s="533"/>
      <c r="AT392" s="533"/>
      <c r="AU392" s="533"/>
    </row>
    <row r="393" spans="1:47" ht="13.5" hidden="1" customHeight="1" x14ac:dyDescent="0.25">
      <c r="A393" s="41"/>
      <c r="B393" s="104" t="s">
        <v>510</v>
      </c>
      <c r="C393" s="694" t="s">
        <v>1787</v>
      </c>
      <c r="D393" s="417"/>
      <c r="E393" s="828"/>
      <c r="F393" s="774" t="s">
        <v>1785</v>
      </c>
      <c r="G393" s="42" t="s">
        <v>1786</v>
      </c>
      <c r="H393" s="27">
        <f>VLOOKUP(C393,A!A$1:O$669,15,FALSE)</f>
        <v>1</v>
      </c>
      <c r="I393" s="27"/>
      <c r="J393" s="28">
        <f>IF(VLOOKUP(C393,A!A$1:O$669,11,FALSE)="y",1,0)</f>
        <v>0</v>
      </c>
      <c r="K393" s="28">
        <f>IF(VLOOKUP(C393,A!A$1:O$669,12,FALSE)="y",1,0)</f>
        <v>0</v>
      </c>
      <c r="L393" s="544" t="str">
        <f t="shared" si="80"/>
        <v>Low</v>
      </c>
      <c r="M393" s="27">
        <f>VLOOKUP(C393,A!A$1:O$669,13,FALSE)</f>
        <v>0</v>
      </c>
      <c r="N393" s="44" t="s">
        <v>494</v>
      </c>
      <c r="O393" s="533">
        <f>VLOOKUP(C393,A!A$1:O$669,9,FALSE)</f>
        <v>0</v>
      </c>
      <c r="P393" s="533" t="s">
        <v>1249</v>
      </c>
      <c r="Q393" s="533" t="str">
        <f>IF(S393=0,"",COUNTIF(Q$12:Q392,"&gt;0")+1)</f>
        <v/>
      </c>
      <c r="R393" s="533" t="str">
        <f>IF(S393=0,"",COUNTIF(R$12:R392,"&gt;0")+1)</f>
        <v/>
      </c>
      <c r="S393" s="533">
        <f t="shared" si="82"/>
        <v>0</v>
      </c>
      <c r="T393" s="533">
        <f>VLOOKUP(C393,A!A$1:AH$669,32,FALSE)</f>
        <v>0</v>
      </c>
      <c r="U393" s="533">
        <v>0.1</v>
      </c>
      <c r="V393" s="533"/>
      <c r="W393" s="533" t="str">
        <f t="shared" si="83"/>
        <v/>
      </c>
      <c r="X393" s="533">
        <f>IF(V393&lt;&gt;"",COUNTIF(V$46:V393,V393)-1,0)</f>
        <v>0</v>
      </c>
      <c r="Y393" s="533"/>
      <c r="Z393" s="533" t="str">
        <f t="shared" si="84"/>
        <v/>
      </c>
      <c r="AA393" s="533" t="str">
        <f>IFERROR(RANK(Z393,Z$363:Z$487,0)+COUNTIF(Z$363:Z393,Z393)-1,"")</f>
        <v/>
      </c>
      <c r="AB393" s="533">
        <f t="shared" si="85"/>
        <v>0</v>
      </c>
      <c r="AC393" s="533">
        <f t="shared" si="86"/>
        <v>0</v>
      </c>
      <c r="AD393" s="533"/>
      <c r="AE393" s="533"/>
      <c r="AF393" s="533"/>
      <c r="AG393" s="533"/>
      <c r="AH393" s="533"/>
      <c r="AI393" s="533"/>
      <c r="AJ393" s="533"/>
      <c r="AK393" s="533"/>
      <c r="AL393" s="533"/>
      <c r="AM393" s="533"/>
      <c r="AN393" s="533"/>
      <c r="AO393" s="533"/>
      <c r="AP393" s="533"/>
      <c r="AQ393" s="533"/>
      <c r="AR393" s="533"/>
      <c r="AS393" s="533"/>
      <c r="AT393" s="533"/>
      <c r="AU393" s="533"/>
    </row>
    <row r="394" spans="1:47" ht="13.5" hidden="1" customHeight="1" x14ac:dyDescent="0.25">
      <c r="A394" s="41"/>
      <c r="B394" s="104" t="s">
        <v>510</v>
      </c>
      <c r="C394" s="695" t="s">
        <v>125</v>
      </c>
      <c r="D394" s="727"/>
      <c r="E394" s="828"/>
      <c r="F394" s="773" t="s">
        <v>126</v>
      </c>
      <c r="G394" s="42" t="s">
        <v>127</v>
      </c>
      <c r="H394" s="27">
        <v>1</v>
      </c>
      <c r="I394" s="27"/>
      <c r="J394" s="28">
        <f>IF(VLOOKUP(C394,A!A$1:O$669,11,FALSE)="y",1,0)</f>
        <v>0</v>
      </c>
      <c r="K394" s="28">
        <f>IF(VLOOKUP(C394,A!A$1:O$669,12,FALSE)="y",1,0)</f>
        <v>0</v>
      </c>
      <c r="L394" s="544" t="str">
        <f t="shared" si="80"/>
        <v>Low</v>
      </c>
      <c r="M394" s="27">
        <f>VLOOKUP(C394,A!A$1:O$669,13,FALSE)</f>
        <v>0</v>
      </c>
      <c r="N394" s="44" t="s">
        <v>22</v>
      </c>
      <c r="O394" s="533">
        <f>VLOOKUP(C394,A!A$1:O$669,9,FALSE)</f>
        <v>0</v>
      </c>
      <c r="P394" s="533" t="s">
        <v>1249</v>
      </c>
      <c r="Q394" s="533" t="str">
        <f>IF(S394=0,"",COUNTIF(Q$12:Q393,"&gt;0")+1)</f>
        <v/>
      </c>
      <c r="R394" s="533" t="str">
        <f>IF(S394=0,"",COUNTIF(R$12:R393,"&gt;0")+1)</f>
        <v/>
      </c>
      <c r="S394" s="533">
        <f t="shared" si="82"/>
        <v>0</v>
      </c>
      <c r="T394" s="533">
        <f>VLOOKUP(C394,A!A$1:AH$669,32,FALSE)</f>
        <v>0</v>
      </c>
      <c r="U394" s="533">
        <v>0.1</v>
      </c>
      <c r="V394" s="533"/>
      <c r="W394" s="533" t="str">
        <f t="shared" si="83"/>
        <v/>
      </c>
      <c r="X394" s="533">
        <f>IF(V394&lt;&gt;"",COUNTIF(V$46:V394,V394)-1,0)</f>
        <v>0</v>
      </c>
      <c r="Y394" s="533"/>
      <c r="Z394" s="533" t="str">
        <f t="shared" si="84"/>
        <v/>
      </c>
      <c r="AA394" s="533" t="str">
        <f>IFERROR(RANK(Z394,Z$363:Z$487,0)+COUNTIF(Z$363:Z394,Z394)-1,"")</f>
        <v/>
      </c>
      <c r="AB394" s="533">
        <f t="shared" si="85"/>
        <v>0</v>
      </c>
      <c r="AC394" s="533">
        <f t="shared" si="86"/>
        <v>0</v>
      </c>
      <c r="AD394" s="533"/>
      <c r="AE394" s="533"/>
      <c r="AF394" s="533"/>
      <c r="AG394" s="533"/>
      <c r="AH394" s="533"/>
      <c r="AI394" s="533"/>
      <c r="AJ394" s="533"/>
      <c r="AK394" s="533"/>
      <c r="AL394" s="533"/>
      <c r="AM394" s="533"/>
      <c r="AN394" s="533"/>
      <c r="AO394" s="533"/>
      <c r="AP394" s="533"/>
      <c r="AQ394" s="533"/>
      <c r="AR394" s="533"/>
      <c r="AS394" s="533"/>
      <c r="AT394" s="533"/>
      <c r="AU394" s="533"/>
    </row>
    <row r="395" spans="1:47" ht="12.75" hidden="1" customHeight="1" x14ac:dyDescent="0.25">
      <c r="A395" s="41"/>
      <c r="B395" s="104" t="s">
        <v>510</v>
      </c>
      <c r="C395" s="695" t="s">
        <v>131</v>
      </c>
      <c r="D395" s="727"/>
      <c r="E395" s="828"/>
      <c r="F395" s="740" t="s">
        <v>132</v>
      </c>
      <c r="G395" s="26" t="s">
        <v>133</v>
      </c>
      <c r="H395" s="27">
        <f>VLOOKUP(C395,A!A$1:O$669,15,FALSE)</f>
        <v>2</v>
      </c>
      <c r="I395" s="27" t="s">
        <v>30</v>
      </c>
      <c r="J395" s="28">
        <f>IF(VLOOKUP(C395,A!A$1:O$669,11,FALSE)="y",1,0)</f>
        <v>0</v>
      </c>
      <c r="K395" s="28">
        <f>IF(VLOOKUP(C395,A!A$1:O$669,12,FALSE)="y",1,0)</f>
        <v>0</v>
      </c>
      <c r="L395" s="544" t="str">
        <f t="shared" si="80"/>
        <v>Low</v>
      </c>
      <c r="M395" s="27">
        <f>VLOOKUP(C395,A!A$1:O$669,13,FALSE)</f>
        <v>0</v>
      </c>
      <c r="N395" s="44" t="s">
        <v>39</v>
      </c>
      <c r="O395" s="533">
        <f>VLOOKUP(C395,A!A$1:O$669,9,FALSE)</f>
        <v>0</v>
      </c>
      <c r="P395" s="533" t="s">
        <v>1249</v>
      </c>
      <c r="Q395" s="533" t="str">
        <f>IF(S395=0,"",COUNTIF(Q$12:Q394,"&gt;0")+1)</f>
        <v/>
      </c>
      <c r="R395" s="533" t="str">
        <f>IF(S395=0,"",COUNTIF(R$12:R394,"&gt;0")+1)</f>
        <v/>
      </c>
      <c r="S395" s="533">
        <f t="shared" si="82"/>
        <v>0</v>
      </c>
      <c r="T395" s="533">
        <f>VLOOKUP(C395,A!A$1:AH$669,32,FALSE)</f>
        <v>0</v>
      </c>
      <c r="U395" s="533">
        <v>0.1</v>
      </c>
      <c r="V395" s="533"/>
      <c r="W395" s="533" t="str">
        <f t="shared" si="83"/>
        <v/>
      </c>
      <c r="X395" s="533">
        <f>IF(V395&lt;&gt;"",COUNTIF(V$46:V395,V395)-1,0)</f>
        <v>0</v>
      </c>
      <c r="Y395" s="533"/>
      <c r="Z395" s="533" t="str">
        <f t="shared" si="84"/>
        <v/>
      </c>
      <c r="AA395" s="533" t="str">
        <f>IFERROR(RANK(Z395,Z$363:Z$487,0)+COUNTIF(Z$363:Z395,Z395)-1,"")</f>
        <v/>
      </c>
      <c r="AB395" s="533">
        <f t="shared" si="85"/>
        <v>0</v>
      </c>
      <c r="AC395" s="533">
        <f t="shared" si="86"/>
        <v>0</v>
      </c>
      <c r="AD395" s="533"/>
      <c r="AE395" s="533"/>
      <c r="AF395" s="533"/>
      <c r="AG395" s="533"/>
      <c r="AH395" s="533"/>
      <c r="AI395" s="533"/>
      <c r="AJ395" s="533"/>
      <c r="AK395" s="533"/>
      <c r="AL395" s="533"/>
      <c r="AM395" s="533"/>
      <c r="AN395" s="533"/>
      <c r="AO395" s="533"/>
      <c r="AP395" s="533"/>
      <c r="AQ395" s="533"/>
      <c r="AR395" s="533"/>
      <c r="AS395" s="533"/>
      <c r="AT395" s="533"/>
      <c r="AU395" s="533"/>
    </row>
    <row r="396" spans="1:47" ht="12.75" hidden="1" customHeight="1" x14ac:dyDescent="0.25">
      <c r="A396" s="41"/>
      <c r="B396" s="104" t="s">
        <v>510</v>
      </c>
      <c r="C396" s="695" t="s">
        <v>134</v>
      </c>
      <c r="D396" s="727"/>
      <c r="E396" s="828"/>
      <c r="F396" s="740" t="s">
        <v>135</v>
      </c>
      <c r="G396" s="26" t="s">
        <v>136</v>
      </c>
      <c r="H396" s="27">
        <f>VLOOKUP(C396,A!A$1:O$669,15,FALSE)</f>
        <v>3</v>
      </c>
      <c r="I396" s="27" t="s">
        <v>30</v>
      </c>
      <c r="J396" s="28">
        <f>IF(VLOOKUP(C396,A!A$1:O$669,11,FALSE)="y",1,0)</f>
        <v>0</v>
      </c>
      <c r="K396" s="28">
        <f>IF(VLOOKUP(C396,A!A$1:O$669,12,FALSE)="y",1,0)</f>
        <v>0</v>
      </c>
      <c r="L396" s="544" t="str">
        <f t="shared" si="80"/>
        <v>Low</v>
      </c>
      <c r="M396" s="27">
        <f>VLOOKUP(C396,A!A$1:O$669,13,FALSE)</f>
        <v>0</v>
      </c>
      <c r="N396" s="44" t="s">
        <v>39</v>
      </c>
      <c r="O396" s="533">
        <f>VLOOKUP(C396,A!A$1:O$669,9,FALSE)</f>
        <v>0</v>
      </c>
      <c r="P396" s="533" t="s">
        <v>1249</v>
      </c>
      <c r="Q396" s="533" t="str">
        <f>IF(S396=0,"",COUNTIF(Q$12:Q395,"&gt;0")+1)</f>
        <v/>
      </c>
      <c r="R396" s="533" t="str">
        <f>IF(S396=0,"",COUNTIF(R$12:R395,"&gt;0")+1)</f>
        <v/>
      </c>
      <c r="S396" s="533">
        <f t="shared" si="82"/>
        <v>0</v>
      </c>
      <c r="T396" s="533">
        <f>VLOOKUP(C396,A!A$1:AH$669,32,FALSE)</f>
        <v>0</v>
      </c>
      <c r="U396" s="533">
        <v>0.1</v>
      </c>
      <c r="V396" s="533"/>
      <c r="W396" s="533" t="str">
        <f t="shared" si="83"/>
        <v/>
      </c>
      <c r="X396" s="533">
        <f>IF(V396&lt;&gt;"",COUNTIF(V$46:V396,V396)-1,0)</f>
        <v>0</v>
      </c>
      <c r="Y396" s="533"/>
      <c r="Z396" s="533" t="str">
        <f t="shared" si="84"/>
        <v/>
      </c>
      <c r="AA396" s="533" t="str">
        <f>IFERROR(RANK(Z396,Z$363:Z$487,0)+COUNTIF(Z$363:Z396,Z396)-1,"")</f>
        <v/>
      </c>
      <c r="AB396" s="533">
        <f t="shared" si="85"/>
        <v>0</v>
      </c>
      <c r="AC396" s="533">
        <f t="shared" si="86"/>
        <v>0</v>
      </c>
      <c r="AD396" s="533"/>
      <c r="AE396" s="533"/>
      <c r="AF396" s="533"/>
      <c r="AG396" s="533"/>
      <c r="AH396" s="533"/>
      <c r="AI396" s="533"/>
      <c r="AJ396" s="533"/>
      <c r="AK396" s="533"/>
      <c r="AL396" s="533"/>
      <c r="AM396" s="533"/>
      <c r="AN396" s="533"/>
      <c r="AO396" s="533"/>
      <c r="AP396" s="533"/>
      <c r="AQ396" s="533"/>
      <c r="AR396" s="533"/>
      <c r="AS396" s="533"/>
      <c r="AT396" s="533"/>
      <c r="AU396" s="533"/>
    </row>
    <row r="397" spans="1:47" ht="12.75" hidden="1" customHeight="1" x14ac:dyDescent="0.25">
      <c r="A397" s="41"/>
      <c r="B397" s="104" t="s">
        <v>510</v>
      </c>
      <c r="C397" s="695" t="s">
        <v>146</v>
      </c>
      <c r="D397" s="727"/>
      <c r="E397" s="828"/>
      <c r="F397" s="743" t="s">
        <v>147</v>
      </c>
      <c r="G397" s="42" t="s">
        <v>148</v>
      </c>
      <c r="H397" s="27">
        <f>VLOOKUP(C397,A!A$1:O$669,15,FALSE)</f>
        <v>1</v>
      </c>
      <c r="I397" s="27" t="s">
        <v>30</v>
      </c>
      <c r="J397" s="28">
        <f>IF(VLOOKUP(C397,A!A$1:O$669,11,FALSE)="y",1,0)</f>
        <v>0</v>
      </c>
      <c r="K397" s="28">
        <f>IF(VLOOKUP(C397,A!A$1:O$669,12,FALSE)="y",1,0)</f>
        <v>0</v>
      </c>
      <c r="L397" s="544" t="str">
        <f t="shared" si="80"/>
        <v>Low</v>
      </c>
      <c r="M397" s="27"/>
      <c r="N397" s="44">
        <v>1</v>
      </c>
      <c r="O397" s="533">
        <f>VLOOKUP(C397,A!A$1:O$669,9,FALSE)</f>
        <v>0</v>
      </c>
      <c r="P397" s="533" t="s">
        <v>1249</v>
      </c>
      <c r="Q397" s="533" t="str">
        <f>IF(S397=0,"",COUNTIF(Q$12:Q396,"&gt;0")+1)</f>
        <v/>
      </c>
      <c r="R397" s="533" t="str">
        <f>IF(S397=0,"",COUNTIF(R$12:R396,"&gt;0")+1)</f>
        <v/>
      </c>
      <c r="S397" s="533">
        <f t="shared" si="82"/>
        <v>0</v>
      </c>
      <c r="T397" s="533">
        <f>VLOOKUP(C397,A!A$1:AH$669,32,FALSE)</f>
        <v>0</v>
      </c>
      <c r="U397" s="533">
        <v>0.1</v>
      </c>
      <c r="V397" s="533"/>
      <c r="W397" s="533" t="str">
        <f t="shared" si="83"/>
        <v/>
      </c>
      <c r="X397" s="533">
        <f>IF(V397&lt;&gt;"",COUNTIF(V$46:V397,V397)-1,0)</f>
        <v>0</v>
      </c>
      <c r="Y397" s="533"/>
      <c r="Z397" s="533" t="str">
        <f t="shared" si="84"/>
        <v/>
      </c>
      <c r="AA397" s="533" t="str">
        <f>IFERROR(RANK(Z397,Z$363:Z$487,0)+COUNTIF(Z$363:Z397,Z397)-1,"")</f>
        <v/>
      </c>
      <c r="AB397" s="533">
        <f t="shared" si="85"/>
        <v>0</v>
      </c>
      <c r="AC397" s="533">
        <f t="shared" si="86"/>
        <v>0</v>
      </c>
      <c r="AD397" s="533"/>
      <c r="AE397" s="533"/>
      <c r="AF397" s="533"/>
      <c r="AG397" s="533"/>
      <c r="AH397" s="533"/>
      <c r="AI397" s="533"/>
      <c r="AJ397" s="533"/>
      <c r="AK397" s="533"/>
      <c r="AL397" s="533"/>
      <c r="AM397" s="533"/>
      <c r="AN397" s="533"/>
      <c r="AO397" s="533"/>
      <c r="AP397" s="533"/>
      <c r="AQ397" s="533"/>
      <c r="AR397" s="533"/>
      <c r="AS397" s="533"/>
      <c r="AT397" s="533"/>
      <c r="AU397" s="533"/>
    </row>
    <row r="398" spans="1:47" ht="12.75" hidden="1" customHeight="1" x14ac:dyDescent="0.25">
      <c r="A398" s="41"/>
      <c r="B398" s="598" t="s">
        <v>510</v>
      </c>
      <c r="C398" s="694" t="s">
        <v>149</v>
      </c>
      <c r="D398" s="727"/>
      <c r="E398" s="828"/>
      <c r="F398" s="743" t="s">
        <v>1276</v>
      </c>
      <c r="G398" s="42" t="s">
        <v>151</v>
      </c>
      <c r="H398" s="27">
        <f>VLOOKUP(C398,A!A$1:O$669,15,FALSE)</f>
        <v>3</v>
      </c>
      <c r="I398" s="27" t="s">
        <v>30</v>
      </c>
      <c r="J398" s="28">
        <f>IF(VLOOKUP(C398,A!A$1:O$669,11,FALSE)="y",1,0)</f>
        <v>0</v>
      </c>
      <c r="K398" s="28">
        <f>IF(VLOOKUP(C398,A!A$1:O$669,12,FALSE)="y",1,0)</f>
        <v>0</v>
      </c>
      <c r="L398" s="544" t="str">
        <f t="shared" si="80"/>
        <v>Low</v>
      </c>
      <c r="M398" s="27"/>
      <c r="N398" s="44" t="s">
        <v>39</v>
      </c>
      <c r="O398" s="533">
        <f>VLOOKUP(C398,A!A$1:O$669,9,FALSE)</f>
        <v>0</v>
      </c>
      <c r="P398" s="533" t="s">
        <v>1249</v>
      </c>
      <c r="Q398" s="533" t="str">
        <f>IF(S398=0,"",COUNTIF(Q$12:Q397,"&gt;0")+1)</f>
        <v/>
      </c>
      <c r="R398" s="533" t="str">
        <f>IF(S398=0,"",COUNTIF(R$12:R397,"&gt;0")+1)</f>
        <v/>
      </c>
      <c r="S398" s="533">
        <f t="shared" si="82"/>
        <v>0</v>
      </c>
      <c r="T398" s="533">
        <f>VLOOKUP(C398,A!A$1:AH$669,32,FALSE)</f>
        <v>0</v>
      </c>
      <c r="U398" s="533">
        <v>0.1</v>
      </c>
      <c r="V398" s="533"/>
      <c r="W398" s="533" t="str">
        <f t="shared" si="83"/>
        <v/>
      </c>
      <c r="X398" s="533">
        <f>IF(V398&lt;&gt;"",COUNTIF(V$46:V398,V398)-1,0)</f>
        <v>0</v>
      </c>
      <c r="Y398" s="533"/>
      <c r="Z398" s="533" t="str">
        <f t="shared" si="84"/>
        <v/>
      </c>
      <c r="AA398" s="533" t="str">
        <f>IFERROR(RANK(Z398,Z$363:Z$487,0)+COUNTIF(Z$363:Z398,Z398)-1,"")</f>
        <v/>
      </c>
      <c r="AB398" s="533">
        <f t="shared" si="85"/>
        <v>0</v>
      </c>
      <c r="AC398" s="533">
        <f t="shared" si="86"/>
        <v>0</v>
      </c>
      <c r="AD398" s="533"/>
      <c r="AE398" s="533"/>
      <c r="AF398" s="533"/>
      <c r="AG398" s="533"/>
      <c r="AH398" s="533"/>
      <c r="AI398" s="533"/>
      <c r="AJ398" s="533"/>
      <c r="AK398" s="533"/>
      <c r="AL398" s="533"/>
      <c r="AM398" s="533"/>
      <c r="AN398" s="533"/>
      <c r="AO398" s="533"/>
      <c r="AP398" s="533"/>
      <c r="AQ398" s="533"/>
      <c r="AR398" s="533"/>
      <c r="AS398" s="533"/>
      <c r="AT398" s="533"/>
      <c r="AU398" s="533"/>
    </row>
    <row r="399" spans="1:47" ht="12.75" hidden="1" customHeight="1" x14ac:dyDescent="0.25">
      <c r="A399" s="41"/>
      <c r="B399" s="104" t="s">
        <v>510</v>
      </c>
      <c r="C399" s="695" t="s">
        <v>152</v>
      </c>
      <c r="D399" s="727"/>
      <c r="E399" s="828"/>
      <c r="F399" s="740" t="s">
        <v>153</v>
      </c>
      <c r="G399" s="26" t="s">
        <v>154</v>
      </c>
      <c r="H399" s="27">
        <f>VLOOKUP(C399,A!A$1:O$669,15,FALSE)</f>
        <v>2</v>
      </c>
      <c r="I399" s="27"/>
      <c r="J399" s="28">
        <f>IF(VLOOKUP(C399,A!A$1:O$669,11,FALSE)="y",1,0)</f>
        <v>0</v>
      </c>
      <c r="K399" s="28">
        <f>IF(VLOOKUP(C399,A!A$1:O$669,12,FALSE)="y",1,0)</f>
        <v>0</v>
      </c>
      <c r="L399" s="544" t="str">
        <f t="shared" si="80"/>
        <v>Low</v>
      </c>
      <c r="M399" s="27">
        <f>VLOOKUP(C399,A!A$1:O$669,13,FALSE)</f>
        <v>0</v>
      </c>
      <c r="N399" s="44">
        <v>2</v>
      </c>
      <c r="O399" s="533">
        <f>VLOOKUP(C399,A!A$1:O$669,9,FALSE)</f>
        <v>0</v>
      </c>
      <c r="P399" s="533" t="s">
        <v>1249</v>
      </c>
      <c r="Q399" s="533" t="str">
        <f>IF(S399=0,"",COUNTIF(Q$12:Q398,"&gt;0")+1)</f>
        <v/>
      </c>
      <c r="R399" s="533" t="str">
        <f>IF(S399=0,"",COUNTIF(R$12:R398,"&gt;0")+1)</f>
        <v/>
      </c>
      <c r="S399" s="533">
        <f t="shared" si="82"/>
        <v>0</v>
      </c>
      <c r="T399" s="533">
        <f>VLOOKUP(C399,A!A$1:AH$669,32,FALSE)</f>
        <v>0</v>
      </c>
      <c r="U399" s="533">
        <v>0.1</v>
      </c>
      <c r="V399" s="533"/>
      <c r="W399" s="533" t="str">
        <f t="shared" si="83"/>
        <v/>
      </c>
      <c r="X399" s="533">
        <f>IF(V399&lt;&gt;"",COUNTIF(V$46:V399,V399)-1,0)</f>
        <v>0</v>
      </c>
      <c r="Y399" s="533"/>
      <c r="Z399" s="533" t="str">
        <f t="shared" si="84"/>
        <v/>
      </c>
      <c r="AA399" s="533" t="str">
        <f>IFERROR(RANK(Z399,Z$363:Z$487,0)+COUNTIF(Z$363:Z399,Z399)-1,"")</f>
        <v/>
      </c>
      <c r="AB399" s="533">
        <f t="shared" si="85"/>
        <v>0</v>
      </c>
      <c r="AC399" s="533">
        <f t="shared" si="86"/>
        <v>0</v>
      </c>
      <c r="AD399" s="533"/>
      <c r="AE399" s="533"/>
      <c r="AF399" s="533"/>
      <c r="AG399" s="533"/>
      <c r="AH399" s="533"/>
      <c r="AI399" s="533"/>
      <c r="AJ399" s="533"/>
      <c r="AK399" s="533"/>
      <c r="AL399" s="533"/>
      <c r="AM399" s="533"/>
      <c r="AN399" s="533"/>
      <c r="AO399" s="533"/>
      <c r="AP399" s="533"/>
      <c r="AQ399" s="533"/>
      <c r="AR399" s="533"/>
      <c r="AS399" s="533"/>
      <c r="AT399" s="533"/>
      <c r="AU399" s="533"/>
    </row>
    <row r="400" spans="1:47" ht="12.75" hidden="1" customHeight="1" x14ac:dyDescent="0.25">
      <c r="A400" s="41"/>
      <c r="B400" s="104" t="s">
        <v>510</v>
      </c>
      <c r="C400" s="695" t="s">
        <v>165</v>
      </c>
      <c r="D400" s="727"/>
      <c r="E400" s="828"/>
      <c r="F400" s="740" t="s">
        <v>163</v>
      </c>
      <c r="G400" s="26" t="s">
        <v>166</v>
      </c>
      <c r="H400" s="27">
        <f>VLOOKUP(C400,A!A$1:O$669,15,FALSE)</f>
        <v>1</v>
      </c>
      <c r="I400" s="27"/>
      <c r="J400" s="28">
        <f>IF(VLOOKUP(C400,A!A$1:O$669,11,FALSE)="y",1,0)</f>
        <v>0</v>
      </c>
      <c r="K400" s="28">
        <f>IF(VLOOKUP(C400,A!A$1:O$669,12,FALSE)="y",1,0)</f>
        <v>0</v>
      </c>
      <c r="L400" s="544" t="str">
        <f t="shared" si="80"/>
        <v>Low</v>
      </c>
      <c r="M400" s="27">
        <f>VLOOKUP(C400,A!A$1:O$669,13,FALSE)</f>
        <v>0</v>
      </c>
      <c r="N400" s="44" t="s">
        <v>39</v>
      </c>
      <c r="O400" s="533">
        <f>VLOOKUP(C400,A!A$1:O$669,9,FALSE)</f>
        <v>0</v>
      </c>
      <c r="P400" s="533" t="s">
        <v>1249</v>
      </c>
      <c r="Q400" s="533" t="str">
        <f>IF(S400=0,"",COUNTIF(Q$12:Q399,"&gt;0")+1)</f>
        <v/>
      </c>
      <c r="R400" s="533" t="str">
        <f>IF(S400=0,"",COUNTIF(R$12:R399,"&gt;0")+1)</f>
        <v/>
      </c>
      <c r="S400" s="533">
        <f t="shared" si="82"/>
        <v>0</v>
      </c>
      <c r="T400" s="533">
        <f>VLOOKUP(C400,A!A$1:AH$669,32,FALSE)</f>
        <v>0</v>
      </c>
      <c r="U400" s="533">
        <v>0.1</v>
      </c>
      <c r="V400" s="533"/>
      <c r="W400" s="533" t="str">
        <f t="shared" si="83"/>
        <v/>
      </c>
      <c r="X400" s="533">
        <f>IF(V400&lt;&gt;"",COUNTIF(V$46:V400,V400)-1,0)</f>
        <v>0</v>
      </c>
      <c r="Y400" s="533"/>
      <c r="Z400" s="533" t="str">
        <f t="shared" si="84"/>
        <v/>
      </c>
      <c r="AA400" s="533" t="str">
        <f>IFERROR(RANK(Z400,Z$363:Z$487,0)+COUNTIF(Z$363:Z400,Z400)-1,"")</f>
        <v/>
      </c>
      <c r="AB400" s="533">
        <f t="shared" si="85"/>
        <v>0</v>
      </c>
      <c r="AC400" s="533">
        <f t="shared" si="86"/>
        <v>0</v>
      </c>
      <c r="AD400" s="533"/>
      <c r="AE400" s="533"/>
      <c r="AF400" s="533"/>
      <c r="AG400" s="533"/>
      <c r="AH400" s="533"/>
      <c r="AI400" s="533"/>
      <c r="AJ400" s="533"/>
      <c r="AK400" s="533"/>
      <c r="AL400" s="533"/>
      <c r="AM400" s="533"/>
      <c r="AN400" s="533"/>
      <c r="AO400" s="533"/>
      <c r="AP400" s="533"/>
      <c r="AQ400" s="533"/>
      <c r="AR400" s="533"/>
      <c r="AS400" s="533"/>
      <c r="AT400" s="533"/>
      <c r="AU400" s="533"/>
    </row>
    <row r="401" spans="1:47" ht="12.75" hidden="1" customHeight="1" x14ac:dyDescent="0.25">
      <c r="A401" s="41"/>
      <c r="B401" s="104" t="s">
        <v>510</v>
      </c>
      <c r="C401" s="695" t="s">
        <v>167</v>
      </c>
      <c r="D401" s="727"/>
      <c r="E401" s="828"/>
      <c r="F401" s="740" t="s">
        <v>163</v>
      </c>
      <c r="G401" s="26" t="s">
        <v>168</v>
      </c>
      <c r="H401" s="27">
        <f>VLOOKUP(C401,A!A$1:O$669,15,FALSE)</f>
        <v>1</v>
      </c>
      <c r="I401" s="27"/>
      <c r="J401" s="28">
        <f>IF(VLOOKUP(C401,A!A$1:O$669,11,FALSE)="y",1,0)</f>
        <v>0</v>
      </c>
      <c r="K401" s="28">
        <f>IF(VLOOKUP(C401,A!A$1:O$669,12,FALSE)="y",1,0)</f>
        <v>0</v>
      </c>
      <c r="L401" s="544" t="str">
        <f t="shared" si="80"/>
        <v>Low</v>
      </c>
      <c r="M401" s="27">
        <f>VLOOKUP(C401,A!A$1:O$669,13,FALSE)</f>
        <v>0</v>
      </c>
      <c r="N401" s="44" t="s">
        <v>39</v>
      </c>
      <c r="O401" s="533">
        <f>VLOOKUP(C401,A!A$1:O$669,9,FALSE)</f>
        <v>0</v>
      </c>
      <c r="P401" s="533" t="s">
        <v>1249</v>
      </c>
      <c r="Q401" s="533" t="str">
        <f>IF(S401=0,"",COUNTIF(Q$12:Q400,"&gt;0")+1)</f>
        <v/>
      </c>
      <c r="R401" s="533" t="str">
        <f>IF(S401=0,"",COUNTIF(R$12:R400,"&gt;0")+1)</f>
        <v/>
      </c>
      <c r="S401" s="533">
        <f t="shared" si="82"/>
        <v>0</v>
      </c>
      <c r="T401" s="533">
        <f>VLOOKUP(C401,A!A$1:AH$669,32,FALSE)</f>
        <v>0</v>
      </c>
      <c r="U401" s="533">
        <v>0.1</v>
      </c>
      <c r="V401" s="533"/>
      <c r="W401" s="533" t="str">
        <f t="shared" si="83"/>
        <v/>
      </c>
      <c r="X401" s="533">
        <f>IF(V401&lt;&gt;"",COUNTIF(V$46:V401,V401)-1,0)</f>
        <v>0</v>
      </c>
      <c r="Y401" s="533"/>
      <c r="Z401" s="533" t="str">
        <f t="shared" si="84"/>
        <v/>
      </c>
      <c r="AA401" s="533" t="str">
        <f>IFERROR(RANK(Z401,Z$363:Z$487,0)+COUNTIF(Z$363:Z401,Z401)-1,"")</f>
        <v/>
      </c>
      <c r="AB401" s="533">
        <f t="shared" si="85"/>
        <v>0</v>
      </c>
      <c r="AC401" s="533">
        <f t="shared" si="86"/>
        <v>0</v>
      </c>
      <c r="AD401" s="533"/>
      <c r="AE401" s="533"/>
      <c r="AF401" s="533"/>
      <c r="AG401" s="533"/>
      <c r="AH401" s="533"/>
      <c r="AI401" s="533"/>
      <c r="AJ401" s="533"/>
      <c r="AK401" s="533"/>
      <c r="AL401" s="533"/>
      <c r="AM401" s="533"/>
      <c r="AN401" s="533"/>
      <c r="AO401" s="533"/>
      <c r="AP401" s="533"/>
      <c r="AQ401" s="533"/>
      <c r="AR401" s="533"/>
      <c r="AS401" s="533"/>
      <c r="AT401" s="533"/>
      <c r="AU401" s="533"/>
    </row>
    <row r="402" spans="1:47" ht="13.5" hidden="1" customHeight="1" x14ac:dyDescent="0.25">
      <c r="A402" s="41"/>
      <c r="B402" s="104" t="s">
        <v>510</v>
      </c>
      <c r="C402" s="695" t="s">
        <v>1209</v>
      </c>
      <c r="D402" s="727"/>
      <c r="E402" s="828"/>
      <c r="F402" s="740" t="s">
        <v>1216</v>
      </c>
      <c r="G402" s="26" t="s">
        <v>1215</v>
      </c>
      <c r="H402" s="27">
        <f>VLOOKUP(C402,A!A$1:O$669,15,FALSE)</f>
        <v>1</v>
      </c>
      <c r="I402" s="27"/>
      <c r="J402" s="28">
        <f>IF(VLOOKUP(C402,A!A$1:O$669,11,FALSE)="y",1,0)</f>
        <v>0</v>
      </c>
      <c r="K402" s="28">
        <f>IF(VLOOKUP(C402,A!A$1:O$669,12,FALSE)="y",1,0)</f>
        <v>0</v>
      </c>
      <c r="L402" s="544" t="str">
        <f>IF(T402&lt;35,"Low",IF(T402&gt;40,"High","Med"))</f>
        <v>Low</v>
      </c>
      <c r="M402" s="27">
        <f>VLOOKUP(C402,A!A$1:O$669,13,FALSE)</f>
        <v>0</v>
      </c>
      <c r="N402" s="44" t="s">
        <v>326</v>
      </c>
      <c r="O402" s="533">
        <f>VLOOKUP(C402,A!A$1:O$669,9,FALSE)</f>
        <v>0</v>
      </c>
      <c r="P402" s="533" t="s">
        <v>1249</v>
      </c>
      <c r="Q402" s="533" t="str">
        <f>IF(S402=0,"",COUNTIF(Q$12:Q401,"&gt;0")+1)</f>
        <v/>
      </c>
      <c r="R402" s="533" t="str">
        <f>IF(S402=0,"",COUNTIF(R$12:R401,"&gt;0")+1)</f>
        <v/>
      </c>
      <c r="S402" s="533">
        <f t="shared" si="82"/>
        <v>0</v>
      </c>
      <c r="T402" s="533">
        <f>VLOOKUP(C402,A!A$1:AH$669,32,FALSE)</f>
        <v>0</v>
      </c>
      <c r="U402" s="533">
        <v>0.1</v>
      </c>
      <c r="V402" s="533"/>
      <c r="W402" s="533" t="str">
        <f t="shared" si="83"/>
        <v/>
      </c>
      <c r="X402" s="533">
        <f>IF(V402&lt;&gt;"",COUNTIF(V$46:V402,V402)-1,0)</f>
        <v>0</v>
      </c>
      <c r="Y402" s="533"/>
      <c r="Z402" s="533" t="str">
        <f t="shared" si="84"/>
        <v/>
      </c>
      <c r="AA402" s="533" t="str">
        <f>IFERROR(RANK(Z402,Z$363:Z$487,0)+COUNTIF(Z$363:Z402,Z402)-1,"")</f>
        <v/>
      </c>
      <c r="AB402" s="533">
        <f t="shared" si="85"/>
        <v>0</v>
      </c>
      <c r="AC402" s="533">
        <f t="shared" si="86"/>
        <v>0</v>
      </c>
      <c r="AD402" s="533"/>
      <c r="AE402" s="533"/>
      <c r="AF402" s="533"/>
      <c r="AG402" s="533"/>
      <c r="AH402" s="533"/>
      <c r="AI402" s="533"/>
      <c r="AJ402" s="533"/>
      <c r="AK402" s="533"/>
      <c r="AL402" s="533"/>
      <c r="AM402" s="533"/>
      <c r="AN402" s="533"/>
      <c r="AO402" s="533"/>
      <c r="AP402" s="533"/>
      <c r="AQ402" s="533"/>
      <c r="AR402" s="533"/>
      <c r="AS402" s="533"/>
      <c r="AT402" s="533"/>
      <c r="AU402" s="533"/>
    </row>
    <row r="403" spans="1:47" ht="13.5" hidden="1" customHeight="1" x14ac:dyDescent="0.25">
      <c r="A403" s="41"/>
      <c r="B403" s="104" t="s">
        <v>510</v>
      </c>
      <c r="C403" s="695" t="s">
        <v>169</v>
      </c>
      <c r="D403" s="727"/>
      <c r="E403" s="828"/>
      <c r="F403" s="740" t="s">
        <v>163</v>
      </c>
      <c r="G403" s="26" t="s">
        <v>171</v>
      </c>
      <c r="H403" s="27">
        <f>VLOOKUP(C403,A!A$1:O$669,15,FALSE)</f>
        <v>2</v>
      </c>
      <c r="I403" s="27"/>
      <c r="J403" s="28">
        <f>IF(VLOOKUP(C403,A!A$1:O$669,11,FALSE)="y",1,0)</f>
        <v>0</v>
      </c>
      <c r="K403" s="28">
        <f>IF(VLOOKUP(C403,A!A$1:O$669,12,FALSE)="y",1,0)</f>
        <v>0</v>
      </c>
      <c r="L403" s="544" t="str">
        <f t="shared" si="80"/>
        <v>Low</v>
      </c>
      <c r="M403" s="27">
        <f>VLOOKUP(C403,A!A$1:O$669,13,FALSE)</f>
        <v>0</v>
      </c>
      <c r="N403" s="44" t="s">
        <v>39</v>
      </c>
      <c r="O403" s="533">
        <f>VLOOKUP(C403,A!A$1:O$669,9,FALSE)</f>
        <v>0</v>
      </c>
      <c r="P403" s="533" t="s">
        <v>1249</v>
      </c>
      <c r="Q403" s="533" t="str">
        <f>IF(S403=0,"",COUNTIF(Q$12:Q402,"&gt;0")+1)</f>
        <v/>
      </c>
      <c r="R403" s="533" t="str">
        <f>IF(S403=0,"",COUNTIF(R$12:R402,"&gt;0")+1)</f>
        <v/>
      </c>
      <c r="S403" s="533"/>
      <c r="T403" s="533">
        <f>VLOOKUP(C403,A!A$1:AH$669,32,FALSE)</f>
        <v>0</v>
      </c>
      <c r="U403" s="533">
        <v>0.1</v>
      </c>
      <c r="V403" s="533"/>
      <c r="W403" s="533" t="str">
        <f t="shared" si="83"/>
        <v/>
      </c>
      <c r="X403" s="533">
        <f>IF(V403&lt;&gt;"",COUNTIF(V$46:V403,V403)-1,0)</f>
        <v>0</v>
      </c>
      <c r="Y403" s="533">
        <f>A23</f>
        <v>0</v>
      </c>
      <c r="Z403" s="533" t="str">
        <f t="shared" si="84"/>
        <v/>
      </c>
      <c r="AA403" s="533" t="str">
        <f>IFERROR(RANK(Z403,Z$363:Z$487,0)+COUNTIF(Z$363:Z403,Z403)-1,"")</f>
        <v/>
      </c>
      <c r="AB403" s="533">
        <f t="shared" si="85"/>
        <v>0</v>
      </c>
      <c r="AC403" s="533">
        <f t="shared" si="86"/>
        <v>0</v>
      </c>
      <c r="AD403" s="533"/>
      <c r="AE403" s="533"/>
      <c r="AF403" s="533"/>
      <c r="AG403" s="533"/>
      <c r="AH403" s="533"/>
      <c r="AI403" s="533"/>
      <c r="AJ403" s="533"/>
      <c r="AK403" s="533"/>
      <c r="AL403" s="533"/>
      <c r="AM403" s="533"/>
      <c r="AN403" s="533"/>
      <c r="AO403" s="533"/>
      <c r="AP403" s="533"/>
      <c r="AQ403" s="533"/>
      <c r="AR403" s="533"/>
      <c r="AS403" s="533"/>
      <c r="AT403" s="533"/>
      <c r="AU403" s="533"/>
    </row>
    <row r="404" spans="1:47" ht="12.75" hidden="1" customHeight="1" x14ac:dyDescent="0.25">
      <c r="A404" s="41"/>
      <c r="B404" s="104" t="s">
        <v>510</v>
      </c>
      <c r="C404" s="695" t="s">
        <v>172</v>
      </c>
      <c r="D404" s="727"/>
      <c r="E404" s="828"/>
      <c r="F404" s="740" t="s">
        <v>638</v>
      </c>
      <c r="G404" s="26" t="s">
        <v>174</v>
      </c>
      <c r="H404" s="27">
        <f>VLOOKUP(C404,A!A$1:O$669,15,FALSE)</f>
        <v>1</v>
      </c>
      <c r="I404" s="27" t="s">
        <v>639</v>
      </c>
      <c r="J404" s="28">
        <f>IF(VLOOKUP(C404,A!A$1:O$669,11,FALSE)="y",1,0)</f>
        <v>0</v>
      </c>
      <c r="K404" s="28">
        <f>IF(VLOOKUP(C404,A!A$1:O$669,12,FALSE)="y",1,0)</f>
        <v>0</v>
      </c>
      <c r="L404" s="544" t="str">
        <f t="shared" si="80"/>
        <v>Low</v>
      </c>
      <c r="M404" s="27">
        <f>VLOOKUP(C404,A!A$1:O$669,13,FALSE)</f>
        <v>0</v>
      </c>
      <c r="N404" s="44" t="s">
        <v>39</v>
      </c>
      <c r="O404" s="533">
        <f>VLOOKUP(C404,A!A$1:O$669,9,FALSE)</f>
        <v>0</v>
      </c>
      <c r="P404" s="533" t="s">
        <v>1249</v>
      </c>
      <c r="Q404" s="533" t="str">
        <f>IF(S404=0,"",COUNTIF(Q$12:Q403,"&gt;0")+1)</f>
        <v/>
      </c>
      <c r="R404" s="533" t="str">
        <f>IF(S404=0,"",COUNTIF(R$12:R403,"&gt;0")+1)</f>
        <v/>
      </c>
      <c r="S404" s="533">
        <f t="shared" si="82"/>
        <v>0</v>
      </c>
      <c r="T404" s="533">
        <f>VLOOKUP(C404,A!A$1:AH$669,32,FALSE)</f>
        <v>0</v>
      </c>
      <c r="U404" s="533">
        <v>0.1</v>
      </c>
      <c r="V404" s="533"/>
      <c r="W404" s="533" t="str">
        <f t="shared" si="83"/>
        <v/>
      </c>
      <c r="X404" s="533">
        <f>IF(V404&lt;&gt;"",COUNTIF(V$46:V404,V404)-1,0)</f>
        <v>0</v>
      </c>
      <c r="Y404" s="533"/>
      <c r="Z404" s="533" t="str">
        <f t="shared" si="84"/>
        <v/>
      </c>
      <c r="AA404" s="533" t="str">
        <f>IFERROR(RANK(Z404,Z$363:Z$487,0)+COUNTIF(Z$363:Z404,Z404)-1,"")</f>
        <v/>
      </c>
      <c r="AB404" s="533">
        <f t="shared" si="85"/>
        <v>0</v>
      </c>
      <c r="AC404" s="533">
        <f t="shared" si="86"/>
        <v>0</v>
      </c>
      <c r="AD404" s="533"/>
      <c r="AE404" s="533"/>
      <c r="AF404" s="533"/>
      <c r="AG404" s="533"/>
      <c r="AH404" s="533"/>
      <c r="AI404" s="533"/>
      <c r="AJ404" s="533"/>
      <c r="AK404" s="533"/>
      <c r="AL404" s="533"/>
      <c r="AM404" s="533"/>
      <c r="AN404" s="533"/>
      <c r="AO404" s="533"/>
      <c r="AP404" s="533"/>
      <c r="AQ404" s="533"/>
      <c r="AR404" s="533"/>
      <c r="AS404" s="533"/>
      <c r="AT404" s="533"/>
      <c r="AU404" s="533"/>
    </row>
    <row r="405" spans="1:47" ht="13.5" hidden="1" customHeight="1" x14ac:dyDescent="0.25">
      <c r="A405" s="41"/>
      <c r="B405" s="104" t="s">
        <v>510</v>
      </c>
      <c r="C405" s="695" t="s">
        <v>175</v>
      </c>
      <c r="D405" s="636"/>
      <c r="E405" s="828"/>
      <c r="F405" s="740" t="s">
        <v>640</v>
      </c>
      <c r="G405" s="26" t="s">
        <v>177</v>
      </c>
      <c r="H405" s="27">
        <v>2</v>
      </c>
      <c r="I405" s="27"/>
      <c r="J405" s="28">
        <f>IF(VLOOKUP(C405,A!A$1:O$669,11,FALSE)="y",1,0)</f>
        <v>0</v>
      </c>
      <c r="K405" s="28">
        <f>IF(VLOOKUP(C405,A!A$1:O$669,12,FALSE)="y",1,0)</f>
        <v>0</v>
      </c>
      <c r="L405" s="544" t="str">
        <f t="shared" si="80"/>
        <v>Low</v>
      </c>
      <c r="M405" s="27">
        <f>VLOOKUP(C405,A!A$1:O$669,13,FALSE)</f>
        <v>0</v>
      </c>
      <c r="N405" s="44" t="s">
        <v>39</v>
      </c>
      <c r="O405" s="533">
        <f>VLOOKUP(C405,A!A$1:O$669,9,FALSE)</f>
        <v>0</v>
      </c>
      <c r="P405" s="533" t="s">
        <v>1249</v>
      </c>
      <c r="Q405" s="533" t="str">
        <f>IF(S405=0,"",COUNTIF(Q$12:Q404,"&gt;0")+1)</f>
        <v/>
      </c>
      <c r="R405" s="533" t="str">
        <f>IF(S405=0,"",COUNTIF(R$12:R404,"&gt;0")+1)</f>
        <v/>
      </c>
      <c r="S405" s="533">
        <f t="shared" si="82"/>
        <v>0</v>
      </c>
      <c r="T405" s="533">
        <f>VLOOKUP(C405,A!A$1:AH$669,32,FALSE)</f>
        <v>0</v>
      </c>
      <c r="U405" s="533">
        <v>0.1</v>
      </c>
      <c r="V405" s="533"/>
      <c r="W405" s="533" t="str">
        <f t="shared" si="83"/>
        <v/>
      </c>
      <c r="X405" s="533">
        <f>IF(V405&lt;&gt;"",COUNTIF(V$46:V405,V405)-1,0)</f>
        <v>0</v>
      </c>
      <c r="Y405" s="533"/>
      <c r="Z405" s="533" t="str">
        <f t="shared" si="84"/>
        <v/>
      </c>
      <c r="AA405" s="533" t="str">
        <f>IFERROR(RANK(Z405,Z$363:Z$487,0)+COUNTIF(Z$363:Z405,Z405)-1,"")</f>
        <v/>
      </c>
      <c r="AB405" s="533">
        <f t="shared" si="85"/>
        <v>0</v>
      </c>
      <c r="AC405" s="533">
        <f t="shared" si="86"/>
        <v>0</v>
      </c>
      <c r="AD405" s="533"/>
      <c r="AE405" s="533"/>
      <c r="AF405" s="533"/>
      <c r="AG405" s="533"/>
      <c r="AH405" s="533"/>
      <c r="AI405" s="533"/>
      <c r="AJ405" s="533"/>
      <c r="AK405" s="533"/>
      <c r="AL405" s="533"/>
      <c r="AM405" s="533"/>
      <c r="AN405" s="533"/>
      <c r="AO405" s="533"/>
      <c r="AP405" s="533"/>
      <c r="AQ405" s="533"/>
      <c r="AR405" s="533"/>
      <c r="AS405" s="533"/>
      <c r="AT405" s="533"/>
      <c r="AU405" s="533"/>
    </row>
    <row r="406" spans="1:47" ht="12.75" hidden="1" customHeight="1" x14ac:dyDescent="0.25">
      <c r="A406" s="41"/>
      <c r="B406" s="598" t="s">
        <v>510</v>
      </c>
      <c r="C406" s="695" t="s">
        <v>711</v>
      </c>
      <c r="D406" s="727"/>
      <c r="E406" s="828"/>
      <c r="F406" s="740" t="s">
        <v>999</v>
      </c>
      <c r="G406" s="26" t="s">
        <v>985</v>
      </c>
      <c r="H406" s="27">
        <f>VLOOKUP(C406,A!A$1:O$669,15,FALSE)</f>
        <v>0</v>
      </c>
      <c r="I406" s="27"/>
      <c r="J406" s="28">
        <f>IF(VLOOKUP(C406,A!A$1:O$669,11,FALSE)="y",1,0)</f>
        <v>0</v>
      </c>
      <c r="K406" s="28">
        <f>IF(VLOOKUP(C406,A!A$1:O$669,12,FALSE)="y",1,0)</f>
        <v>0</v>
      </c>
      <c r="L406" s="544" t="str">
        <f t="shared" si="80"/>
        <v>Low</v>
      </c>
      <c r="M406" s="27"/>
      <c r="N406" s="44" t="s">
        <v>39</v>
      </c>
      <c r="O406" s="533">
        <f>VLOOKUP(C406,A!A$1:O$669,9,FALSE)</f>
        <v>0</v>
      </c>
      <c r="P406" s="533" t="s">
        <v>1249</v>
      </c>
      <c r="Q406" s="533" t="str">
        <f>IF(S406=0,"",COUNTIF(Q$12:Q405,"&gt;0")+1)</f>
        <v/>
      </c>
      <c r="R406" s="533" t="str">
        <f>IF(S406=0,"",COUNTIF(R$12:R405,"&gt;0")+1)</f>
        <v/>
      </c>
      <c r="S406" s="533">
        <f t="shared" si="82"/>
        <v>0</v>
      </c>
      <c r="T406" s="533">
        <f>VLOOKUP(C406,A!A$1:AH$669,32,FALSE)</f>
        <v>0</v>
      </c>
      <c r="U406" s="533">
        <v>0.1</v>
      </c>
      <c r="V406" s="533"/>
      <c r="W406" s="533" t="str">
        <f t="shared" si="83"/>
        <v/>
      </c>
      <c r="X406" s="533">
        <f>IF(V406&lt;&gt;"",COUNTIF(V$46:V406,V406)-1,0)</f>
        <v>0</v>
      </c>
      <c r="Y406" s="533"/>
      <c r="Z406" s="533" t="str">
        <f t="shared" si="84"/>
        <v/>
      </c>
      <c r="AA406" s="533" t="str">
        <f>IFERROR(RANK(Z406,Z$363:Z$487,0)+COUNTIF(Z$363:Z406,Z406)-1,"")</f>
        <v/>
      </c>
      <c r="AB406" s="533">
        <f t="shared" si="85"/>
        <v>0</v>
      </c>
      <c r="AC406" s="533">
        <f t="shared" si="86"/>
        <v>0</v>
      </c>
      <c r="AD406" s="533"/>
      <c r="AE406" s="533"/>
      <c r="AF406" s="533"/>
      <c r="AG406" s="533"/>
      <c r="AH406" s="533"/>
      <c r="AI406" s="533"/>
      <c r="AJ406" s="533"/>
      <c r="AK406" s="533"/>
      <c r="AL406" s="533"/>
      <c r="AM406" s="533"/>
      <c r="AN406" s="533"/>
      <c r="AO406" s="533"/>
      <c r="AP406" s="533"/>
      <c r="AQ406" s="533"/>
      <c r="AR406" s="533"/>
      <c r="AS406" s="533"/>
      <c r="AT406" s="533"/>
      <c r="AU406" s="533"/>
    </row>
    <row r="407" spans="1:47" ht="12.75" hidden="1" customHeight="1" x14ac:dyDescent="0.25">
      <c r="A407" s="41"/>
      <c r="B407" s="104" t="s">
        <v>510</v>
      </c>
      <c r="C407" s="695" t="s">
        <v>178</v>
      </c>
      <c r="D407" s="727"/>
      <c r="E407" s="828"/>
      <c r="F407" s="740" t="s">
        <v>640</v>
      </c>
      <c r="G407" s="26" t="s">
        <v>641</v>
      </c>
      <c r="H407" s="27">
        <f>VLOOKUP(C407,A!A$1:O$669,15,FALSE)</f>
        <v>1</v>
      </c>
      <c r="I407" s="27"/>
      <c r="J407" s="28">
        <f>IF(VLOOKUP(C407,A!A$1:O$669,11,FALSE)="y",1,0)</f>
        <v>0</v>
      </c>
      <c r="K407" s="28">
        <f>IF(VLOOKUP(C407,A!A$1:O$669,12,FALSE)="y",1,0)</f>
        <v>0</v>
      </c>
      <c r="L407" s="544" t="str">
        <f t="shared" si="80"/>
        <v>Low</v>
      </c>
      <c r="M407" s="27">
        <f>VLOOKUP(C407,A!A$1:O$669,13,FALSE)</f>
        <v>0</v>
      </c>
      <c r="N407" s="44" t="s">
        <v>326</v>
      </c>
      <c r="O407" s="533">
        <f>VLOOKUP(C407,A!A$1:O$669,9,FALSE)</f>
        <v>0</v>
      </c>
      <c r="P407" s="533" t="s">
        <v>1249</v>
      </c>
      <c r="Q407" s="533" t="str">
        <f>IF(S407=0,"",COUNTIF(Q$12:Q406,"&gt;0")+1)</f>
        <v/>
      </c>
      <c r="R407" s="533" t="str">
        <f>IF(S407=0,"",COUNTIF(R$12:R406,"&gt;0")+1)</f>
        <v/>
      </c>
      <c r="S407" s="533">
        <f t="shared" si="82"/>
        <v>0</v>
      </c>
      <c r="T407" s="533">
        <f>VLOOKUP(C407,A!A$1:AH$669,32,FALSE)</f>
        <v>0</v>
      </c>
      <c r="U407" s="533">
        <v>0.1</v>
      </c>
      <c r="V407" s="533"/>
      <c r="W407" s="533" t="str">
        <f t="shared" si="83"/>
        <v/>
      </c>
      <c r="X407" s="533">
        <f>IF(V407&lt;&gt;"",COUNTIF(V$46:V407,V407)-1,0)</f>
        <v>0</v>
      </c>
      <c r="Y407" s="533"/>
      <c r="Z407" s="533" t="str">
        <f t="shared" si="84"/>
        <v/>
      </c>
      <c r="AA407" s="533" t="str">
        <f>IFERROR(RANK(Z407,Z$363:Z$487,0)+COUNTIF(Z$363:Z407,Z407)-1,"")</f>
        <v/>
      </c>
      <c r="AB407" s="533">
        <f t="shared" si="85"/>
        <v>0</v>
      </c>
      <c r="AC407" s="533">
        <f t="shared" si="86"/>
        <v>0</v>
      </c>
      <c r="AD407" s="533"/>
      <c r="AE407" s="533"/>
      <c r="AF407" s="533"/>
      <c r="AG407" s="533"/>
      <c r="AH407" s="533"/>
      <c r="AI407" s="533"/>
      <c r="AJ407" s="533"/>
      <c r="AK407" s="533"/>
      <c r="AL407" s="533"/>
      <c r="AM407" s="533"/>
      <c r="AN407" s="533"/>
      <c r="AO407" s="533"/>
      <c r="AP407" s="533"/>
      <c r="AQ407" s="533"/>
      <c r="AR407" s="533"/>
      <c r="AS407" s="533"/>
      <c r="AT407" s="533"/>
      <c r="AU407" s="533"/>
    </row>
    <row r="408" spans="1:47" ht="12.75" hidden="1" customHeight="1" x14ac:dyDescent="0.25">
      <c r="A408" s="41"/>
      <c r="B408" s="104" t="s">
        <v>510</v>
      </c>
      <c r="C408" s="695" t="s">
        <v>179</v>
      </c>
      <c r="D408" s="727"/>
      <c r="E408" s="828"/>
      <c r="F408" s="740" t="s">
        <v>642</v>
      </c>
      <c r="G408" s="26" t="s">
        <v>643</v>
      </c>
      <c r="H408" s="27">
        <f>VLOOKUP(C408,A!A$1:O$669,15,FALSE)</f>
        <v>1</v>
      </c>
      <c r="I408" s="27"/>
      <c r="J408" s="28">
        <f>IF(VLOOKUP(C408,A!A$1:O$669,11,FALSE)="y",1,0)</f>
        <v>0</v>
      </c>
      <c r="K408" s="28">
        <f>IF(VLOOKUP(C408,A!A$1:O$669,12,FALSE)="y",1,0)</f>
        <v>0</v>
      </c>
      <c r="L408" s="544" t="str">
        <f t="shared" si="80"/>
        <v>Low</v>
      </c>
      <c r="M408" s="27">
        <f>VLOOKUP(C408,A!A$1:O$669,13,FALSE)</f>
        <v>0</v>
      </c>
      <c r="N408" s="44" t="s">
        <v>328</v>
      </c>
      <c r="O408" s="533">
        <f>VLOOKUP(C408,A!A$1:O$669,9,FALSE)</f>
        <v>0</v>
      </c>
      <c r="P408" s="533" t="s">
        <v>1249</v>
      </c>
      <c r="Q408" s="533" t="str">
        <f>IF(S408=0,"",COUNTIF(Q$12:Q407,"&gt;0")+1)</f>
        <v/>
      </c>
      <c r="R408" s="533" t="str">
        <f>IF(S408=0,"",COUNTIF(R$12:R407,"&gt;0")+1)</f>
        <v/>
      </c>
      <c r="S408" s="533">
        <f t="shared" si="82"/>
        <v>0</v>
      </c>
      <c r="T408" s="533">
        <f>VLOOKUP(C408,A!A$1:AH$669,32,FALSE)</f>
        <v>0</v>
      </c>
      <c r="U408" s="533">
        <v>0.1</v>
      </c>
      <c r="V408" s="533"/>
      <c r="W408" s="533" t="str">
        <f t="shared" si="83"/>
        <v/>
      </c>
      <c r="X408" s="533">
        <f>IF(V408&lt;&gt;"",COUNTIF(V$46:V408,V408)-1,0)</f>
        <v>0</v>
      </c>
      <c r="Y408" s="533"/>
      <c r="Z408" s="533" t="str">
        <f t="shared" si="84"/>
        <v/>
      </c>
      <c r="AA408" s="533" t="str">
        <f>IFERROR(RANK(Z408,Z$363:Z$487,0)+COUNTIF(Z$363:Z408,Z408)-1,"")</f>
        <v/>
      </c>
      <c r="AB408" s="533">
        <f t="shared" si="85"/>
        <v>0</v>
      </c>
      <c r="AC408" s="533">
        <f t="shared" si="86"/>
        <v>0</v>
      </c>
      <c r="AD408" s="533"/>
      <c r="AE408" s="533"/>
      <c r="AF408" s="533"/>
      <c r="AG408" s="533"/>
      <c r="AH408" s="533"/>
      <c r="AI408" s="533"/>
      <c r="AJ408" s="533"/>
      <c r="AK408" s="533"/>
      <c r="AL408" s="533"/>
      <c r="AM408" s="533"/>
      <c r="AN408" s="533"/>
      <c r="AO408" s="533"/>
      <c r="AP408" s="533"/>
      <c r="AQ408" s="533"/>
      <c r="AR408" s="533"/>
      <c r="AS408" s="533"/>
      <c r="AT408" s="533"/>
      <c r="AU408" s="533"/>
    </row>
    <row r="409" spans="1:47" ht="12.75" hidden="1" customHeight="1" x14ac:dyDescent="0.25">
      <c r="A409" s="41"/>
      <c r="B409" s="104" t="s">
        <v>510</v>
      </c>
      <c r="C409" s="694" t="s">
        <v>1053</v>
      </c>
      <c r="D409" s="727"/>
      <c r="E409" s="828"/>
      <c r="F409" s="743" t="s">
        <v>642</v>
      </c>
      <c r="G409" s="42" t="s">
        <v>1056</v>
      </c>
      <c r="H409" s="27">
        <f>VLOOKUP(C409,A!A$1:O$669,15,FALSE)</f>
        <v>0</v>
      </c>
      <c r="I409" s="27"/>
      <c r="J409" s="28">
        <f>IF(VLOOKUP(C409,A!A$1:O$669,11,FALSE)="y",1,0)</f>
        <v>0</v>
      </c>
      <c r="K409" s="28">
        <f>IF(VLOOKUP(C409,A!A$1:O$669,12,FALSE)="y",1,0)</f>
        <v>0</v>
      </c>
      <c r="L409" s="544" t="str">
        <f t="shared" si="80"/>
        <v>Low</v>
      </c>
      <c r="M409" s="27"/>
      <c r="N409" s="44" t="s">
        <v>39</v>
      </c>
      <c r="O409" s="533">
        <f>VLOOKUP(C409,A!A$1:O$669,9,FALSE)</f>
        <v>0</v>
      </c>
      <c r="P409" s="533" t="s">
        <v>1249</v>
      </c>
      <c r="Q409" s="533" t="str">
        <f>IF(S409=0,"",COUNTIF(Q$12:Q408,"&gt;0")+1)</f>
        <v/>
      </c>
      <c r="R409" s="533" t="str">
        <f>IF(S409=0,"",COUNTIF(R$12:R408,"&gt;0")+1)</f>
        <v/>
      </c>
      <c r="S409" s="533">
        <f t="shared" si="82"/>
        <v>0</v>
      </c>
      <c r="T409" s="533">
        <f>VLOOKUP(C409,A!A$1:AH$669,32,FALSE)</f>
        <v>0</v>
      </c>
      <c r="U409" s="533">
        <v>0.1</v>
      </c>
      <c r="V409" s="533"/>
      <c r="W409" s="533" t="str">
        <f t="shared" si="83"/>
        <v/>
      </c>
      <c r="X409" s="533">
        <f>IF(V409&lt;&gt;"",COUNTIF(V$46:V409,V409)-1,0)</f>
        <v>0</v>
      </c>
      <c r="Y409" s="533"/>
      <c r="Z409" s="533" t="str">
        <f t="shared" si="84"/>
        <v/>
      </c>
      <c r="AA409" s="533" t="str">
        <f>IFERROR(RANK(Z409,Z$363:Z$487,0)+COUNTIF(Z$363:Z409,Z409)-1,"")</f>
        <v/>
      </c>
      <c r="AB409" s="533">
        <f t="shared" si="85"/>
        <v>0</v>
      </c>
      <c r="AC409" s="533">
        <f t="shared" si="86"/>
        <v>0</v>
      </c>
      <c r="AD409" s="533"/>
      <c r="AE409" s="533"/>
      <c r="AF409" s="533"/>
      <c r="AG409" s="533"/>
      <c r="AH409" s="533"/>
      <c r="AI409" s="533"/>
      <c r="AJ409" s="533"/>
      <c r="AK409" s="533"/>
      <c r="AL409" s="533"/>
      <c r="AM409" s="533"/>
      <c r="AN409" s="533"/>
      <c r="AO409" s="533"/>
      <c r="AP409" s="533"/>
      <c r="AQ409" s="533"/>
      <c r="AR409" s="533"/>
      <c r="AS409" s="533"/>
      <c r="AT409" s="533"/>
      <c r="AU409" s="533"/>
    </row>
    <row r="410" spans="1:47" ht="12.75" hidden="1" customHeight="1" x14ac:dyDescent="0.25">
      <c r="A410" s="41"/>
      <c r="B410" s="104" t="s">
        <v>510</v>
      </c>
      <c r="C410" s="695" t="s">
        <v>180</v>
      </c>
      <c r="D410" s="727"/>
      <c r="E410" s="828"/>
      <c r="F410" s="740" t="s">
        <v>642</v>
      </c>
      <c r="G410" s="26" t="s">
        <v>644</v>
      </c>
      <c r="H410" s="27">
        <f>VLOOKUP(C410,A!A$1:O$669,15,FALSE)</f>
        <v>1</v>
      </c>
      <c r="I410" s="27"/>
      <c r="J410" s="28">
        <f>IF(VLOOKUP(C410,A!A$1:O$669,11,FALSE)="y",1,0)</f>
        <v>0</v>
      </c>
      <c r="K410" s="28">
        <f>IF(VLOOKUP(C410,A!A$1:O$669,12,FALSE)="y",1,0)</f>
        <v>0</v>
      </c>
      <c r="L410" s="544" t="str">
        <f t="shared" si="80"/>
        <v>Low</v>
      </c>
      <c r="M410" s="27">
        <f>VLOOKUP(C410,A!A$1:O$669,13,FALSE)</f>
        <v>0</v>
      </c>
      <c r="N410" s="44" t="s">
        <v>1054</v>
      </c>
      <c r="O410" s="533">
        <f>VLOOKUP(C410,A!A$1:O$669,9,FALSE)</f>
        <v>0</v>
      </c>
      <c r="P410" s="533" t="s">
        <v>1249</v>
      </c>
      <c r="Q410" s="533" t="str">
        <f>IF(S410=0,"",COUNTIF(Q$12:Q409,"&gt;0")+1)</f>
        <v/>
      </c>
      <c r="R410" s="533" t="str">
        <f>IF(S410=0,"",COUNTIF(R$12:R409,"&gt;0")+1)</f>
        <v/>
      </c>
      <c r="S410" s="533">
        <f t="shared" si="82"/>
        <v>0</v>
      </c>
      <c r="T410" s="533">
        <f>VLOOKUP(C410,A!A$1:AH$669,32,FALSE)</f>
        <v>0</v>
      </c>
      <c r="U410" s="533">
        <v>0.1</v>
      </c>
      <c r="V410" s="533"/>
      <c r="W410" s="533" t="str">
        <f t="shared" si="83"/>
        <v/>
      </c>
      <c r="X410" s="533">
        <f>IF(V410&lt;&gt;"",COUNTIF(V$46:V410,V410)-1,0)</f>
        <v>0</v>
      </c>
      <c r="Y410" s="533"/>
      <c r="Z410" s="533" t="str">
        <f t="shared" si="84"/>
        <v/>
      </c>
      <c r="AA410" s="533" t="str">
        <f>IFERROR(RANK(Z410,Z$363:Z$487,0)+COUNTIF(Z$363:Z410,Z410)-1,"")</f>
        <v/>
      </c>
      <c r="AB410" s="533">
        <f t="shared" si="85"/>
        <v>0</v>
      </c>
      <c r="AC410" s="533">
        <f t="shared" si="86"/>
        <v>0</v>
      </c>
      <c r="AD410" s="533"/>
      <c r="AE410" s="533"/>
      <c r="AF410" s="533"/>
      <c r="AG410" s="533"/>
      <c r="AH410" s="533"/>
      <c r="AI410" s="533"/>
      <c r="AJ410" s="533"/>
      <c r="AK410" s="533"/>
      <c r="AL410" s="533"/>
      <c r="AM410" s="533"/>
      <c r="AN410" s="533"/>
      <c r="AO410" s="533"/>
      <c r="AP410" s="533"/>
      <c r="AQ410" s="533"/>
      <c r="AR410" s="533"/>
      <c r="AS410" s="533"/>
      <c r="AT410" s="533"/>
      <c r="AU410" s="533"/>
    </row>
    <row r="411" spans="1:47" ht="13.5" hidden="1" customHeight="1" x14ac:dyDescent="0.25">
      <c r="A411" s="41"/>
      <c r="B411" s="104" t="s">
        <v>510</v>
      </c>
      <c r="C411" s="695" t="s">
        <v>181</v>
      </c>
      <c r="D411" s="727"/>
      <c r="E411" s="828"/>
      <c r="F411" s="740" t="s">
        <v>1060</v>
      </c>
      <c r="G411" s="42" t="s">
        <v>183</v>
      </c>
      <c r="H411" s="27">
        <f>VLOOKUP(C411,A!A$1:O$669,15,FALSE)</f>
        <v>1</v>
      </c>
      <c r="I411" s="27"/>
      <c r="J411" s="28">
        <f>IF(VLOOKUP(C411,A!A$1:O$669,11,FALSE)="y",1,0)</f>
        <v>0</v>
      </c>
      <c r="K411" s="28"/>
      <c r="L411" s="544" t="str">
        <f t="shared" si="80"/>
        <v>Low</v>
      </c>
      <c r="M411" s="27"/>
      <c r="N411" s="44" t="s">
        <v>39</v>
      </c>
      <c r="O411" s="533">
        <f>VLOOKUP(C411,A!A$1:O$669,9,FALSE)</f>
        <v>0</v>
      </c>
      <c r="P411" s="533" t="s">
        <v>1249</v>
      </c>
      <c r="Q411" s="533" t="str">
        <f>IF(S411=0,"",COUNTIF(Q$12:Q410,"&gt;0")+1)</f>
        <v/>
      </c>
      <c r="R411" s="533" t="str">
        <f>IF(S411=0,"",COUNTIF(R$12:R410,"&gt;0")+1)</f>
        <v/>
      </c>
      <c r="S411" s="533">
        <f t="shared" si="82"/>
        <v>0</v>
      </c>
      <c r="T411" s="533">
        <f>VLOOKUP(C411,A!A$1:AH$669,32,FALSE)</f>
        <v>0</v>
      </c>
      <c r="U411" s="533">
        <v>0.1</v>
      </c>
      <c r="V411" s="533"/>
      <c r="W411" s="533" t="str">
        <f>IF(AND(V411&lt;&gt;"",O411=0),"Check",IF(AND(V411=0,O411="Y"),"Check",""))</f>
        <v/>
      </c>
      <c r="X411" s="533">
        <f>IF(V411&lt;&gt;"",COUNTIF(V$46:V411,V411)-1,0)</f>
        <v>0</v>
      </c>
      <c r="Y411" s="533"/>
      <c r="Z411" s="533" t="str">
        <f>IFERROR(IF(AND(O411="y",IF(AND(A411&lt;&gt;"",A411=0),0,1)),H411*-100-A411*1000-T411,""),"")</f>
        <v/>
      </c>
      <c r="AA411" s="533" t="str">
        <f>IFERROR(RANK(Z411,Z$363:Z$487,0)+COUNTIF(Z$363:Z411,Z411)-1,"")</f>
        <v/>
      </c>
      <c r="AB411" s="533">
        <f t="shared" si="78"/>
        <v>0</v>
      </c>
      <c r="AC411" s="533">
        <f t="shared" si="79"/>
        <v>0</v>
      </c>
      <c r="AD411" s="533"/>
      <c r="AE411" s="533"/>
      <c r="AF411" s="533"/>
      <c r="AG411" s="533"/>
      <c r="AH411" s="533"/>
      <c r="AI411" s="533"/>
      <c r="AJ411" s="533"/>
      <c r="AK411" s="533"/>
      <c r="AL411" s="533"/>
      <c r="AM411" s="533"/>
      <c r="AN411" s="533"/>
      <c r="AO411" s="533"/>
      <c r="AP411" s="533"/>
      <c r="AQ411" s="533"/>
      <c r="AR411" s="533"/>
      <c r="AS411" s="533"/>
      <c r="AT411" s="533"/>
      <c r="AU411" s="533"/>
    </row>
    <row r="412" spans="1:47" ht="13.5" hidden="1" customHeight="1" x14ac:dyDescent="0.25">
      <c r="A412" s="41"/>
      <c r="B412" s="104" t="s">
        <v>510</v>
      </c>
      <c r="C412" s="695" t="s">
        <v>184</v>
      </c>
      <c r="D412" s="727"/>
      <c r="E412" s="828"/>
      <c r="F412" s="740" t="s">
        <v>182</v>
      </c>
      <c r="G412" s="26" t="s">
        <v>647</v>
      </c>
      <c r="H412" s="27">
        <v>2</v>
      </c>
      <c r="I412" s="27"/>
      <c r="J412" s="28">
        <f>IF(VLOOKUP(C412,A!A$1:O$669,11,FALSE)="y",1,0)</f>
        <v>0</v>
      </c>
      <c r="K412" s="28">
        <f>IF(VLOOKUP(C412,A!A$1:O$669,12,FALSE)="y",1,0)</f>
        <v>0</v>
      </c>
      <c r="L412" s="544" t="str">
        <f>IF(T412&lt;35,"Low",IF(T412&gt;40,"High","Med"))</f>
        <v>Low</v>
      </c>
      <c r="M412" s="27">
        <f>VLOOKUP(C412,A!A$1:O$669,13,FALSE)</f>
        <v>0</v>
      </c>
      <c r="N412" s="44" t="s">
        <v>39</v>
      </c>
      <c r="O412" s="533">
        <f>VLOOKUP(C412,A!A$1:O$669,9,FALSE)</f>
        <v>0</v>
      </c>
      <c r="P412" s="533" t="s">
        <v>1249</v>
      </c>
      <c r="Q412" s="533" t="str">
        <f>IF(S412=0,"",COUNTIF(Q$12:Q411,"&gt;0")+1)</f>
        <v/>
      </c>
      <c r="R412" s="533" t="str">
        <f>IF(S412=0,"",COUNTIF(R$12:R411,"&gt;0")+1)</f>
        <v/>
      </c>
      <c r="S412" s="533">
        <f t="shared" si="82"/>
        <v>0</v>
      </c>
      <c r="T412" s="533">
        <f>VLOOKUP(C412,A!A$1:AH$669,32,FALSE)</f>
        <v>0</v>
      </c>
      <c r="U412" s="533">
        <v>0.1</v>
      </c>
      <c r="V412" s="533"/>
      <c r="W412" s="533" t="str">
        <f t="shared" ref="W412:W432" si="88">IF(AND(V412&lt;&gt;"",O412=0),"Check",IF(AND(V412=0,O412="Y"),"Check",""))</f>
        <v/>
      </c>
      <c r="X412" s="533">
        <f>IF(V412&lt;&gt;"",COUNTIF(V$46:V412,V412)-1,0)</f>
        <v>0</v>
      </c>
      <c r="Y412" s="533"/>
      <c r="Z412" s="533" t="str">
        <f t="shared" ref="Z412:Z435" si="89">IFERROR(IF(AND(O412="y",IF(AND(A412&lt;&gt;"",A412=0),0,1)),H412*-100-A412*1000-T412,""),"")</f>
        <v/>
      </c>
      <c r="AA412" s="533" t="str">
        <f>IFERROR(RANK(Z412,Z$363:Z$487,0)+COUNTIF(Z$363:Z412,Z412)-1,"")</f>
        <v/>
      </c>
      <c r="AB412" s="533">
        <f t="shared" si="78"/>
        <v>0</v>
      </c>
      <c r="AC412" s="533">
        <f t="shared" si="79"/>
        <v>0</v>
      </c>
      <c r="AD412" s="533"/>
      <c r="AE412" s="533"/>
      <c r="AF412" s="533"/>
      <c r="AG412" s="533"/>
      <c r="AH412" s="533"/>
      <c r="AI412" s="533"/>
      <c r="AJ412" s="533"/>
      <c r="AK412" s="533"/>
      <c r="AL412" s="533"/>
      <c r="AM412" s="533"/>
      <c r="AN412" s="533"/>
      <c r="AO412" s="533"/>
      <c r="AP412" s="533"/>
      <c r="AQ412" s="533"/>
      <c r="AR412" s="533"/>
      <c r="AS412" s="533"/>
      <c r="AT412" s="533"/>
      <c r="AU412" s="533"/>
    </row>
    <row r="413" spans="1:47" ht="12.75" hidden="1" customHeight="1" x14ac:dyDescent="0.25">
      <c r="A413" s="41"/>
      <c r="B413" s="104" t="s">
        <v>510</v>
      </c>
      <c r="C413" s="695" t="s">
        <v>645</v>
      </c>
      <c r="D413" s="727"/>
      <c r="E413" s="828"/>
      <c r="F413" s="740" t="s">
        <v>182</v>
      </c>
      <c r="G413" s="26" t="s">
        <v>646</v>
      </c>
      <c r="H413" s="27">
        <f>VLOOKUP(C413,A!A$1:O$669,15,FALSE)</f>
        <v>0</v>
      </c>
      <c r="I413" s="27"/>
      <c r="J413" s="28">
        <f>IF(VLOOKUP(C413,A!A$1:O$669,11,FALSE)="y",1,0)</f>
        <v>0</v>
      </c>
      <c r="K413" s="28">
        <f>IF(VLOOKUP(C413,A!A$1:O$669,12,FALSE)="y",1,0)</f>
        <v>0</v>
      </c>
      <c r="L413" s="544" t="str">
        <f>IF(T413&lt;35,"Low",IF(T413&gt;40,"High","Med"))</f>
        <v>Low</v>
      </c>
      <c r="M413" s="27">
        <f>VLOOKUP(C413,A!A$1:O$669,13,FALSE)</f>
        <v>0</v>
      </c>
      <c r="N413" s="44" t="s">
        <v>1057</v>
      </c>
      <c r="O413" s="533">
        <f>VLOOKUP(C413,A!A$1:O$669,9,FALSE)</f>
        <v>0</v>
      </c>
      <c r="P413" s="533" t="s">
        <v>1249</v>
      </c>
      <c r="Q413" s="533" t="str">
        <f>IF(S413=0,"",COUNTIF(Q$12:Q412,"&gt;0")+1)</f>
        <v/>
      </c>
      <c r="R413" s="533" t="str">
        <f>IF(S413=0,"",COUNTIF(R$12:R412,"&gt;0")+1)</f>
        <v/>
      </c>
      <c r="S413" s="533">
        <f t="shared" si="82"/>
        <v>0</v>
      </c>
      <c r="T413" s="533">
        <f>VLOOKUP(C413,A!A$1:AH$669,32,FALSE)</f>
        <v>0</v>
      </c>
      <c r="U413" s="533">
        <v>0.1</v>
      </c>
      <c r="V413" s="533"/>
      <c r="W413" s="533" t="str">
        <f t="shared" si="88"/>
        <v/>
      </c>
      <c r="X413" s="533">
        <f>IF(V413&lt;&gt;"",COUNTIF(V$46:V413,V413)-1,0)</f>
        <v>0</v>
      </c>
      <c r="Y413" s="533"/>
      <c r="Z413" s="533" t="str">
        <f t="shared" si="89"/>
        <v/>
      </c>
      <c r="AA413" s="533" t="str">
        <f>IFERROR(RANK(Z413,Z$363:Z$487,0)+COUNTIF(Z$363:Z413,Z413)-1,"")</f>
        <v/>
      </c>
      <c r="AB413" s="533">
        <f t="shared" si="78"/>
        <v>0</v>
      </c>
      <c r="AC413" s="533">
        <f t="shared" si="79"/>
        <v>0</v>
      </c>
      <c r="AD413" s="533"/>
      <c r="AE413" s="533"/>
      <c r="AF413" s="533"/>
      <c r="AG413" s="533"/>
      <c r="AH413" s="533"/>
      <c r="AI413" s="533"/>
      <c r="AJ413" s="533"/>
      <c r="AK413" s="533"/>
      <c r="AL413" s="533"/>
      <c r="AM413" s="533"/>
      <c r="AN413" s="533"/>
      <c r="AO413" s="533"/>
      <c r="AP413" s="533"/>
      <c r="AQ413" s="533"/>
      <c r="AR413" s="533"/>
      <c r="AS413" s="533"/>
      <c r="AT413" s="533"/>
      <c r="AU413" s="533"/>
    </row>
    <row r="414" spans="1:47" ht="13.5" hidden="1" customHeight="1" x14ac:dyDescent="0.25">
      <c r="A414" s="41"/>
      <c r="B414" s="104" t="s">
        <v>510</v>
      </c>
      <c r="C414" s="695" t="s">
        <v>186</v>
      </c>
      <c r="D414" s="727"/>
      <c r="E414" s="828"/>
      <c r="F414" s="740" t="s">
        <v>182</v>
      </c>
      <c r="G414" s="26" t="s">
        <v>187</v>
      </c>
      <c r="H414" s="27">
        <v>2</v>
      </c>
      <c r="I414" s="27"/>
      <c r="J414" s="28">
        <f>IF(VLOOKUP(C414,A!A$1:O$669,11,FALSE)="y",1,0)</f>
        <v>0</v>
      </c>
      <c r="K414" s="28">
        <f>IF(VLOOKUP(C414,A!A$1:O$669,12,FALSE)="y",1,0)</f>
        <v>0</v>
      </c>
      <c r="L414" s="544" t="str">
        <f>IF(T414&lt;35,"Low",IF(T414&gt;40,"High","Med"))</f>
        <v>Low</v>
      </c>
      <c r="M414" s="27">
        <f>VLOOKUP(C414,A!A$1:O$669,13,FALSE)</f>
        <v>0</v>
      </c>
      <c r="N414" s="44" t="s">
        <v>39</v>
      </c>
      <c r="O414" s="533">
        <f>VLOOKUP(C414,A!A$1:O$669,9,FALSE)</f>
        <v>0</v>
      </c>
      <c r="P414" s="533" t="s">
        <v>1249</v>
      </c>
      <c r="Q414" s="533" t="str">
        <f>IF(S414=0,"",COUNTIF(Q$12:Q413,"&gt;0")+1)</f>
        <v/>
      </c>
      <c r="R414" s="533" t="str">
        <f>IF(S414=0,"",COUNTIF(R$12:R413,"&gt;0")+1)</f>
        <v/>
      </c>
      <c r="S414" s="533">
        <f t="shared" si="82"/>
        <v>0</v>
      </c>
      <c r="T414" s="533">
        <f>VLOOKUP(C414,A!A$1:AH$669,32,FALSE)</f>
        <v>0</v>
      </c>
      <c r="U414" s="533">
        <v>0.1</v>
      </c>
      <c r="V414" s="533"/>
      <c r="W414" s="533" t="str">
        <f t="shared" si="88"/>
        <v/>
      </c>
      <c r="X414" s="533">
        <f>IF(V414&lt;&gt;"",COUNTIF(V$46:V414,V414)-1,0)</f>
        <v>0</v>
      </c>
      <c r="Y414" s="533"/>
      <c r="Z414" s="533" t="str">
        <f t="shared" si="89"/>
        <v/>
      </c>
      <c r="AA414" s="533" t="str">
        <f>IFERROR(RANK(Z414,Z$363:Z$487,0)+COUNTIF(Z$363:Z414,Z414)-1,"")</f>
        <v/>
      </c>
      <c r="AB414" s="533">
        <f t="shared" si="78"/>
        <v>0</v>
      </c>
      <c r="AC414" s="533">
        <f t="shared" si="79"/>
        <v>0</v>
      </c>
      <c r="AD414" s="533"/>
      <c r="AE414" s="533"/>
      <c r="AF414" s="533"/>
      <c r="AG414" s="533"/>
      <c r="AH414" s="533"/>
      <c r="AI414" s="533"/>
      <c r="AJ414" s="533"/>
      <c r="AK414" s="533"/>
      <c r="AL414" s="533"/>
      <c r="AM414" s="533"/>
      <c r="AN414" s="533"/>
      <c r="AO414" s="533"/>
      <c r="AP414" s="533"/>
      <c r="AQ414" s="533"/>
      <c r="AR414" s="533"/>
      <c r="AS414" s="533"/>
      <c r="AT414" s="533"/>
      <c r="AU414" s="533"/>
    </row>
    <row r="415" spans="1:47" ht="13.5" hidden="1" customHeight="1" x14ac:dyDescent="0.25">
      <c r="A415" s="41"/>
      <c r="B415" s="104" t="s">
        <v>510</v>
      </c>
      <c r="C415" s="851" t="s">
        <v>1770</v>
      </c>
      <c r="D415" s="727"/>
      <c r="E415" s="828"/>
      <c r="F415" s="740" t="s">
        <v>182</v>
      </c>
      <c r="G415" s="26" t="s">
        <v>1772</v>
      </c>
      <c r="H415" s="27">
        <v>2</v>
      </c>
      <c r="I415" s="27"/>
      <c r="J415" s="28">
        <f>IF(VLOOKUP(C415,A!A$1:O$669,11,FALSE)="y",1,0)</f>
        <v>0</v>
      </c>
      <c r="K415" s="28">
        <f>IF(VLOOKUP(C415,A!A$1:O$669,12,FALSE)="y",1,0)</f>
        <v>0</v>
      </c>
      <c r="L415" s="544" t="str">
        <f>IF(T415&lt;35,"Low",IF(T415&gt;40,"High","Med"))</f>
        <v>Low</v>
      </c>
      <c r="M415" s="27"/>
      <c r="N415" s="44" t="s">
        <v>39</v>
      </c>
      <c r="O415" s="533">
        <f>VLOOKUP(C415,A!A$1:O$669,9,FALSE)</f>
        <v>0</v>
      </c>
      <c r="P415" s="533" t="s">
        <v>1249</v>
      </c>
      <c r="Q415" s="533" t="str">
        <f>IF(S415=0,"",COUNTIF(Q$12:Q414,"&gt;0")+1)</f>
        <v/>
      </c>
      <c r="R415" s="533" t="str">
        <f>IF(S415=0,"",COUNTIF(R$12:R414,"&gt;0")+1)</f>
        <v/>
      </c>
      <c r="S415" s="533">
        <f t="shared" si="82"/>
        <v>0</v>
      </c>
      <c r="T415" s="533">
        <f>VLOOKUP(C415,A!A$1:AH$669,32,FALSE)</f>
        <v>0</v>
      </c>
      <c r="U415" s="533">
        <v>0.1</v>
      </c>
      <c r="V415" s="533"/>
      <c r="W415" s="533" t="str">
        <f t="shared" si="88"/>
        <v/>
      </c>
      <c r="X415" s="533">
        <f>IF(V415&lt;&gt;"",COUNTIF(V$46:V415,V415)-1,0)</f>
        <v>0</v>
      </c>
      <c r="Y415" s="533"/>
      <c r="Z415" s="533" t="str">
        <f t="shared" si="89"/>
        <v/>
      </c>
      <c r="AA415" s="533" t="str">
        <f>IFERROR(RANK(Z415,Z$363:Z$487,0)+COUNTIF(Z$363:Z415,Z415)-1,"")</f>
        <v/>
      </c>
      <c r="AB415" s="533">
        <f t="shared" si="78"/>
        <v>0</v>
      </c>
      <c r="AC415" s="533">
        <f t="shared" si="79"/>
        <v>0</v>
      </c>
      <c r="AD415" s="533"/>
      <c r="AE415" s="533"/>
      <c r="AF415" s="533"/>
      <c r="AG415" s="533"/>
      <c r="AH415" s="533"/>
      <c r="AI415" s="533"/>
      <c r="AJ415" s="533"/>
      <c r="AK415" s="533"/>
      <c r="AL415" s="533"/>
      <c r="AM415" s="533"/>
      <c r="AN415" s="533"/>
      <c r="AO415" s="533"/>
      <c r="AP415" s="533"/>
      <c r="AQ415" s="533"/>
      <c r="AR415" s="533"/>
      <c r="AS415" s="533"/>
      <c r="AT415" s="533"/>
      <c r="AU415" s="533"/>
    </row>
    <row r="416" spans="1:47" ht="12.75" hidden="1" customHeight="1" x14ac:dyDescent="0.25">
      <c r="A416" s="41"/>
      <c r="B416" s="104" t="s">
        <v>510</v>
      </c>
      <c r="C416" s="695" t="s">
        <v>188</v>
      </c>
      <c r="D416" s="727"/>
      <c r="E416" s="828"/>
      <c r="F416" s="740" t="s">
        <v>189</v>
      </c>
      <c r="G416" s="26" t="s">
        <v>190</v>
      </c>
      <c r="H416" s="27">
        <f>VLOOKUP(C416,A!A$1:O$669,15,FALSE)</f>
        <v>1</v>
      </c>
      <c r="I416" s="27"/>
      <c r="J416" s="28">
        <f>IF(VLOOKUP(C416,A!A$1:O$669,11,FALSE)="y",1,0)</f>
        <v>0</v>
      </c>
      <c r="K416" s="28">
        <f>IF(VLOOKUP(C416,A!A$1:O$669,12,FALSE)="y",1,0)</f>
        <v>0</v>
      </c>
      <c r="L416" s="544" t="str">
        <f t="shared" si="80"/>
        <v>Low</v>
      </c>
      <c r="M416" s="27">
        <f>VLOOKUP(C416,A!A$1:O$669,13,FALSE)</f>
        <v>0</v>
      </c>
      <c r="N416" s="44" t="s">
        <v>1058</v>
      </c>
      <c r="O416" s="533">
        <f>VLOOKUP(C416,A!A$1:O$669,9,FALSE)</f>
        <v>0</v>
      </c>
      <c r="P416" s="533" t="s">
        <v>1249</v>
      </c>
      <c r="Q416" s="533" t="str">
        <f>IF(S416=0,"",COUNTIF(Q$12:Q415,"&gt;0")+1)</f>
        <v/>
      </c>
      <c r="R416" s="533" t="str">
        <f>IF(S416=0,"",COUNTIF(R$12:R415,"&gt;0")+1)</f>
        <v/>
      </c>
      <c r="S416" s="533">
        <f t="shared" si="82"/>
        <v>0</v>
      </c>
      <c r="T416" s="533">
        <f>VLOOKUP(C416,A!A$1:AH$669,32,FALSE)</f>
        <v>0</v>
      </c>
      <c r="U416" s="533">
        <v>0.1</v>
      </c>
      <c r="V416" s="533"/>
      <c r="W416" s="533" t="str">
        <f t="shared" si="88"/>
        <v/>
      </c>
      <c r="X416" s="533">
        <f>IF(V416&lt;&gt;"",COUNTIF(V$46:V416,V416)-1,0)</f>
        <v>0</v>
      </c>
      <c r="Y416" s="533"/>
      <c r="Z416" s="533" t="str">
        <f t="shared" si="89"/>
        <v/>
      </c>
      <c r="AA416" s="533" t="str">
        <f>IFERROR(RANK(Z416,Z$363:Z$487,0)+COUNTIF(Z$363:Z416,Z416)-1,"")</f>
        <v/>
      </c>
      <c r="AB416" s="533">
        <f t="shared" si="78"/>
        <v>0</v>
      </c>
      <c r="AC416" s="533">
        <f t="shared" si="79"/>
        <v>0</v>
      </c>
      <c r="AD416" s="533"/>
      <c r="AE416" s="533"/>
      <c r="AF416" s="533"/>
      <c r="AG416" s="533"/>
      <c r="AH416" s="533"/>
      <c r="AI416" s="533"/>
      <c r="AJ416" s="533"/>
      <c r="AK416" s="533"/>
      <c r="AL416" s="533"/>
      <c r="AM416" s="533"/>
      <c r="AN416" s="533"/>
      <c r="AO416" s="533"/>
      <c r="AP416" s="533"/>
      <c r="AQ416" s="533"/>
      <c r="AR416" s="533"/>
      <c r="AS416" s="533"/>
      <c r="AT416" s="533"/>
      <c r="AU416" s="533"/>
    </row>
    <row r="417" spans="1:47" ht="13.5" hidden="1" customHeight="1" x14ac:dyDescent="0.25">
      <c r="A417" s="41"/>
      <c r="B417" s="104" t="s">
        <v>510</v>
      </c>
      <c r="C417" s="695" t="s">
        <v>191</v>
      </c>
      <c r="D417" s="727"/>
      <c r="E417" s="828"/>
      <c r="F417" s="740" t="s">
        <v>182</v>
      </c>
      <c r="G417" s="26" t="s">
        <v>192</v>
      </c>
      <c r="H417" s="27">
        <f>VLOOKUP(C417,A!A$1:O$669,15,FALSE)</f>
        <v>1</v>
      </c>
      <c r="I417" s="27"/>
      <c r="J417" s="28">
        <f>IF(VLOOKUP(C417,A!A$1:O$669,11,FALSE)="y",1,0)</f>
        <v>0</v>
      </c>
      <c r="K417" s="28">
        <f>IF(VLOOKUP(C417,A!A$1:O$669,12,FALSE)="y",1,0)</f>
        <v>0</v>
      </c>
      <c r="L417" s="544" t="str">
        <f t="shared" si="80"/>
        <v>Low</v>
      </c>
      <c r="M417" s="27">
        <f>VLOOKUP(C417,A!A$1:O$669,13,FALSE)</f>
        <v>0</v>
      </c>
      <c r="N417" s="44" t="s">
        <v>39</v>
      </c>
      <c r="O417" s="533">
        <f>VLOOKUP(C417,A!A$1:O$669,9,FALSE)</f>
        <v>0</v>
      </c>
      <c r="P417" s="533" t="s">
        <v>1249</v>
      </c>
      <c r="Q417" s="533" t="str">
        <f>IF(S417=0,"",COUNTIF(Q$12:Q416,"&gt;0")+1)</f>
        <v/>
      </c>
      <c r="R417" s="533" t="str">
        <f>IF(S417=0,"",COUNTIF(R$12:R416,"&gt;0")+1)</f>
        <v/>
      </c>
      <c r="S417" s="533">
        <f t="shared" si="82"/>
        <v>0</v>
      </c>
      <c r="T417" s="533">
        <f>VLOOKUP(C417,A!A$1:AH$669,32,FALSE)</f>
        <v>0</v>
      </c>
      <c r="U417" s="533">
        <v>0.1</v>
      </c>
      <c r="V417" s="533"/>
      <c r="W417" s="533" t="str">
        <f t="shared" si="88"/>
        <v/>
      </c>
      <c r="X417" s="533">
        <f>IF(V417&lt;&gt;"",COUNTIF(V$46:V417,V417)-1,0)</f>
        <v>0</v>
      </c>
      <c r="Y417" s="533"/>
      <c r="Z417" s="533" t="str">
        <f t="shared" si="89"/>
        <v/>
      </c>
      <c r="AA417" s="533" t="str">
        <f>IFERROR(RANK(Z417,Z$363:Z$487,0)+COUNTIF(Z$363:Z417,Z417)-1,"")</f>
        <v/>
      </c>
      <c r="AB417" s="533">
        <f t="shared" si="78"/>
        <v>0</v>
      </c>
      <c r="AC417" s="533">
        <f t="shared" si="79"/>
        <v>0</v>
      </c>
      <c r="AD417" s="533"/>
      <c r="AE417" s="533"/>
      <c r="AF417" s="533"/>
      <c r="AG417" s="533"/>
      <c r="AH417" s="533"/>
      <c r="AI417" s="533"/>
      <c r="AJ417" s="533"/>
      <c r="AK417" s="533"/>
      <c r="AL417" s="533"/>
      <c r="AM417" s="533"/>
      <c r="AN417" s="533"/>
      <c r="AO417" s="533"/>
      <c r="AP417" s="533"/>
      <c r="AQ417" s="533"/>
      <c r="AR417" s="533"/>
      <c r="AS417" s="533"/>
      <c r="AT417" s="533"/>
      <c r="AU417" s="533"/>
    </row>
    <row r="418" spans="1:47" ht="12.75" hidden="1" customHeight="1" x14ac:dyDescent="0.25">
      <c r="A418" s="41"/>
      <c r="B418" s="104" t="s">
        <v>510</v>
      </c>
      <c r="C418" s="695" t="s">
        <v>648</v>
      </c>
      <c r="D418" s="727"/>
      <c r="E418" s="828"/>
      <c r="F418" s="740" t="s">
        <v>649</v>
      </c>
      <c r="G418" s="26" t="s">
        <v>295</v>
      </c>
      <c r="H418" s="27">
        <f>VLOOKUP(C418,A!A$1:O$669,15,FALSE)</f>
        <v>0</v>
      </c>
      <c r="I418" s="27"/>
      <c r="J418" s="28">
        <f>IF(VLOOKUP(C418,A!A$1:O$669,11,FALSE)="y",1,0)</f>
        <v>0</v>
      </c>
      <c r="K418" s="28">
        <f>IF(VLOOKUP(C418,A!A$1:O$669,12,FALSE)="y",1,0)</f>
        <v>0</v>
      </c>
      <c r="L418" s="544" t="str">
        <f t="shared" si="80"/>
        <v>Low</v>
      </c>
      <c r="M418" s="27">
        <f>VLOOKUP(C418,A!A$1:O$669,13,FALSE)</f>
        <v>0</v>
      </c>
      <c r="N418" s="44" t="s">
        <v>1059</v>
      </c>
      <c r="O418" s="533">
        <f>VLOOKUP(C418,A!A$1:O$669,9,FALSE)</f>
        <v>0</v>
      </c>
      <c r="P418" s="533" t="s">
        <v>1249</v>
      </c>
      <c r="Q418" s="533" t="str">
        <f>IF(S418=0,"",COUNTIF(Q$12:Q417,"&gt;0")+1)</f>
        <v/>
      </c>
      <c r="R418" s="533" t="str">
        <f>IF(S418=0,"",COUNTIF(R$12:R417,"&gt;0")+1)</f>
        <v/>
      </c>
      <c r="S418" s="533">
        <f t="shared" si="82"/>
        <v>0</v>
      </c>
      <c r="T418" s="533">
        <f>VLOOKUP(C418,A!A$1:AH$669,32,FALSE)</f>
        <v>0</v>
      </c>
      <c r="U418" s="533">
        <v>0.1</v>
      </c>
      <c r="V418" s="533"/>
      <c r="W418" s="533" t="str">
        <f t="shared" si="88"/>
        <v/>
      </c>
      <c r="X418" s="533">
        <f>IF(V418&lt;&gt;"",COUNTIF(V$46:V418,V418)-1,0)</f>
        <v>0</v>
      </c>
      <c r="Y418" s="533"/>
      <c r="Z418" s="533" t="str">
        <f t="shared" si="89"/>
        <v/>
      </c>
      <c r="AA418" s="533" t="str">
        <f>IFERROR(RANK(Z418,Z$363:Z$487,0)+COUNTIF(Z$363:Z418,Z418)-1,"")</f>
        <v/>
      </c>
      <c r="AB418" s="533">
        <f t="shared" si="78"/>
        <v>0</v>
      </c>
      <c r="AC418" s="533">
        <f t="shared" si="79"/>
        <v>0</v>
      </c>
      <c r="AD418" s="533"/>
      <c r="AE418" s="533"/>
      <c r="AF418" s="533"/>
      <c r="AG418" s="533"/>
      <c r="AH418" s="533"/>
      <c r="AI418" s="533"/>
      <c r="AJ418" s="533"/>
      <c r="AK418" s="533"/>
      <c r="AL418" s="533"/>
      <c r="AM418" s="533"/>
      <c r="AN418" s="533"/>
      <c r="AO418" s="533"/>
      <c r="AP418" s="533"/>
      <c r="AQ418" s="533"/>
      <c r="AR418" s="533"/>
      <c r="AS418" s="533"/>
      <c r="AT418" s="533"/>
      <c r="AU418" s="533"/>
    </row>
    <row r="419" spans="1:47" ht="13.5" customHeight="1" x14ac:dyDescent="0.25">
      <c r="A419" s="41"/>
      <c r="B419" s="104" t="s">
        <v>510</v>
      </c>
      <c r="C419" s="695" t="s">
        <v>193</v>
      </c>
      <c r="D419" s="727"/>
      <c r="E419" s="828"/>
      <c r="F419" s="740" t="s">
        <v>194</v>
      </c>
      <c r="G419" s="26" t="s">
        <v>195</v>
      </c>
      <c r="H419" s="27">
        <f>VLOOKUP(C419,A!A$1:O$669,15,FALSE)</f>
        <v>1</v>
      </c>
      <c r="I419" s="27" t="s">
        <v>30</v>
      </c>
      <c r="J419" s="28">
        <f>IF(VLOOKUP(C419,A!A$1:O$669,11,FALSE)="y",1,0)</f>
        <v>1</v>
      </c>
      <c r="K419" s="28">
        <f>IF(VLOOKUP(C419,A!A$1:O$669,12,FALSE)="y",1,0)</f>
        <v>0</v>
      </c>
      <c r="L419" s="544" t="str">
        <f t="shared" si="80"/>
        <v>Med</v>
      </c>
      <c r="M419" s="27">
        <f>VLOOKUP(C419,A!A$1:O$669,13,FALSE)</f>
        <v>0</v>
      </c>
      <c r="N419" s="44" t="s">
        <v>22</v>
      </c>
      <c r="O419" s="533" t="str">
        <f>VLOOKUP(C419,A!A$1:O$669,9,FALSE)</f>
        <v>y</v>
      </c>
      <c r="P419" s="533" t="s">
        <v>1249</v>
      </c>
      <c r="Q419" s="533" t="str">
        <f>IF(S419=0,"",COUNTIF(Q$12:Q418,"&gt;0")+1)</f>
        <v/>
      </c>
      <c r="R419" s="533" t="str">
        <f>IF(S419=0,"",COUNTIF(R$12:R418,"&gt;0")+1)</f>
        <v/>
      </c>
      <c r="S419" s="533">
        <f t="shared" si="82"/>
        <v>0</v>
      </c>
      <c r="T419" s="533">
        <f>VLOOKUP(C419,A!A$1:AH$669,32,FALSE)</f>
        <v>35</v>
      </c>
      <c r="U419" s="533">
        <v>0.1</v>
      </c>
      <c r="V419" s="533">
        <v>78</v>
      </c>
      <c r="W419" s="533" t="str">
        <f t="shared" si="88"/>
        <v/>
      </c>
      <c r="X419" s="533">
        <f>IF(V419&lt;&gt;"",COUNTIF(V$46:V419,V419)-1,0)</f>
        <v>0</v>
      </c>
      <c r="Y419" s="533"/>
      <c r="Z419" s="533">
        <f t="shared" si="89"/>
        <v>-135</v>
      </c>
      <c r="AA419" s="533">
        <f>IFERROR(RANK(Z419,Z$363:Z$487,0)+COUNTIF(Z$363:Z419,Z419)-1,"")</f>
        <v>3</v>
      </c>
      <c r="AB419" s="533">
        <f t="shared" si="78"/>
        <v>0</v>
      </c>
      <c r="AC419" s="533">
        <f t="shared" si="79"/>
        <v>0</v>
      </c>
      <c r="AD419" s="533"/>
      <c r="AE419" s="533"/>
      <c r="AF419" s="533"/>
      <c r="AG419" s="533"/>
      <c r="AH419" s="533"/>
      <c r="AI419" s="533"/>
      <c r="AJ419" s="533"/>
      <c r="AK419" s="533"/>
      <c r="AL419" s="533"/>
      <c r="AM419" s="533"/>
      <c r="AN419" s="533"/>
      <c r="AO419" s="533"/>
      <c r="AP419" s="533"/>
      <c r="AQ419" s="533"/>
      <c r="AR419" s="533"/>
      <c r="AS419" s="533"/>
      <c r="AT419" s="533"/>
      <c r="AU419" s="533"/>
    </row>
    <row r="420" spans="1:47" ht="12.75" hidden="1" customHeight="1" x14ac:dyDescent="0.25">
      <c r="A420" s="41"/>
      <c r="B420" s="104" t="s">
        <v>510</v>
      </c>
      <c r="C420" s="695" t="s">
        <v>650</v>
      </c>
      <c r="D420" s="727"/>
      <c r="E420" s="828"/>
      <c r="F420" s="740" t="s">
        <v>651</v>
      </c>
      <c r="G420" s="26" t="s">
        <v>652</v>
      </c>
      <c r="H420" s="27">
        <f>VLOOKUP(C420,A!A$1:O$669,15,FALSE)</f>
        <v>0</v>
      </c>
      <c r="I420" s="27"/>
      <c r="J420" s="28">
        <f>IF(VLOOKUP(C420,A!A$1:O$669,11,FALSE)="y",1,0)</f>
        <v>0</v>
      </c>
      <c r="K420" s="28">
        <f>IF(VLOOKUP(C420,A!A$1:O$669,12,FALSE)="y",1,0)</f>
        <v>0</v>
      </c>
      <c r="L420" s="544" t="str">
        <f t="shared" si="80"/>
        <v>Low</v>
      </c>
      <c r="M420" s="27">
        <f>VLOOKUP(C420,A!A$1:O$669,13,FALSE)</f>
        <v>0</v>
      </c>
      <c r="N420" s="44" t="s">
        <v>39</v>
      </c>
      <c r="O420" s="533">
        <f>VLOOKUP(C420,A!A$1:O$669,9,FALSE)</f>
        <v>0</v>
      </c>
      <c r="P420" s="533" t="s">
        <v>1249</v>
      </c>
      <c r="Q420" s="533" t="str">
        <f>IF(S420=0,"",COUNTIF(Q$12:Q419,"&gt;0")+1)</f>
        <v/>
      </c>
      <c r="R420" s="533" t="str">
        <f>IF(S420=0,"",COUNTIF(R$12:R419,"&gt;0")+1)</f>
        <v/>
      </c>
      <c r="S420" s="533">
        <f t="shared" si="82"/>
        <v>0</v>
      </c>
      <c r="T420" s="533">
        <f>VLOOKUP(C420,A!A$1:AH$669,32,FALSE)</f>
        <v>0</v>
      </c>
      <c r="U420" s="533">
        <v>0.1</v>
      </c>
      <c r="V420" s="533"/>
      <c r="W420" s="533" t="str">
        <f t="shared" si="88"/>
        <v/>
      </c>
      <c r="X420" s="533">
        <f>IF(V420&lt;&gt;"",COUNTIF(V$46:V420,V420)-1,0)</f>
        <v>0</v>
      </c>
      <c r="Y420" s="533"/>
      <c r="Z420" s="533" t="str">
        <f t="shared" si="89"/>
        <v/>
      </c>
      <c r="AA420" s="533" t="str">
        <f>IFERROR(RANK(Z420,Z$363:Z$487,0)+COUNTIF(Z$363:Z420,Z420)-1,"")</f>
        <v/>
      </c>
      <c r="AB420" s="533">
        <f t="shared" si="78"/>
        <v>0</v>
      </c>
      <c r="AC420" s="533">
        <f t="shared" si="79"/>
        <v>0</v>
      </c>
      <c r="AD420" s="533"/>
      <c r="AE420" s="533"/>
      <c r="AF420" s="533"/>
      <c r="AG420" s="533"/>
      <c r="AH420" s="533"/>
      <c r="AI420" s="533"/>
      <c r="AJ420" s="533"/>
      <c r="AK420" s="533"/>
      <c r="AL420" s="533"/>
      <c r="AM420" s="533"/>
      <c r="AN420" s="533"/>
      <c r="AO420" s="533"/>
      <c r="AP420" s="533"/>
      <c r="AQ420" s="533"/>
      <c r="AR420" s="533"/>
      <c r="AS420" s="533"/>
      <c r="AT420" s="533"/>
      <c r="AU420" s="533"/>
    </row>
    <row r="421" spans="1:47" ht="12.75" hidden="1" customHeight="1" x14ac:dyDescent="0.25">
      <c r="A421" s="41"/>
      <c r="B421" s="104" t="s">
        <v>510</v>
      </c>
      <c r="C421" s="695" t="s">
        <v>653</v>
      </c>
      <c r="D421" s="727"/>
      <c r="E421" s="828"/>
      <c r="F421" s="740" t="s">
        <v>654</v>
      </c>
      <c r="G421" s="26" t="s">
        <v>655</v>
      </c>
      <c r="H421" s="27">
        <f>VLOOKUP(C421,A!A$1:O$669,15,FALSE)</f>
        <v>0</v>
      </c>
      <c r="I421" s="27"/>
      <c r="J421" s="28">
        <f>IF(VLOOKUP(C421,A!A$1:O$669,11,FALSE)="y",1,0)</f>
        <v>0</v>
      </c>
      <c r="K421" s="28">
        <f>IF(VLOOKUP(C421,A!A$1:O$669,12,FALSE)="y",1,0)</f>
        <v>0</v>
      </c>
      <c r="L421" s="544" t="str">
        <f t="shared" si="80"/>
        <v>Low</v>
      </c>
      <c r="M421" s="27">
        <f>VLOOKUP(C421,A!A$1:O$669,13,FALSE)</f>
        <v>0</v>
      </c>
      <c r="N421" s="44" t="s">
        <v>39</v>
      </c>
      <c r="O421" s="533">
        <f>VLOOKUP(C421,A!A$1:O$669,9,FALSE)</f>
        <v>0</v>
      </c>
      <c r="P421" s="533" t="s">
        <v>1249</v>
      </c>
      <c r="Q421" s="533" t="str">
        <f>IF(S421=0,"",COUNTIF(Q$12:Q420,"&gt;0")+1)</f>
        <v/>
      </c>
      <c r="R421" s="533" t="str">
        <f>IF(S421=0,"",COUNTIF(R$12:R420,"&gt;0")+1)</f>
        <v/>
      </c>
      <c r="S421" s="533">
        <f t="shared" si="82"/>
        <v>0</v>
      </c>
      <c r="T421" s="533">
        <f>VLOOKUP(C421,A!A$1:AH$669,32,FALSE)</f>
        <v>0</v>
      </c>
      <c r="U421" s="533">
        <v>0.1</v>
      </c>
      <c r="V421" s="533"/>
      <c r="W421" s="533" t="str">
        <f t="shared" si="88"/>
        <v/>
      </c>
      <c r="X421" s="533">
        <f>IF(V421&lt;&gt;"",COUNTIF(V$46:V421,V421)-1,0)</f>
        <v>0</v>
      </c>
      <c r="Y421" s="533"/>
      <c r="Z421" s="533" t="str">
        <f t="shared" si="89"/>
        <v/>
      </c>
      <c r="AA421" s="533" t="str">
        <f>IFERROR(RANK(Z421,Z$363:Z$487,0)+COUNTIF(Z$363:Z421,Z421)-1,"")</f>
        <v/>
      </c>
      <c r="AB421" s="533">
        <f t="shared" si="78"/>
        <v>0</v>
      </c>
      <c r="AC421" s="533">
        <f t="shared" si="79"/>
        <v>0</v>
      </c>
      <c r="AD421" s="533"/>
      <c r="AE421" s="533"/>
      <c r="AF421" s="533"/>
      <c r="AG421" s="533"/>
      <c r="AH421" s="533"/>
      <c r="AI421" s="533"/>
      <c r="AJ421" s="533"/>
      <c r="AK421" s="533"/>
      <c r="AL421" s="533"/>
      <c r="AM421" s="533"/>
      <c r="AN421" s="533"/>
      <c r="AO421" s="533"/>
      <c r="AP421" s="533"/>
      <c r="AQ421" s="533"/>
      <c r="AR421" s="533"/>
      <c r="AS421" s="533"/>
      <c r="AT421" s="533"/>
      <c r="AU421" s="533"/>
    </row>
    <row r="422" spans="1:47" ht="12.75" hidden="1" customHeight="1" x14ac:dyDescent="0.25">
      <c r="A422" s="41"/>
      <c r="B422" s="104" t="s">
        <v>510</v>
      </c>
      <c r="C422" s="695" t="s">
        <v>656</v>
      </c>
      <c r="D422" s="727"/>
      <c r="E422" s="828"/>
      <c r="F422" s="740" t="s">
        <v>403</v>
      </c>
      <c r="G422" s="26" t="s">
        <v>657</v>
      </c>
      <c r="H422" s="27">
        <f>VLOOKUP(C422,A!A$1:O$669,15,FALSE)</f>
        <v>0</v>
      </c>
      <c r="I422" s="27"/>
      <c r="J422" s="28">
        <f>IF(VLOOKUP(C422,A!A$1:O$669,11,FALSE)="y",1,0)</f>
        <v>0</v>
      </c>
      <c r="K422" s="28">
        <f>IF(VLOOKUP(C422,A!A$1:O$669,12,FALSE)="y",1,0)</f>
        <v>0</v>
      </c>
      <c r="L422" s="544" t="str">
        <f t="shared" si="80"/>
        <v>Low</v>
      </c>
      <c r="M422" s="27">
        <f>VLOOKUP(C422,A!A$1:O$669,13,FALSE)</f>
        <v>0</v>
      </c>
      <c r="N422" s="44" t="s">
        <v>39</v>
      </c>
      <c r="O422" s="533">
        <f>VLOOKUP(C422,A!A$1:O$669,9,FALSE)</f>
        <v>0</v>
      </c>
      <c r="P422" s="533" t="s">
        <v>1249</v>
      </c>
      <c r="Q422" s="533" t="str">
        <f>IF(S422=0,"",COUNTIF(Q$12:Q421,"&gt;0")+1)</f>
        <v/>
      </c>
      <c r="R422" s="533" t="str">
        <f>IF(S422=0,"",COUNTIF(R$12:R421,"&gt;0")+1)</f>
        <v/>
      </c>
      <c r="S422" s="533">
        <f t="shared" si="82"/>
        <v>0</v>
      </c>
      <c r="T422" s="533">
        <f>VLOOKUP(C422,A!A$1:AH$669,32,FALSE)</f>
        <v>0</v>
      </c>
      <c r="U422" s="533">
        <v>0.1</v>
      </c>
      <c r="V422" s="533"/>
      <c r="W422" s="533" t="str">
        <f t="shared" si="88"/>
        <v/>
      </c>
      <c r="X422" s="533">
        <f>IF(V422&lt;&gt;"",COUNTIF(V$46:V422,V422)-1,0)</f>
        <v>0</v>
      </c>
      <c r="Y422" s="533"/>
      <c r="Z422" s="533" t="str">
        <f t="shared" si="89"/>
        <v/>
      </c>
      <c r="AA422" s="533" t="str">
        <f>IFERROR(RANK(Z422,Z$363:Z$487,0)+COUNTIF(Z$363:Z422,Z422)-1,"")</f>
        <v/>
      </c>
      <c r="AB422" s="533">
        <f t="shared" si="78"/>
        <v>0</v>
      </c>
      <c r="AC422" s="533">
        <f t="shared" si="79"/>
        <v>0</v>
      </c>
      <c r="AD422" s="533"/>
      <c r="AE422" s="533"/>
      <c r="AF422" s="533"/>
      <c r="AG422" s="533"/>
      <c r="AH422" s="533"/>
      <c r="AI422" s="533"/>
      <c r="AJ422" s="533"/>
      <c r="AK422" s="533"/>
      <c r="AL422" s="533"/>
      <c r="AM422" s="533"/>
      <c r="AN422" s="533"/>
      <c r="AO422" s="533"/>
      <c r="AP422" s="533"/>
      <c r="AQ422" s="533"/>
      <c r="AR422" s="533"/>
      <c r="AS422" s="533"/>
      <c r="AT422" s="533"/>
      <c r="AU422" s="533"/>
    </row>
    <row r="423" spans="1:47" ht="13.5" hidden="1" customHeight="1" x14ac:dyDescent="0.25">
      <c r="A423" s="41"/>
      <c r="B423" s="104" t="s">
        <v>510</v>
      </c>
      <c r="C423" s="695" t="s">
        <v>196</v>
      </c>
      <c r="D423" s="727"/>
      <c r="E423" s="828"/>
      <c r="F423" s="740" t="s">
        <v>197</v>
      </c>
      <c r="G423" s="26" t="s">
        <v>198</v>
      </c>
      <c r="H423" s="27">
        <f>VLOOKUP(C423,A!A$1:O$669,15,FALSE)</f>
        <v>2</v>
      </c>
      <c r="I423" s="27"/>
      <c r="J423" s="28">
        <f>IF(VLOOKUP(C423,A!A$1:O$669,11,FALSE)="y",1,0)</f>
        <v>0</v>
      </c>
      <c r="K423" s="28">
        <f>IF(VLOOKUP(C423,A!A$1:O$669,12,FALSE)="y",1,0)</f>
        <v>0</v>
      </c>
      <c r="L423" s="544" t="str">
        <f t="shared" si="80"/>
        <v>Med</v>
      </c>
      <c r="M423" s="27">
        <f>VLOOKUP(C423,A!A$1:O$669,13,FALSE)</f>
        <v>0</v>
      </c>
      <c r="N423" s="44" t="s">
        <v>31</v>
      </c>
      <c r="O423" s="533">
        <f>VLOOKUP(C423,A!A$1:O$669,9,FALSE)</f>
        <v>0</v>
      </c>
      <c r="P423" s="533" t="s">
        <v>1249</v>
      </c>
      <c r="Q423" s="533" t="str">
        <f>IF(S423=0,"",COUNTIF(Q$12:Q422,"&gt;0")+1)</f>
        <v/>
      </c>
      <c r="R423" s="533" t="str">
        <f>IF(S423=0,"",COUNTIF(R$12:R422,"&gt;0")+1)</f>
        <v/>
      </c>
      <c r="S423" s="533">
        <f t="shared" si="82"/>
        <v>0</v>
      </c>
      <c r="T423" s="533">
        <v>35</v>
      </c>
      <c r="U423" s="533">
        <v>0.1</v>
      </c>
      <c r="V423" s="533"/>
      <c r="W423" s="533" t="str">
        <f t="shared" si="88"/>
        <v/>
      </c>
      <c r="X423" s="533">
        <f>IF(V423&lt;&gt;"",COUNTIF(V$46:V423,V423)-1,0)</f>
        <v>0</v>
      </c>
      <c r="Y423" s="533"/>
      <c r="Z423" s="533" t="str">
        <f t="shared" si="89"/>
        <v/>
      </c>
      <c r="AA423" s="533" t="str">
        <f>IFERROR(RANK(Z423,Z$363:Z$487,0)+COUNTIF(Z$363:Z423,Z423)-1,"")</f>
        <v/>
      </c>
      <c r="AB423" s="533">
        <f t="shared" si="78"/>
        <v>0</v>
      </c>
      <c r="AC423" s="533">
        <f t="shared" si="79"/>
        <v>0</v>
      </c>
      <c r="AD423" s="533"/>
      <c r="AE423" s="533"/>
      <c r="AF423" s="533"/>
      <c r="AG423" s="533"/>
      <c r="AH423" s="533"/>
      <c r="AI423" s="533"/>
      <c r="AJ423" s="533"/>
      <c r="AK423" s="533"/>
      <c r="AL423" s="533"/>
      <c r="AM423" s="533"/>
      <c r="AN423" s="533"/>
      <c r="AO423" s="533"/>
      <c r="AP423" s="533"/>
      <c r="AQ423" s="533"/>
      <c r="AR423" s="533"/>
      <c r="AS423" s="533"/>
      <c r="AT423" s="533"/>
      <c r="AU423" s="533"/>
    </row>
    <row r="424" spans="1:47" ht="12.75" hidden="1" customHeight="1" x14ac:dyDescent="0.25">
      <c r="A424" s="41"/>
      <c r="B424" s="104" t="s">
        <v>510</v>
      </c>
      <c r="C424" s="695" t="s">
        <v>199</v>
      </c>
      <c r="D424" s="727"/>
      <c r="E424" s="828"/>
      <c r="F424" s="740" t="s">
        <v>658</v>
      </c>
      <c r="G424" s="26" t="s">
        <v>659</v>
      </c>
      <c r="H424" s="27">
        <f>VLOOKUP(C424,A!A$1:O$669,15,FALSE)</f>
        <v>1</v>
      </c>
      <c r="I424" s="27"/>
      <c r="J424" s="28">
        <f>IF(VLOOKUP(C424,A!A$1:O$669,11,FALSE)="y",1,0)</f>
        <v>0</v>
      </c>
      <c r="K424" s="28">
        <f>IF(VLOOKUP(C424,A!A$1:O$669,12,FALSE)="y",1,0)</f>
        <v>0</v>
      </c>
      <c r="L424" s="544" t="str">
        <f t="shared" si="80"/>
        <v>Low</v>
      </c>
      <c r="M424" s="27">
        <f>VLOOKUP(C424,A!A$1:O$669,13,FALSE)</f>
        <v>0</v>
      </c>
      <c r="N424" s="44" t="s">
        <v>39</v>
      </c>
      <c r="O424" s="533">
        <f>VLOOKUP(C424,A!A$1:O$669,9,FALSE)</f>
        <v>0</v>
      </c>
      <c r="P424" s="533" t="s">
        <v>1249</v>
      </c>
      <c r="Q424" s="533" t="str">
        <f>IF(S424=0,"",COUNTIF(Q$12:Q423,"&gt;0")+1)</f>
        <v/>
      </c>
      <c r="R424" s="533" t="str">
        <f>IF(S424=0,"",COUNTIF(R$12:R423,"&gt;0")+1)</f>
        <v/>
      </c>
      <c r="S424" s="533">
        <f t="shared" si="82"/>
        <v>0</v>
      </c>
      <c r="T424" s="533">
        <f>VLOOKUP(C424,A!A$1:AH$669,32,FALSE)</f>
        <v>0</v>
      </c>
      <c r="U424" s="533">
        <v>0.1</v>
      </c>
      <c r="V424" s="533"/>
      <c r="W424" s="533" t="str">
        <f t="shared" si="88"/>
        <v/>
      </c>
      <c r="X424" s="533">
        <f>IF(V424&lt;&gt;"",COUNTIF(V$46:V424,V424)-1,0)</f>
        <v>0</v>
      </c>
      <c r="Y424" s="533"/>
      <c r="Z424" s="533" t="str">
        <f t="shared" si="89"/>
        <v/>
      </c>
      <c r="AA424" s="533" t="str">
        <f>IFERROR(RANK(Z424,Z$363:Z$487,0)+COUNTIF(Z$363:Z424,Z424)-1,"")</f>
        <v/>
      </c>
      <c r="AB424" s="533">
        <f t="shared" si="78"/>
        <v>0</v>
      </c>
      <c r="AC424" s="533">
        <f t="shared" si="79"/>
        <v>0</v>
      </c>
      <c r="AD424" s="533"/>
      <c r="AE424" s="533"/>
      <c r="AF424" s="533"/>
      <c r="AG424" s="533"/>
      <c r="AH424" s="533"/>
      <c r="AI424" s="533"/>
      <c r="AJ424" s="533"/>
      <c r="AK424" s="533"/>
      <c r="AL424" s="533"/>
      <c r="AM424" s="533"/>
      <c r="AN424" s="533"/>
      <c r="AO424" s="533"/>
      <c r="AP424" s="533"/>
      <c r="AQ424" s="533"/>
      <c r="AR424" s="533"/>
      <c r="AS424" s="533"/>
      <c r="AT424" s="533"/>
      <c r="AU424" s="533"/>
    </row>
    <row r="425" spans="1:47" ht="12.75" hidden="1" customHeight="1" x14ac:dyDescent="0.25">
      <c r="A425" s="41"/>
      <c r="B425" s="104" t="s">
        <v>510</v>
      </c>
      <c r="C425" s="695" t="s">
        <v>220</v>
      </c>
      <c r="D425" s="727"/>
      <c r="E425" s="828"/>
      <c r="F425" s="740" t="s">
        <v>221</v>
      </c>
      <c r="G425" s="26" t="s">
        <v>222</v>
      </c>
      <c r="H425" s="27">
        <f>VLOOKUP(C425,A!A$1:O$669,15,FALSE)</f>
        <v>0</v>
      </c>
      <c r="I425" s="27"/>
      <c r="J425" s="28">
        <f>IF(VLOOKUP(C425,A!A$1:O$669,11,FALSE)="y",1,0)</f>
        <v>0</v>
      </c>
      <c r="K425" s="28">
        <f>IF(VLOOKUP(C425,A!A$1:O$669,12,FALSE)="y",1,0)</f>
        <v>0</v>
      </c>
      <c r="L425" s="544" t="str">
        <f t="shared" si="80"/>
        <v>Low</v>
      </c>
      <c r="M425" s="27">
        <f>VLOOKUP(C425,A!A$1:O$669,13,FALSE)</f>
        <v>0</v>
      </c>
      <c r="N425" s="44" t="s">
        <v>39</v>
      </c>
      <c r="O425" s="533">
        <f>VLOOKUP(C425,A!A$1:O$669,9,FALSE)</f>
        <v>0</v>
      </c>
      <c r="P425" s="533" t="s">
        <v>1249</v>
      </c>
      <c r="Q425" s="533" t="str">
        <f>IF(S425=0,"",COUNTIF(Q$12:Q424,"&gt;0")+1)</f>
        <v/>
      </c>
      <c r="R425" s="533" t="str">
        <f>IF(S425=0,"",COUNTIF(R$12:R424,"&gt;0")+1)</f>
        <v/>
      </c>
      <c r="S425" s="533">
        <f t="shared" si="82"/>
        <v>0</v>
      </c>
      <c r="T425" s="533">
        <f>VLOOKUP(C425,A!A$1:AH$669,32,FALSE)</f>
        <v>0</v>
      </c>
      <c r="U425" s="533">
        <v>0.1</v>
      </c>
      <c r="V425" s="533"/>
      <c r="W425" s="533" t="str">
        <f t="shared" si="88"/>
        <v/>
      </c>
      <c r="X425" s="533">
        <f>IF(V425&lt;&gt;"",COUNTIF(V$46:V425,V425)-1,0)</f>
        <v>0</v>
      </c>
      <c r="Y425" s="533"/>
      <c r="Z425" s="533" t="str">
        <f t="shared" si="89"/>
        <v/>
      </c>
      <c r="AA425" s="533" t="str">
        <f>IFERROR(RANK(Z425,Z$363:Z$487,0)+COUNTIF(Z$363:Z425,Z425)-1,"")</f>
        <v/>
      </c>
      <c r="AB425" s="533">
        <f t="shared" si="78"/>
        <v>0</v>
      </c>
      <c r="AC425" s="533">
        <f t="shared" si="79"/>
        <v>0</v>
      </c>
      <c r="AD425" s="533"/>
      <c r="AE425" s="533"/>
      <c r="AF425" s="533"/>
      <c r="AG425" s="533"/>
      <c r="AH425" s="533"/>
      <c r="AI425" s="533"/>
      <c r="AJ425" s="533"/>
      <c r="AK425" s="533"/>
      <c r="AL425" s="533"/>
      <c r="AM425" s="533"/>
      <c r="AN425" s="533"/>
      <c r="AO425" s="533"/>
      <c r="AP425" s="533"/>
      <c r="AQ425" s="533"/>
      <c r="AR425" s="533"/>
      <c r="AS425" s="533"/>
      <c r="AT425" s="533"/>
      <c r="AU425" s="533"/>
    </row>
    <row r="426" spans="1:47" ht="13.5" customHeight="1" x14ac:dyDescent="0.25">
      <c r="A426" s="41"/>
      <c r="B426" s="104" t="s">
        <v>510</v>
      </c>
      <c r="C426" s="695" t="s">
        <v>223</v>
      </c>
      <c r="D426" s="727"/>
      <c r="E426" s="828"/>
      <c r="F426" s="740" t="s">
        <v>998</v>
      </c>
      <c r="G426" s="26" t="s">
        <v>660</v>
      </c>
      <c r="H426" s="27">
        <f>VLOOKUP(C426,A!A$1:O$669,15,FALSE)</f>
        <v>1</v>
      </c>
      <c r="I426" s="27"/>
      <c r="J426" s="28">
        <f>IF(VLOOKUP(C426,A!A$1:O$669,11,FALSE)="y",1,0)</f>
        <v>1</v>
      </c>
      <c r="K426" s="28">
        <f>IF(VLOOKUP(C426,A!A$1:O$669,12,FALSE)="y",1,0)</f>
        <v>0</v>
      </c>
      <c r="L426" s="544" t="str">
        <f t="shared" si="80"/>
        <v>Med</v>
      </c>
      <c r="M426" s="27">
        <f>VLOOKUP(C426,A!A$1:O$669,13,FALSE)</f>
        <v>0</v>
      </c>
      <c r="N426" s="44">
        <v>2</v>
      </c>
      <c r="O426" s="533" t="str">
        <f>VLOOKUP(C426,A!A$1:O$669,9,FALSE)</f>
        <v>y</v>
      </c>
      <c r="P426" s="533" t="s">
        <v>1249</v>
      </c>
      <c r="Q426" s="533" t="str">
        <f>IF(S426=0,"",COUNTIF(Q$12:Q425,"&gt;0")+1)</f>
        <v/>
      </c>
      <c r="R426" s="533" t="str">
        <f>IF(S426=0,"",COUNTIF(R$12:R425,"&gt;0")+1)</f>
        <v/>
      </c>
      <c r="S426" s="533">
        <f t="shared" si="82"/>
        <v>0</v>
      </c>
      <c r="T426" s="533">
        <f>VLOOKUP(C426,A!A$1:AH$669,32,FALSE)</f>
        <v>35</v>
      </c>
      <c r="U426" s="533">
        <v>0.1</v>
      </c>
      <c r="V426" s="533">
        <v>96</v>
      </c>
      <c r="W426" s="533" t="str">
        <f t="shared" si="88"/>
        <v/>
      </c>
      <c r="X426" s="533">
        <f>IF(V426&lt;&gt;"",COUNTIF(V$46:V426,V426)-1,0)</f>
        <v>0</v>
      </c>
      <c r="Y426" s="533"/>
      <c r="Z426" s="533">
        <f t="shared" si="89"/>
        <v>-135</v>
      </c>
      <c r="AA426" s="533">
        <f>IFERROR(RANK(Z426,Z$363:Z$487,0)+COUNTIF(Z$363:Z426,Z426)-1,"")</f>
        <v>4</v>
      </c>
      <c r="AB426" s="533">
        <f t="shared" si="78"/>
        <v>0</v>
      </c>
      <c r="AC426" s="533">
        <f t="shared" si="79"/>
        <v>0</v>
      </c>
      <c r="AD426" s="533"/>
      <c r="AE426" s="533"/>
      <c r="AF426" s="533"/>
      <c r="AG426" s="533"/>
      <c r="AH426" s="533"/>
      <c r="AI426" s="533"/>
      <c r="AJ426" s="533"/>
      <c r="AK426" s="533"/>
      <c r="AL426" s="533"/>
      <c r="AM426" s="533"/>
      <c r="AN426" s="533"/>
      <c r="AO426" s="533"/>
      <c r="AP426" s="533"/>
      <c r="AQ426" s="533"/>
      <c r="AR426" s="533"/>
      <c r="AS426" s="533"/>
      <c r="AT426" s="533"/>
      <c r="AU426" s="533"/>
    </row>
    <row r="427" spans="1:47" ht="12.75" hidden="1" customHeight="1" x14ac:dyDescent="0.25">
      <c r="A427" s="41"/>
      <c r="B427" s="104" t="s">
        <v>510</v>
      </c>
      <c r="C427" s="695" t="s">
        <v>661</v>
      </c>
      <c r="D427" s="727"/>
      <c r="E427" s="828"/>
      <c r="F427" s="740" t="s">
        <v>221</v>
      </c>
      <c r="G427" s="26" t="s">
        <v>662</v>
      </c>
      <c r="H427" s="27">
        <f>VLOOKUP(C427,A!A$1:O$669,15,FALSE)</f>
        <v>0</v>
      </c>
      <c r="I427" s="27"/>
      <c r="J427" s="28">
        <f>IF(VLOOKUP(C427,A!A$1:O$669,11,FALSE)="y",1,0)</f>
        <v>0</v>
      </c>
      <c r="K427" s="28">
        <f>IF(VLOOKUP(C427,A!A$1:O$669,12,FALSE)="y",1,0)</f>
        <v>0</v>
      </c>
      <c r="L427" s="544" t="str">
        <f t="shared" si="80"/>
        <v>Low</v>
      </c>
      <c r="M427" s="27">
        <f>VLOOKUP(C427,A!A$1:O$669,13,FALSE)</f>
        <v>0</v>
      </c>
      <c r="N427" s="44">
        <v>2</v>
      </c>
      <c r="O427" s="533">
        <f>VLOOKUP(C427,A!A$1:O$669,9,FALSE)</f>
        <v>0</v>
      </c>
      <c r="P427" s="533" t="s">
        <v>1249</v>
      </c>
      <c r="Q427" s="533" t="str">
        <f>IF(S427=0,"",COUNTIF(Q$12:Q426,"&gt;0")+1)</f>
        <v/>
      </c>
      <c r="R427" s="533" t="str">
        <f>IF(S427=0,"",COUNTIF(R$12:R426,"&gt;0")+1)</f>
        <v/>
      </c>
      <c r="S427" s="533">
        <f t="shared" si="82"/>
        <v>0</v>
      </c>
      <c r="T427" s="533">
        <f>VLOOKUP(C427,A!A$1:AH$669,32,FALSE)</f>
        <v>0</v>
      </c>
      <c r="U427" s="533">
        <v>0.1</v>
      </c>
      <c r="V427" s="533"/>
      <c r="W427" s="533" t="str">
        <f t="shared" si="88"/>
        <v/>
      </c>
      <c r="X427" s="533">
        <f>IF(V427&lt;&gt;"",COUNTIF(V$46:V427,V427)-1,0)</f>
        <v>0</v>
      </c>
      <c r="Y427" s="533"/>
      <c r="Z427" s="533" t="str">
        <f t="shared" si="89"/>
        <v/>
      </c>
      <c r="AA427" s="533" t="str">
        <f>IFERROR(RANK(Z427,Z$363:Z$487,0)+COUNTIF(Z$363:Z427,Z427)-1,"")</f>
        <v/>
      </c>
      <c r="AB427" s="533">
        <f t="shared" si="78"/>
        <v>0</v>
      </c>
      <c r="AC427" s="533">
        <f t="shared" si="79"/>
        <v>0</v>
      </c>
      <c r="AD427" s="533"/>
      <c r="AE427" s="533"/>
      <c r="AF427" s="533"/>
      <c r="AG427" s="533"/>
      <c r="AH427" s="533"/>
      <c r="AI427" s="533"/>
      <c r="AJ427" s="533"/>
      <c r="AK427" s="533"/>
      <c r="AL427" s="533"/>
      <c r="AM427" s="533"/>
      <c r="AN427" s="533"/>
      <c r="AO427" s="533"/>
      <c r="AP427" s="533"/>
      <c r="AQ427" s="533"/>
      <c r="AR427" s="533"/>
      <c r="AS427" s="533"/>
      <c r="AT427" s="533"/>
      <c r="AU427" s="533"/>
    </row>
    <row r="428" spans="1:47" ht="13.5" hidden="1" customHeight="1" x14ac:dyDescent="0.25">
      <c r="A428" s="41"/>
      <c r="B428" s="104" t="s">
        <v>510</v>
      </c>
      <c r="C428" s="695" t="s">
        <v>225</v>
      </c>
      <c r="D428" s="727"/>
      <c r="E428" s="828"/>
      <c r="F428" s="740" t="s">
        <v>221</v>
      </c>
      <c r="G428" s="26" t="s">
        <v>226</v>
      </c>
      <c r="H428" s="27">
        <f>VLOOKUP(C428,A!A$1:O$669,15,FALSE)</f>
        <v>1</v>
      </c>
      <c r="I428" s="27"/>
      <c r="J428" s="28">
        <f>IF(VLOOKUP(C428,A!A$1:O$669,11,FALSE)="y",1,0)</f>
        <v>0</v>
      </c>
      <c r="K428" s="28">
        <f>IF(VLOOKUP(C428,A!A$1:O$669,12,FALSE)="y",1,0)</f>
        <v>0</v>
      </c>
      <c r="L428" s="544" t="str">
        <f t="shared" si="80"/>
        <v>Low</v>
      </c>
      <c r="M428" s="27">
        <f>VLOOKUP(C428,A!A$1:O$669,13,FALSE)</f>
        <v>0</v>
      </c>
      <c r="N428" s="44">
        <v>2</v>
      </c>
      <c r="O428" s="533">
        <f>VLOOKUP(C428,A!A$1:O$669,9,FALSE)</f>
        <v>0</v>
      </c>
      <c r="P428" s="533" t="s">
        <v>1249</v>
      </c>
      <c r="Q428" s="533" t="str">
        <f>IF(S428=0,"",COUNTIF(Q$12:Q427,"&gt;0")+1)</f>
        <v/>
      </c>
      <c r="R428" s="533" t="str">
        <f>IF(S428=0,"",COUNTIF(R$12:R427,"&gt;0")+1)</f>
        <v/>
      </c>
      <c r="S428" s="533">
        <f t="shared" si="82"/>
        <v>0</v>
      </c>
      <c r="T428" s="533">
        <f>VLOOKUP(C428,A!A$1:AH$669,32,FALSE)</f>
        <v>0</v>
      </c>
      <c r="U428" s="533">
        <v>0.1</v>
      </c>
      <c r="V428" s="533"/>
      <c r="W428" s="533" t="str">
        <f t="shared" si="88"/>
        <v/>
      </c>
      <c r="X428" s="533">
        <f>IF(V428&lt;&gt;"",COUNTIF(V$46:V428,V428)-1,0)</f>
        <v>0</v>
      </c>
      <c r="Y428" s="533"/>
      <c r="Z428" s="533" t="str">
        <f t="shared" si="89"/>
        <v/>
      </c>
      <c r="AA428" s="533" t="str">
        <f>IFERROR(RANK(Z428,Z$363:Z$487,0)+COUNTIF(Z$363:Z428,Z428)-1,"")</f>
        <v/>
      </c>
      <c r="AB428" s="533">
        <f t="shared" si="78"/>
        <v>0</v>
      </c>
      <c r="AC428" s="533">
        <f t="shared" si="79"/>
        <v>0</v>
      </c>
      <c r="AD428" s="533"/>
      <c r="AE428" s="533"/>
      <c r="AF428" s="533"/>
      <c r="AG428" s="533"/>
      <c r="AH428" s="533"/>
      <c r="AI428" s="533"/>
      <c r="AJ428" s="533"/>
      <c r="AK428" s="533"/>
      <c r="AL428" s="533"/>
      <c r="AM428" s="533"/>
      <c r="AN428" s="533"/>
      <c r="AO428" s="533"/>
      <c r="AP428" s="533"/>
      <c r="AQ428" s="533"/>
      <c r="AR428" s="533"/>
      <c r="AS428" s="533"/>
      <c r="AT428" s="533"/>
      <c r="AU428" s="533"/>
    </row>
    <row r="429" spans="1:47" ht="12.75" hidden="1" customHeight="1" x14ac:dyDescent="0.25">
      <c r="A429" s="41"/>
      <c r="B429" s="104" t="s">
        <v>510</v>
      </c>
      <c r="C429" s="695" t="s">
        <v>227</v>
      </c>
      <c r="D429" s="727"/>
      <c r="E429" s="828"/>
      <c r="F429" s="740" t="s">
        <v>221</v>
      </c>
      <c r="G429" s="26" t="s">
        <v>228</v>
      </c>
      <c r="H429" s="27">
        <f>VLOOKUP(C429,A!A$1:O$669,15,FALSE)</f>
        <v>0</v>
      </c>
      <c r="I429" s="27"/>
      <c r="J429" s="28">
        <f>IF(VLOOKUP(C429,A!A$1:O$669,11,FALSE)="y",1,0)</f>
        <v>0</v>
      </c>
      <c r="K429" s="28">
        <f>IF(VLOOKUP(C429,A!A$1:O$669,12,FALSE)="y",1,0)</f>
        <v>0</v>
      </c>
      <c r="L429" s="544" t="str">
        <f t="shared" si="80"/>
        <v>Low</v>
      </c>
      <c r="M429" s="27">
        <f>VLOOKUP(C429,A!A$1:O$669,13,FALSE)</f>
        <v>0</v>
      </c>
      <c r="N429" s="44">
        <v>2</v>
      </c>
      <c r="O429" s="533">
        <f>VLOOKUP(C429,A!A$1:O$669,9,FALSE)</f>
        <v>0</v>
      </c>
      <c r="P429" s="533" t="s">
        <v>1249</v>
      </c>
      <c r="Q429" s="533" t="str">
        <f>IF(S429=0,"",COUNTIF(Q$12:Q428,"&gt;0")+1)</f>
        <v/>
      </c>
      <c r="R429" s="533" t="str">
        <f>IF(S429=0,"",COUNTIF(R$12:R428,"&gt;0")+1)</f>
        <v/>
      </c>
      <c r="S429" s="533">
        <f t="shared" si="82"/>
        <v>0</v>
      </c>
      <c r="T429" s="533">
        <f>VLOOKUP(C429,A!A$1:AH$669,32,FALSE)</f>
        <v>0</v>
      </c>
      <c r="U429" s="533">
        <v>0.1</v>
      </c>
      <c r="V429" s="533"/>
      <c r="W429" s="533" t="str">
        <f t="shared" si="88"/>
        <v/>
      </c>
      <c r="X429" s="533">
        <f>IF(V429&lt;&gt;"",COUNTIF(V$46:V429,V429)-1,0)</f>
        <v>0</v>
      </c>
      <c r="Y429" s="533"/>
      <c r="Z429" s="533" t="str">
        <f t="shared" si="89"/>
        <v/>
      </c>
      <c r="AA429" s="533" t="str">
        <f>IFERROR(RANK(Z429,Z$363:Z$487,0)+COUNTIF(Z$363:Z429,Z429)-1,"")</f>
        <v/>
      </c>
      <c r="AB429" s="533">
        <f t="shared" si="78"/>
        <v>0</v>
      </c>
      <c r="AC429" s="533">
        <f t="shared" si="79"/>
        <v>0</v>
      </c>
      <c r="AD429" s="533"/>
      <c r="AE429" s="533"/>
      <c r="AF429" s="533"/>
      <c r="AG429" s="533"/>
      <c r="AH429" s="533"/>
      <c r="AI429" s="533"/>
      <c r="AJ429" s="533"/>
      <c r="AK429" s="533"/>
      <c r="AL429" s="533"/>
      <c r="AM429" s="533"/>
      <c r="AN429" s="533"/>
      <c r="AO429" s="533"/>
      <c r="AP429" s="533"/>
      <c r="AQ429" s="533"/>
      <c r="AR429" s="533"/>
      <c r="AS429" s="533"/>
      <c r="AT429" s="533"/>
      <c r="AU429" s="533"/>
    </row>
    <row r="430" spans="1:47" ht="12.75" hidden="1" customHeight="1" x14ac:dyDescent="0.25">
      <c r="A430" s="303"/>
      <c r="B430" s="599" t="s">
        <v>510</v>
      </c>
      <c r="C430" s="697" t="s">
        <v>1015</v>
      </c>
      <c r="D430" s="732"/>
      <c r="E430" s="1063"/>
      <c r="F430" s="741" t="s">
        <v>1016</v>
      </c>
      <c r="G430" s="323" t="s">
        <v>1032</v>
      </c>
      <c r="H430" s="27">
        <f>VLOOKUP(C430,A!A$1:O$669,15,FALSE)</f>
        <v>2</v>
      </c>
      <c r="I430" s="128"/>
      <c r="J430" s="28">
        <f>IF(VLOOKUP(C430,A!A$1:O$669,11,FALSE)="y",1,0)</f>
        <v>0</v>
      </c>
      <c r="K430" s="193"/>
      <c r="L430" s="544" t="str">
        <f t="shared" si="80"/>
        <v>High</v>
      </c>
      <c r="M430" s="128"/>
      <c r="N430" s="304">
        <v>2</v>
      </c>
      <c r="O430" s="533">
        <f>VLOOKUP(C430,A!A$1:O$669,9,FALSE)</f>
        <v>0</v>
      </c>
      <c r="P430" s="533" t="s">
        <v>1249</v>
      </c>
      <c r="Q430" s="533" t="str">
        <f>IF(S430=0,"",COUNTIF(Q$12:Q429,"&gt;0")+1)</f>
        <v/>
      </c>
      <c r="R430" s="533" t="str">
        <f>IF(S430=0,"",COUNTIF(R$12:R429,"&gt;0")+1)</f>
        <v/>
      </c>
      <c r="S430" s="533">
        <f t="shared" si="82"/>
        <v>0</v>
      </c>
      <c r="T430" s="533">
        <v>55</v>
      </c>
      <c r="U430" s="533">
        <v>0.1</v>
      </c>
      <c r="V430" s="533"/>
      <c r="W430" s="533" t="str">
        <f t="shared" si="88"/>
        <v/>
      </c>
      <c r="X430" s="533">
        <f>IF(V430&lt;&gt;"",COUNTIF(V$46:V430,V430)-1,0)</f>
        <v>0</v>
      </c>
      <c r="Y430" s="533"/>
      <c r="Z430" s="533" t="str">
        <f t="shared" si="89"/>
        <v/>
      </c>
      <c r="AA430" s="533" t="str">
        <f>IFERROR(RANK(Z430,Z$363:Z$487,0)+COUNTIF(Z$363:Z430,Z430)-1,"")</f>
        <v/>
      </c>
      <c r="AB430" s="533">
        <f t="shared" si="78"/>
        <v>0</v>
      </c>
      <c r="AC430" s="533">
        <f t="shared" si="79"/>
        <v>0</v>
      </c>
      <c r="AD430" s="533"/>
      <c r="AE430" s="533"/>
      <c r="AF430" s="533"/>
      <c r="AG430" s="533"/>
      <c r="AH430" s="533"/>
      <c r="AI430" s="533"/>
      <c r="AJ430" s="533"/>
      <c r="AK430" s="533"/>
      <c r="AL430" s="533"/>
      <c r="AM430" s="533"/>
      <c r="AN430" s="533"/>
      <c r="AO430" s="533"/>
      <c r="AP430" s="533"/>
      <c r="AQ430" s="533"/>
      <c r="AR430" s="533"/>
      <c r="AS430" s="533"/>
      <c r="AT430" s="533"/>
      <c r="AU430" s="533"/>
    </row>
    <row r="431" spans="1:47" ht="13.5" customHeight="1" x14ac:dyDescent="0.25">
      <c r="A431" s="303"/>
      <c r="B431" s="599" t="s">
        <v>510</v>
      </c>
      <c r="C431" s="697" t="s">
        <v>229</v>
      </c>
      <c r="D431" s="732"/>
      <c r="E431" s="1063"/>
      <c r="F431" s="741" t="s">
        <v>230</v>
      </c>
      <c r="G431" s="291" t="s">
        <v>231</v>
      </c>
      <c r="H431" s="27">
        <f>VLOOKUP(C431,A!A$1:O$669,15,FALSE)</f>
        <v>3</v>
      </c>
      <c r="I431" s="128" t="s">
        <v>30</v>
      </c>
      <c r="J431" s="28">
        <f>IF(VLOOKUP(C431,A!A$1:O$669,11,FALSE)="y",1,0)</f>
        <v>1</v>
      </c>
      <c r="K431" s="193">
        <f>IF(VLOOKUP(C431,A!A$1:O$669,12,FALSE)="y",1,0)</f>
        <v>0</v>
      </c>
      <c r="L431" s="544" t="str">
        <f t="shared" si="80"/>
        <v>Med</v>
      </c>
      <c r="M431" s="128">
        <f>VLOOKUP(C431,A!A$1:O$669,13,FALSE)</f>
        <v>0</v>
      </c>
      <c r="N431" s="304" t="s">
        <v>39</v>
      </c>
      <c r="O431" s="533" t="str">
        <f>VLOOKUP(C431,A!A$1:O$669,9,FALSE)</f>
        <v>y</v>
      </c>
      <c r="P431" s="533" t="s">
        <v>1249</v>
      </c>
      <c r="Q431" s="533" t="str">
        <f>IF(S431=0,"",COUNTIF(Q$12:Q430,"&gt;0")+1)</f>
        <v/>
      </c>
      <c r="R431" s="533" t="str">
        <f>IF(S431=0,"",COUNTIF(R$12:R430,"&gt;0")+1)</f>
        <v/>
      </c>
      <c r="S431" s="533">
        <f t="shared" si="82"/>
        <v>0</v>
      </c>
      <c r="T431" s="533">
        <f>VLOOKUP(C431,A!A$1:AH$669,32,FALSE)</f>
        <v>40</v>
      </c>
      <c r="U431" s="533">
        <v>0.1</v>
      </c>
      <c r="V431" s="533">
        <v>77</v>
      </c>
      <c r="W431" s="533" t="str">
        <f t="shared" si="88"/>
        <v/>
      </c>
      <c r="X431" s="533">
        <f>IF(V431&lt;&gt;"",COUNTIF(V$46:V431,V431)-1,0)</f>
        <v>0</v>
      </c>
      <c r="Y431" s="533"/>
      <c r="Z431" s="533">
        <f t="shared" si="89"/>
        <v>-340</v>
      </c>
      <c r="AA431" s="533">
        <f>IFERROR(RANK(Z431,Z$363:Z$487,0)+COUNTIF(Z$363:Z431,Z431)-1,"")</f>
        <v>17</v>
      </c>
      <c r="AB431" s="533">
        <f t="shared" si="78"/>
        <v>0</v>
      </c>
      <c r="AC431" s="533">
        <f t="shared" si="79"/>
        <v>0</v>
      </c>
      <c r="AD431" s="533"/>
      <c r="AE431" s="533"/>
      <c r="AF431" s="533"/>
      <c r="AG431" s="533"/>
      <c r="AH431" s="533"/>
      <c r="AI431" s="533"/>
      <c r="AJ431" s="533"/>
      <c r="AK431" s="533"/>
      <c r="AL431" s="533"/>
      <c r="AM431" s="533"/>
      <c r="AN431" s="533"/>
      <c r="AO431" s="533"/>
      <c r="AP431" s="533"/>
      <c r="AQ431" s="533"/>
      <c r="AR431" s="533"/>
      <c r="AS431" s="533"/>
      <c r="AT431" s="533"/>
      <c r="AU431" s="533"/>
    </row>
    <row r="432" spans="1:47" ht="13.5" hidden="1" customHeight="1" x14ac:dyDescent="0.25">
      <c r="A432" s="318"/>
      <c r="B432" s="600" t="s">
        <v>510</v>
      </c>
      <c r="C432" s="841" t="s">
        <v>232</v>
      </c>
      <c r="D432" s="1064"/>
      <c r="E432" s="1065"/>
      <c r="F432" s="742" t="s">
        <v>233</v>
      </c>
      <c r="G432" s="319" t="s">
        <v>234</v>
      </c>
      <c r="H432" s="27">
        <f>VLOOKUP(C432,A!A$1:O$669,15,FALSE)</f>
        <v>1</v>
      </c>
      <c r="I432" s="320"/>
      <c r="J432" s="28">
        <f>IF(VLOOKUP(C432,A!A$1:O$669,11,FALSE)="y",1,0)</f>
        <v>0</v>
      </c>
      <c r="K432" s="321">
        <f>IF(VLOOKUP(C432,A!A$1:O$669,12,FALSE)="y",1,0)</f>
        <v>0</v>
      </c>
      <c r="L432" s="544" t="str">
        <f t="shared" si="80"/>
        <v>Low</v>
      </c>
      <c r="M432" s="320"/>
      <c r="N432" s="322" t="s">
        <v>39</v>
      </c>
      <c r="O432" s="533">
        <f>VLOOKUP(C432,A!A$1:O$669,9,FALSE)</f>
        <v>0</v>
      </c>
      <c r="P432" s="533" t="s">
        <v>1249</v>
      </c>
      <c r="Q432" s="533" t="str">
        <f>IF(S432=0,"",COUNTIF(Q$12:Q431,"&gt;0")+1)</f>
        <v/>
      </c>
      <c r="R432" s="533" t="str">
        <f>IF(S432=0,"",COUNTIF(R$12:R431,"&gt;0")+1)</f>
        <v/>
      </c>
      <c r="S432" s="533">
        <f t="shared" si="82"/>
        <v>0</v>
      </c>
      <c r="T432" s="533">
        <f>VLOOKUP(C432,A!A$1:AH$669,32,FALSE)</f>
        <v>0</v>
      </c>
      <c r="U432" s="533">
        <v>0.1</v>
      </c>
      <c r="V432" s="533"/>
      <c r="W432" s="533" t="str">
        <f t="shared" si="88"/>
        <v/>
      </c>
      <c r="X432" s="533">
        <f>IF(V432&lt;&gt;"",COUNTIF(V$46:V432,V432)-1,0)</f>
        <v>0</v>
      </c>
      <c r="Y432" s="533"/>
      <c r="Z432" s="533" t="str">
        <f t="shared" si="89"/>
        <v/>
      </c>
      <c r="AA432" s="533" t="str">
        <f>IFERROR(RANK(Z432,Z$363:Z$487,0)+COUNTIF(Z$363:Z432,Z432)-1,"")</f>
        <v/>
      </c>
      <c r="AB432" s="533">
        <f t="shared" si="78"/>
        <v>0</v>
      </c>
      <c r="AC432" s="533">
        <f t="shared" si="79"/>
        <v>0</v>
      </c>
      <c r="AD432" s="533"/>
      <c r="AE432" s="533"/>
      <c r="AF432" s="533"/>
      <c r="AG432" s="533"/>
      <c r="AH432" s="533"/>
      <c r="AI432" s="533"/>
      <c r="AJ432" s="533"/>
      <c r="AK432" s="533"/>
      <c r="AL432" s="533"/>
      <c r="AM432" s="533"/>
      <c r="AN432" s="533"/>
      <c r="AO432" s="533"/>
      <c r="AP432" s="533"/>
      <c r="AQ432" s="533"/>
      <c r="AR432" s="533"/>
      <c r="AS432" s="533"/>
      <c r="AT432" s="533"/>
      <c r="AU432" s="533"/>
    </row>
    <row r="433" spans="1:47" ht="13.5" customHeight="1" x14ac:dyDescent="0.25">
      <c r="A433" s="41"/>
      <c r="B433" s="104" t="s">
        <v>510</v>
      </c>
      <c r="C433" s="695" t="s">
        <v>238</v>
      </c>
      <c r="D433" s="727"/>
      <c r="E433" s="828"/>
      <c r="F433" s="740" t="s">
        <v>239</v>
      </c>
      <c r="G433" s="26" t="s">
        <v>240</v>
      </c>
      <c r="H433" s="27">
        <f>VLOOKUP(C433,A!A$1:O$669,15,FALSE)</f>
        <v>3</v>
      </c>
      <c r="I433" s="27" t="s">
        <v>30</v>
      </c>
      <c r="J433" s="28">
        <f>IF(VLOOKUP(C433,A!A$1:O$669,11,FALSE)="y",1,0)</f>
        <v>1</v>
      </c>
      <c r="K433" s="28">
        <f>IF(VLOOKUP(C433,A!A$1:O$669,12,FALSE)="y",1,0)</f>
        <v>0</v>
      </c>
      <c r="L433" s="544" t="str">
        <f t="shared" si="80"/>
        <v>Med</v>
      </c>
      <c r="M433" s="27"/>
      <c r="N433" s="44" t="s">
        <v>39</v>
      </c>
      <c r="O433" s="533" t="str">
        <f>VLOOKUP(C433,A!A$1:O$669,9,FALSE)</f>
        <v>y</v>
      </c>
      <c r="P433" s="533" t="s">
        <v>1249</v>
      </c>
      <c r="Q433" s="533" t="str">
        <f>IF(S433=0,"",COUNTIF(Q$12:Q432,"&gt;0")+1)</f>
        <v/>
      </c>
      <c r="R433" s="533" t="str">
        <f>IF(S433=0,"",COUNTIF(R$12:R432,"&gt;0")+1)</f>
        <v/>
      </c>
      <c r="S433" s="533">
        <f t="shared" si="82"/>
        <v>0</v>
      </c>
      <c r="T433" s="533">
        <f>VLOOKUP(C433,A!A$1:AH$669,32,FALSE)</f>
        <v>40</v>
      </c>
      <c r="U433" s="533">
        <v>0.1</v>
      </c>
      <c r="V433" s="533">
        <v>97</v>
      </c>
      <c r="W433" s="533" t="str">
        <f t="shared" ref="W433:W471" si="90">IF(AND(V433&lt;&gt;"",O433=0),"Check",IF(AND(V433=0,O433="Y"),"Check",""))</f>
        <v/>
      </c>
      <c r="X433" s="533">
        <f>IF(V433&lt;&gt;"",COUNTIF(V$46:V433,V433)-1,0)</f>
        <v>0</v>
      </c>
      <c r="Y433" s="533"/>
      <c r="Z433" s="533">
        <f t="shared" si="89"/>
        <v>-340</v>
      </c>
      <c r="AA433" s="533">
        <f>IFERROR(RANK(Z433,Z$363:Z$487,0)+COUNTIF(Z$363:Z433,Z433)-1,"")</f>
        <v>18</v>
      </c>
      <c r="AB433" s="533">
        <f t="shared" si="78"/>
        <v>0</v>
      </c>
      <c r="AC433" s="533">
        <f t="shared" si="79"/>
        <v>0</v>
      </c>
      <c r="AD433" s="533"/>
      <c r="AE433" s="533"/>
      <c r="AF433" s="533"/>
      <c r="AG433" s="533"/>
      <c r="AH433" s="533"/>
      <c r="AI433" s="533"/>
      <c r="AJ433" s="533"/>
      <c r="AK433" s="533"/>
      <c r="AL433" s="533"/>
      <c r="AM433" s="533"/>
      <c r="AN433" s="533"/>
      <c r="AO433" s="533"/>
      <c r="AP433" s="533"/>
      <c r="AQ433" s="533"/>
      <c r="AR433" s="533"/>
      <c r="AS433" s="533"/>
      <c r="AT433" s="533"/>
      <c r="AU433" s="533"/>
    </row>
    <row r="434" spans="1:47" ht="13.5" hidden="1" customHeight="1" x14ac:dyDescent="0.25">
      <c r="A434" s="41"/>
      <c r="B434" s="104" t="s">
        <v>510</v>
      </c>
      <c r="C434" s="695" t="s">
        <v>241</v>
      </c>
      <c r="D434" s="727"/>
      <c r="E434" s="828"/>
      <c r="F434" s="740" t="s">
        <v>242</v>
      </c>
      <c r="G434" s="26" t="s">
        <v>1254</v>
      </c>
      <c r="H434" s="27">
        <v>2</v>
      </c>
      <c r="I434" s="27"/>
      <c r="J434" s="28">
        <v>1</v>
      </c>
      <c r="K434" s="28">
        <v>0</v>
      </c>
      <c r="L434" s="544" t="s">
        <v>1240</v>
      </c>
      <c r="M434" s="27"/>
      <c r="N434" s="44">
        <v>1</v>
      </c>
      <c r="O434" s="533">
        <f>VLOOKUP(C434,A!A$1:O$669,9,FALSE)</f>
        <v>0</v>
      </c>
      <c r="P434" s="533" t="s">
        <v>1249</v>
      </c>
      <c r="Q434" s="533" t="str">
        <f>IF(S434=0,"",COUNTIF(Q$12:Q433,"&gt;0")+1)</f>
        <v/>
      </c>
      <c r="R434" s="533" t="str">
        <f>IF(S434=0,"",COUNTIF(R$12:R433,"&gt;0")+1)</f>
        <v/>
      </c>
      <c r="S434" s="533">
        <f t="shared" si="82"/>
        <v>0</v>
      </c>
      <c r="T434" s="533">
        <v>35</v>
      </c>
      <c r="U434" s="533">
        <v>0.1</v>
      </c>
      <c r="V434" s="533"/>
      <c r="W434" s="533" t="s">
        <v>1130</v>
      </c>
      <c r="X434" s="533">
        <v>0</v>
      </c>
      <c r="Y434" s="533"/>
      <c r="Z434" s="533">
        <v>-135</v>
      </c>
      <c r="AA434" s="533">
        <f>IFERROR(RANK(Z434,Z$363:Z$487,0)+COUNTIF(Z$363:Z434,Z434)-1,"")</f>
        <v>5</v>
      </c>
      <c r="AB434" s="533">
        <v>0</v>
      </c>
      <c r="AC434" s="533">
        <v>0</v>
      </c>
      <c r="AD434" s="533"/>
      <c r="AE434" s="533"/>
      <c r="AF434" s="533"/>
      <c r="AG434" s="533"/>
      <c r="AH434" s="533"/>
      <c r="AI434" s="533"/>
      <c r="AJ434" s="533"/>
      <c r="AK434" s="533"/>
      <c r="AL434" s="533"/>
      <c r="AM434" s="533"/>
      <c r="AN434" s="533"/>
      <c r="AO434" s="533"/>
      <c r="AP434" s="533"/>
      <c r="AQ434" s="533"/>
      <c r="AR434" s="533"/>
      <c r="AS434" s="533"/>
      <c r="AT434" s="533"/>
      <c r="AU434" s="533"/>
    </row>
    <row r="435" spans="1:47" ht="13.5" hidden="1" customHeight="1" x14ac:dyDescent="0.25">
      <c r="A435" s="41"/>
      <c r="B435" s="104" t="s">
        <v>510</v>
      </c>
      <c r="C435" s="695" t="s">
        <v>249</v>
      </c>
      <c r="D435" s="727"/>
      <c r="E435" s="828"/>
      <c r="F435" s="740" t="s">
        <v>245</v>
      </c>
      <c r="G435" s="26" t="s">
        <v>250</v>
      </c>
      <c r="H435" s="27">
        <f>VLOOKUP(C435,A!A$1:O$669,15,FALSE)</f>
        <v>1</v>
      </c>
      <c r="I435" s="27"/>
      <c r="J435" s="28">
        <f>IF(VLOOKUP(C435,A!A$1:O$669,11,FALSE)="y",1,0)</f>
        <v>0</v>
      </c>
      <c r="K435" s="28">
        <f>IF(VLOOKUP(C435,A!A$1:O$669,12,FALSE)="y",1,0)</f>
        <v>0</v>
      </c>
      <c r="L435" s="544" t="str">
        <f t="shared" si="80"/>
        <v>Low</v>
      </c>
      <c r="M435" s="27"/>
      <c r="N435" s="44" t="s">
        <v>39</v>
      </c>
      <c r="O435" s="533">
        <f>VLOOKUP(C435,A!A$1:O$669,9,FALSE)</f>
        <v>0</v>
      </c>
      <c r="P435" s="533" t="s">
        <v>1249</v>
      </c>
      <c r="Q435" s="533" t="str">
        <f>IF(S435=0,"",COUNTIF(Q$12:Q434,"&gt;0")+1)</f>
        <v/>
      </c>
      <c r="R435" s="533" t="str">
        <f>IF(S435=0,"",COUNTIF(R$12:R434,"&gt;0")+1)</f>
        <v/>
      </c>
      <c r="S435" s="533"/>
      <c r="T435" s="533">
        <f>VLOOKUP(C435,A!A$1:AH$669,32,FALSE)</f>
        <v>0</v>
      </c>
      <c r="U435" s="533">
        <v>0.1</v>
      </c>
      <c r="V435" s="533"/>
      <c r="W435" s="533" t="str">
        <f t="shared" si="90"/>
        <v/>
      </c>
      <c r="X435" s="533">
        <f>IF(V435&lt;&gt;"",COUNTIF(V$46:V435,V435)-1,0)</f>
        <v>0</v>
      </c>
      <c r="Y435" s="533">
        <f>A23</f>
        <v>0</v>
      </c>
      <c r="Z435" s="533" t="str">
        <f t="shared" si="89"/>
        <v/>
      </c>
      <c r="AA435" s="533" t="str">
        <f>IFERROR(RANK(Z435,Z$363:Z$487,0)+COUNTIF(Z$363:Z435,Z435)-1,"")</f>
        <v/>
      </c>
      <c r="AB435" s="533">
        <f t="shared" si="78"/>
        <v>0</v>
      </c>
      <c r="AC435" s="533">
        <f t="shared" si="79"/>
        <v>0</v>
      </c>
      <c r="AD435" s="533"/>
      <c r="AE435" s="533"/>
      <c r="AF435" s="533"/>
      <c r="AG435" s="533"/>
      <c r="AH435" s="533"/>
      <c r="AI435" s="533"/>
      <c r="AJ435" s="533"/>
      <c r="AK435" s="533"/>
      <c r="AL435" s="533"/>
      <c r="AM435" s="533"/>
      <c r="AN435" s="533"/>
      <c r="AO435" s="533"/>
      <c r="AP435" s="533"/>
      <c r="AQ435" s="533"/>
      <c r="AR435" s="533"/>
      <c r="AS435" s="533"/>
      <c r="AT435" s="533"/>
      <c r="AU435" s="533"/>
    </row>
    <row r="436" spans="1:47" ht="12.75" hidden="1" customHeight="1" x14ac:dyDescent="0.25">
      <c r="A436" s="41"/>
      <c r="B436" s="104" t="s">
        <v>510</v>
      </c>
      <c r="C436" s="695" t="s">
        <v>1201</v>
      </c>
      <c r="D436" s="727"/>
      <c r="E436" s="828"/>
      <c r="F436" s="740" t="s">
        <v>1206</v>
      </c>
      <c r="G436" s="42" t="s">
        <v>252</v>
      </c>
      <c r="H436" s="27">
        <f>VLOOKUP(C436,A!A$1:O$669,15,FALSE)</f>
        <v>2</v>
      </c>
      <c r="I436" s="27"/>
      <c r="J436" s="28">
        <f>IF(VLOOKUP(C436,A!A$1:O$669,11,FALSE)="y",1,0)</f>
        <v>0</v>
      </c>
      <c r="K436" s="28">
        <f>IF(VLOOKUP(C436,A!A$1:O$669,12,FALSE)="y",1,0)</f>
        <v>0</v>
      </c>
      <c r="L436" s="544" t="str">
        <f>IF(T436&lt;35,"Low",IF(T436&gt;40,"High","Med"))</f>
        <v>Low</v>
      </c>
      <c r="M436" s="27"/>
      <c r="N436" s="44">
        <v>1</v>
      </c>
      <c r="O436" s="533">
        <f>VLOOKUP(C436,A!A$1:O$669,9,FALSE)</f>
        <v>0</v>
      </c>
      <c r="P436" s="533" t="s">
        <v>1249</v>
      </c>
      <c r="Q436" s="533" t="str">
        <f>IF(S436=0,"",COUNTIF(Q$12:Q435,"&gt;0")+1)</f>
        <v/>
      </c>
      <c r="R436" s="533" t="str">
        <f>IF(S436=0,"",COUNTIF(R$12:R435,"&gt;0")+1)</f>
        <v/>
      </c>
      <c r="S436" s="533">
        <f t="shared" si="82"/>
        <v>0</v>
      </c>
      <c r="T436" s="533">
        <f>VLOOKUP(C436,A!A$1:AH$669,32,FALSE)</f>
        <v>0</v>
      </c>
      <c r="U436" s="533">
        <v>0.1</v>
      </c>
      <c r="V436" s="533"/>
      <c r="W436" s="533" t="str">
        <f t="shared" si="90"/>
        <v/>
      </c>
      <c r="X436" s="533">
        <f>IF(V436&lt;&gt;"",COUNTIF(V$46:V436,V436)-1,0)</f>
        <v>0</v>
      </c>
      <c r="Y436" s="533"/>
      <c r="Z436" s="533" t="str">
        <f>IFERROR(IF(AND(O436="y",IF(AND(A436&lt;&gt;"",A436=0),0,1)),H436*-100-A436*1000-T436,""),"")</f>
        <v/>
      </c>
      <c r="AA436" s="533" t="str">
        <f>IFERROR(RANK(Z436,Z$363:Z$487,0)+COUNTIF(Z$363:Z436,Z436)-1,"")</f>
        <v/>
      </c>
      <c r="AB436" s="533">
        <f>IF(AA436&lt;=AB$362,1,0)</f>
        <v>0</v>
      </c>
      <c r="AC436" s="533">
        <f>IF(AA436&lt;=AC$362,1,0)</f>
        <v>0</v>
      </c>
      <c r="AD436" s="533"/>
      <c r="AE436" s="533"/>
      <c r="AF436" s="533"/>
      <c r="AG436" s="533"/>
      <c r="AH436" s="533"/>
      <c r="AI436" s="533"/>
      <c r="AJ436" s="533"/>
      <c r="AK436" s="533"/>
      <c r="AL436" s="533"/>
      <c r="AM436" s="533"/>
      <c r="AN436" s="533"/>
      <c r="AO436" s="533"/>
      <c r="AP436" s="533"/>
      <c r="AQ436" s="533"/>
      <c r="AR436" s="533"/>
      <c r="AS436" s="533"/>
      <c r="AT436" s="533"/>
      <c r="AU436" s="533"/>
    </row>
    <row r="437" spans="1:47" ht="12.75" hidden="1" customHeight="1" x14ac:dyDescent="0.25">
      <c r="A437" s="41"/>
      <c r="B437" s="104" t="s">
        <v>510</v>
      </c>
      <c r="C437" s="695" t="s">
        <v>1202</v>
      </c>
      <c r="D437" s="727"/>
      <c r="E437" s="828"/>
      <c r="F437" s="740" t="s">
        <v>1207</v>
      </c>
      <c r="G437" s="42" t="s">
        <v>1204</v>
      </c>
      <c r="H437" s="27">
        <f>VLOOKUP(C437,A!A$1:O$669,15,FALSE)</f>
        <v>2</v>
      </c>
      <c r="I437" s="27"/>
      <c r="J437" s="28">
        <f>IF(VLOOKUP(C437,A!A$1:O$669,11,FALSE)="y",1,0)</f>
        <v>0</v>
      </c>
      <c r="K437" s="28">
        <f>IF(VLOOKUP(C437,A!A$1:O$669,12,FALSE)="y",1,0)</f>
        <v>0</v>
      </c>
      <c r="L437" s="544" t="str">
        <f>IF(T437&lt;35,"Low",IF(T437&gt;40,"High","Med"))</f>
        <v>Low</v>
      </c>
      <c r="M437" s="27"/>
      <c r="N437" s="44">
        <v>1</v>
      </c>
      <c r="O437" s="533">
        <f>VLOOKUP(C437,A!A$1:O$669,9,FALSE)</f>
        <v>0</v>
      </c>
      <c r="P437" s="533" t="s">
        <v>1249</v>
      </c>
      <c r="Q437" s="533" t="str">
        <f>IF(S437=0,"",COUNTIF(Q$12:Q436,"&gt;0")+1)</f>
        <v/>
      </c>
      <c r="R437" s="533" t="str">
        <f>IF(S437=0,"",COUNTIF(R$12:R436,"&gt;0")+1)</f>
        <v/>
      </c>
      <c r="S437" s="533">
        <f t="shared" si="82"/>
        <v>0</v>
      </c>
      <c r="T437" s="533">
        <f>VLOOKUP(C437,A!A$1:AH$669,32,FALSE)</f>
        <v>0</v>
      </c>
      <c r="U437" s="533">
        <v>0.1</v>
      </c>
      <c r="V437" s="533"/>
      <c r="W437" s="533" t="str">
        <f t="shared" si="90"/>
        <v/>
      </c>
      <c r="X437" s="533">
        <f>IF(V437&lt;&gt;"",COUNTIF(V$46:V437,V437)-1,0)</f>
        <v>0</v>
      </c>
      <c r="Y437" s="533"/>
      <c r="Z437" s="533" t="str">
        <f>IFERROR(IF(AND(O437="y",IF(AND(A437&lt;&gt;"",A437=0),0,1)),H437*-100-A437*1000-T437,""),"")</f>
        <v/>
      </c>
      <c r="AA437" s="533" t="str">
        <f>IFERROR(RANK(Z437,Z$363:Z$487,0)+COUNTIF(Z$363:Z437,Z437)-1,"")</f>
        <v/>
      </c>
      <c r="AB437" s="533">
        <f>IF(AA437&lt;=AB$362,1,0)</f>
        <v>0</v>
      </c>
      <c r="AC437" s="533">
        <f>IF(AA437&lt;=AC$362,1,0)</f>
        <v>0</v>
      </c>
      <c r="AD437" s="533"/>
      <c r="AE437" s="533"/>
      <c r="AF437" s="533"/>
      <c r="AG437" s="533"/>
      <c r="AH437" s="533"/>
      <c r="AI437" s="533"/>
      <c r="AJ437" s="533"/>
      <c r="AK437" s="533"/>
      <c r="AL437" s="533"/>
      <c r="AM437" s="533"/>
      <c r="AN437" s="533"/>
      <c r="AO437" s="533"/>
      <c r="AP437" s="533"/>
      <c r="AQ437" s="533"/>
      <c r="AR437" s="533"/>
      <c r="AS437" s="533"/>
      <c r="AT437" s="533"/>
      <c r="AU437" s="533"/>
    </row>
    <row r="438" spans="1:47" ht="12.75" hidden="1" customHeight="1" x14ac:dyDescent="0.25">
      <c r="A438" s="41"/>
      <c r="B438" s="104" t="s">
        <v>510</v>
      </c>
      <c r="C438" s="695" t="s">
        <v>1210</v>
      </c>
      <c r="D438" s="727"/>
      <c r="E438" s="828"/>
      <c r="F438" s="740" t="s">
        <v>1212</v>
      </c>
      <c r="G438" s="42" t="s">
        <v>1214</v>
      </c>
      <c r="H438" s="27">
        <f>VLOOKUP(C438,A!A$1:O$669,15,FALSE)</f>
        <v>2</v>
      </c>
      <c r="I438" s="27"/>
      <c r="J438" s="28">
        <f>IF(VLOOKUP(C438,A!A$1:O$669,11,FALSE)="y",1,0)</f>
        <v>0</v>
      </c>
      <c r="K438" s="28">
        <f>IF(VLOOKUP(C438,A!A$1:O$669,12,FALSE)="y",1,0)</f>
        <v>0</v>
      </c>
      <c r="L438" s="544" t="str">
        <f>IF(T438&lt;35,"Low",IF(T438&gt;40,"High","Med"))</f>
        <v>Low</v>
      </c>
      <c r="M438" s="27"/>
      <c r="N438" s="44">
        <v>1</v>
      </c>
      <c r="O438" s="533">
        <f>VLOOKUP(C438,A!A$1:O$669,9,FALSE)</f>
        <v>0</v>
      </c>
      <c r="P438" s="533" t="s">
        <v>1249</v>
      </c>
      <c r="Q438" s="533" t="str">
        <f>IF(S438=0,"",COUNTIF(Q$12:Q437,"&gt;0")+1)</f>
        <v/>
      </c>
      <c r="R438" s="533" t="str">
        <f>IF(S438=0,"",COUNTIF(R$12:R437,"&gt;0")+1)</f>
        <v/>
      </c>
      <c r="S438" s="533">
        <f t="shared" si="82"/>
        <v>0</v>
      </c>
      <c r="T438" s="533">
        <f>VLOOKUP(C438,A!A$1:AH$669,32,FALSE)</f>
        <v>0</v>
      </c>
      <c r="U438" s="533">
        <v>0.1</v>
      </c>
      <c r="V438" s="533"/>
      <c r="W438" s="533" t="str">
        <f t="shared" si="90"/>
        <v/>
      </c>
      <c r="X438" s="533">
        <f>IF(V438&lt;&gt;"",COUNTIF(V$46:V438,V438)-1,0)</f>
        <v>0</v>
      </c>
      <c r="Y438" s="533"/>
      <c r="Z438" s="533" t="str">
        <f>IFERROR(IF(AND(O438="y",IF(AND(A438&lt;&gt;"",A438=0),0,1)),H438*-100-A438*1000-T438,""),"")</f>
        <v/>
      </c>
      <c r="AA438" s="533" t="str">
        <f>IFERROR(RANK(Z438,Z$363:Z$487,0)+COUNTIF(Z$363:Z438,Z438)-1,"")</f>
        <v/>
      </c>
      <c r="AB438" s="533">
        <f>IF(AA438&lt;=AB$362,1,0)</f>
        <v>0</v>
      </c>
      <c r="AC438" s="533">
        <f>IF(AA438&lt;=AC$362,1,0)</f>
        <v>0</v>
      </c>
      <c r="AD438" s="533"/>
      <c r="AE438" s="533"/>
      <c r="AF438" s="533"/>
      <c r="AG438" s="533"/>
      <c r="AH438" s="533"/>
      <c r="AI438" s="533"/>
      <c r="AJ438" s="533"/>
      <c r="AK438" s="533"/>
      <c r="AL438" s="533"/>
      <c r="AM438" s="533"/>
      <c r="AN438" s="533"/>
      <c r="AO438" s="533"/>
      <c r="AP438" s="533"/>
      <c r="AQ438" s="533"/>
      <c r="AR438" s="533"/>
      <c r="AS438" s="533"/>
      <c r="AT438" s="533"/>
      <c r="AU438" s="533"/>
    </row>
    <row r="439" spans="1:47" ht="13.5" hidden="1" customHeight="1" x14ac:dyDescent="0.25">
      <c r="A439" s="41"/>
      <c r="B439" s="104" t="s">
        <v>510</v>
      </c>
      <c r="C439" s="695" t="s">
        <v>1211</v>
      </c>
      <c r="D439" s="727"/>
      <c r="E439" s="828"/>
      <c r="F439" s="740" t="s">
        <v>1208</v>
      </c>
      <c r="G439" s="42" t="s">
        <v>1213</v>
      </c>
      <c r="H439" s="27">
        <f>VLOOKUP(C439,A!A$1:O$669,15,FALSE)</f>
        <v>1</v>
      </c>
      <c r="I439" s="27"/>
      <c r="J439" s="28">
        <f>IF(VLOOKUP(C439,A!A$1:O$669,11,FALSE)="y",1,0)</f>
        <v>0</v>
      </c>
      <c r="K439" s="28">
        <f>IF(VLOOKUP(C439,A!A$1:O$669,12,FALSE)="y",1,0)</f>
        <v>0</v>
      </c>
      <c r="L439" s="544" t="str">
        <f>IF(T439&lt;35,"Low",IF(T439&gt;40,"High","Med"))</f>
        <v>Low</v>
      </c>
      <c r="M439" s="27"/>
      <c r="N439" s="44">
        <v>1</v>
      </c>
      <c r="O439" s="533">
        <f>VLOOKUP(C439,A!A$1:O$669,9,FALSE)</f>
        <v>0</v>
      </c>
      <c r="P439" s="533" t="s">
        <v>1249</v>
      </c>
      <c r="Q439" s="533" t="str">
        <f>IF(S439=0,"",COUNTIF(Q$12:Q438,"&gt;0")+1)</f>
        <v/>
      </c>
      <c r="R439" s="533" t="str">
        <f>IF(S439=0,"",COUNTIF(R$12:R438,"&gt;0")+1)</f>
        <v/>
      </c>
      <c r="S439" s="533">
        <f t="shared" si="82"/>
        <v>0</v>
      </c>
      <c r="T439" s="533">
        <f>VLOOKUP(C439,A!A$1:AH$669,32,FALSE)</f>
        <v>0</v>
      </c>
      <c r="U439" s="533">
        <v>0.1</v>
      </c>
      <c r="V439" s="533"/>
      <c r="W439" s="533" t="str">
        <f t="shared" si="90"/>
        <v/>
      </c>
      <c r="X439" s="533">
        <f>IF(V439&lt;&gt;"",COUNTIF(V$46:V439,V439)-1,0)</f>
        <v>0</v>
      </c>
      <c r="Y439" s="533"/>
      <c r="Z439" s="533" t="str">
        <f>IFERROR(IF(AND(O439="y",IF(AND(A439&lt;&gt;"",A439=0),0,1)),H439*-100-A439*1000-T439,""),"")</f>
        <v/>
      </c>
      <c r="AA439" s="533" t="str">
        <f>IFERROR(RANK(Z439,Z$363:Z$487,0)+COUNTIF(Z$363:Z439,Z439)-1,"")</f>
        <v/>
      </c>
      <c r="AB439" s="533">
        <f>IF(AA439&lt;=AB$362,1,0)</f>
        <v>0</v>
      </c>
      <c r="AC439" s="533">
        <f>IF(AA439&lt;=AC$362,1,0)</f>
        <v>0</v>
      </c>
      <c r="AD439" s="533"/>
      <c r="AE439" s="533"/>
      <c r="AF439" s="533"/>
      <c r="AG439" s="533"/>
      <c r="AH439" s="533"/>
      <c r="AI439" s="533"/>
      <c r="AJ439" s="533"/>
      <c r="AK439" s="533"/>
      <c r="AL439" s="533"/>
      <c r="AM439" s="533"/>
      <c r="AN439" s="533"/>
      <c r="AO439" s="533"/>
      <c r="AP439" s="533"/>
      <c r="AQ439" s="533"/>
      <c r="AR439" s="533"/>
      <c r="AS439" s="533"/>
      <c r="AT439" s="533"/>
      <c r="AU439" s="533"/>
    </row>
    <row r="440" spans="1:47" ht="12.75" hidden="1" customHeight="1" x14ac:dyDescent="0.25">
      <c r="A440" s="41"/>
      <c r="B440" s="104" t="s">
        <v>510</v>
      </c>
      <c r="C440" s="695" t="s">
        <v>1203</v>
      </c>
      <c r="D440" s="727"/>
      <c r="E440" s="828"/>
      <c r="F440" s="740" t="s">
        <v>1208</v>
      </c>
      <c r="G440" s="42" t="s">
        <v>1205</v>
      </c>
      <c r="H440" s="27">
        <f>VLOOKUP(C440,A!A$1:O$669,15,FALSE)</f>
        <v>2</v>
      </c>
      <c r="I440" s="27"/>
      <c r="J440" s="28">
        <f>IF(VLOOKUP(C440,A!A$1:O$669,11,FALSE)="y",1,0)</f>
        <v>0</v>
      </c>
      <c r="K440" s="28">
        <f>IF(VLOOKUP(C440,A!A$1:O$669,12,FALSE)="y",1,0)</f>
        <v>0</v>
      </c>
      <c r="L440" s="544" t="str">
        <f>IF(T440&lt;35,"Low",IF(T440&gt;40,"High","Med"))</f>
        <v>Low</v>
      </c>
      <c r="M440" s="27"/>
      <c r="N440" s="44">
        <v>1</v>
      </c>
      <c r="O440" s="533">
        <f>VLOOKUP(C440,A!A$1:O$669,9,FALSE)</f>
        <v>0</v>
      </c>
      <c r="P440" s="533" t="s">
        <v>1249</v>
      </c>
      <c r="Q440" s="533" t="str">
        <f>IF(S440=0,"",COUNTIF(Q$12:Q439,"&gt;0")+1)</f>
        <v/>
      </c>
      <c r="R440" s="533" t="str">
        <f>IF(S440=0,"",COUNTIF(R$12:R439,"&gt;0")+1)</f>
        <v/>
      </c>
      <c r="S440" s="533">
        <f t="shared" si="82"/>
        <v>0</v>
      </c>
      <c r="T440" s="533">
        <f>VLOOKUP(C440,A!A$1:AH$669,32,FALSE)</f>
        <v>0</v>
      </c>
      <c r="U440" s="533">
        <v>0.1</v>
      </c>
      <c r="V440" s="533"/>
      <c r="W440" s="533" t="str">
        <f t="shared" si="90"/>
        <v/>
      </c>
      <c r="X440" s="533">
        <f>IF(V440&lt;&gt;"",COUNTIF(V$46:V440,V440)-1,0)</f>
        <v>0</v>
      </c>
      <c r="Y440" s="533"/>
      <c r="Z440" s="533" t="str">
        <f>IFERROR(IF(AND(O440="y",IF(AND(A440&lt;&gt;"",A440=0),0,1)),H440*-100-A440*1000-T440,""),"")</f>
        <v/>
      </c>
      <c r="AA440" s="533" t="str">
        <f>IFERROR(RANK(Z440,Z$363:Z$487,0)+COUNTIF(Z$363:Z440,Z440)-1,"")</f>
        <v/>
      </c>
      <c r="AB440" s="533">
        <f>IF(AA440&lt;=AB$362,1,0)</f>
        <v>0</v>
      </c>
      <c r="AC440" s="533">
        <f>IF(AA440&lt;=AC$362,1,0)</f>
        <v>0</v>
      </c>
      <c r="AD440" s="533"/>
      <c r="AE440" s="533"/>
      <c r="AF440" s="533"/>
      <c r="AG440" s="533"/>
      <c r="AH440" s="533"/>
      <c r="AI440" s="533"/>
      <c r="AJ440" s="533"/>
      <c r="AK440" s="533"/>
      <c r="AL440" s="533"/>
      <c r="AM440" s="533"/>
      <c r="AN440" s="533"/>
      <c r="AO440" s="533"/>
      <c r="AP440" s="533"/>
      <c r="AQ440" s="533"/>
      <c r="AR440" s="533"/>
      <c r="AS440" s="533"/>
      <c r="AT440" s="533"/>
      <c r="AU440" s="533"/>
    </row>
    <row r="441" spans="1:47" ht="13.5" hidden="1" customHeight="1" x14ac:dyDescent="0.25">
      <c r="A441" s="41"/>
      <c r="B441" s="104" t="s">
        <v>510</v>
      </c>
      <c r="C441" s="695" t="s">
        <v>253</v>
      </c>
      <c r="D441" s="727"/>
      <c r="E441" s="828"/>
      <c r="F441" s="740" t="s">
        <v>254</v>
      </c>
      <c r="G441" s="26" t="s">
        <v>255</v>
      </c>
      <c r="H441" s="27">
        <f>VLOOKUP(C441,A!A$1:O$669,15,FALSE)</f>
        <v>1</v>
      </c>
      <c r="I441" s="27"/>
      <c r="J441" s="28">
        <f>IF(VLOOKUP(C441,A!A$1:O$669,11,FALSE)="y",1,0)</f>
        <v>0</v>
      </c>
      <c r="K441" s="28">
        <f>IF(VLOOKUP(C441,A!A$1:O$669,12,FALSE)="y",1,0)</f>
        <v>0</v>
      </c>
      <c r="L441" s="544" t="str">
        <f t="shared" ref="L441:L487" si="91">IF(T441&lt;35,"Low",IF(T441&gt;40,"High","Med"))</f>
        <v>Low</v>
      </c>
      <c r="M441" s="27"/>
      <c r="N441" s="44" t="s">
        <v>39</v>
      </c>
      <c r="O441" s="533">
        <f>VLOOKUP(C441,A!A$1:O$669,9,FALSE)</f>
        <v>0</v>
      </c>
      <c r="P441" s="533" t="s">
        <v>1249</v>
      </c>
      <c r="Q441" s="533" t="str">
        <f>IF(S441=0,"",COUNTIF(Q$12:Q440,"&gt;0")+1)</f>
        <v/>
      </c>
      <c r="R441" s="533" t="str">
        <f>IF(S441=0,"",COUNTIF(R$12:R440,"&gt;0")+1)</f>
        <v/>
      </c>
      <c r="S441" s="533">
        <f t="shared" si="82"/>
        <v>0</v>
      </c>
      <c r="T441" s="533">
        <f>VLOOKUP(C441,A!A$1:AH$669,32,FALSE)</f>
        <v>0</v>
      </c>
      <c r="U441" s="533">
        <v>0.1</v>
      </c>
      <c r="V441" s="533"/>
      <c r="W441" s="533" t="str">
        <f t="shared" si="90"/>
        <v/>
      </c>
      <c r="X441" s="533">
        <f>IF(V441&lt;&gt;"",COUNTIF(V$46:V441,V441)-1,0)</f>
        <v>0</v>
      </c>
      <c r="Y441" s="533"/>
      <c r="Z441" s="533" t="str">
        <f t="shared" ref="Z441:Z459" si="92">IFERROR(IF(AND(O441="y",IF(AND(A441&lt;&gt;"",A441=0),0,1)),H441*-100-A441*1000-T441,""),"")</f>
        <v/>
      </c>
      <c r="AA441" s="533" t="str">
        <f>IFERROR(RANK(Z441,Z$363:Z$487,0)+COUNTIF(Z$363:Z441,Z441)-1,"")</f>
        <v/>
      </c>
      <c r="AB441" s="533">
        <f t="shared" ref="AB441:AB486" si="93">IF(AA441&lt;=AB$362,1,0)</f>
        <v>0</v>
      </c>
      <c r="AC441" s="533">
        <f t="shared" ref="AC441:AC487" si="94">IF(AA441&lt;=AC$362,1,0)</f>
        <v>0</v>
      </c>
      <c r="AD441" s="533"/>
      <c r="AE441" s="533"/>
      <c r="AF441" s="533"/>
      <c r="AG441" s="533"/>
      <c r="AH441" s="533"/>
      <c r="AI441" s="533"/>
      <c r="AJ441" s="533"/>
      <c r="AK441" s="533"/>
      <c r="AL441" s="533"/>
      <c r="AM441" s="533"/>
      <c r="AN441" s="533"/>
      <c r="AO441" s="533"/>
      <c r="AP441" s="533"/>
      <c r="AQ441" s="533"/>
      <c r="AR441" s="533"/>
      <c r="AS441" s="533"/>
      <c r="AT441" s="533"/>
      <c r="AU441" s="533"/>
    </row>
    <row r="442" spans="1:47" ht="13.5" hidden="1" customHeight="1" x14ac:dyDescent="0.25">
      <c r="A442" s="41"/>
      <c r="B442" s="104" t="s">
        <v>510</v>
      </c>
      <c r="C442" s="695" t="s">
        <v>256</v>
      </c>
      <c r="D442" s="727"/>
      <c r="E442" s="828"/>
      <c r="F442" s="740" t="s">
        <v>257</v>
      </c>
      <c r="G442" s="26" t="s">
        <v>258</v>
      </c>
      <c r="H442" s="27">
        <f>VLOOKUP(C442,A!A$1:O$669,15,FALSE)</f>
        <v>2</v>
      </c>
      <c r="I442" s="27"/>
      <c r="J442" s="28">
        <f>IF(VLOOKUP(C442,A!A$1:O$669,11,FALSE)="y",1,0)</f>
        <v>0</v>
      </c>
      <c r="K442" s="28">
        <f>IF(VLOOKUP(C442,A!A$1:O$669,12,FALSE)="y",1,0)</f>
        <v>0</v>
      </c>
      <c r="L442" s="544" t="str">
        <f t="shared" si="91"/>
        <v>Low</v>
      </c>
      <c r="M442" s="27"/>
      <c r="N442" s="44" t="s">
        <v>39</v>
      </c>
      <c r="O442" s="533">
        <f>VLOOKUP(C442,A!A$1:O$669,9,FALSE)</f>
        <v>0</v>
      </c>
      <c r="P442" s="533" t="s">
        <v>1249</v>
      </c>
      <c r="Q442" s="533" t="str">
        <f>IF(S442=0,"",COUNTIF(Q$12:Q441,"&gt;0")+1)</f>
        <v/>
      </c>
      <c r="R442" s="533" t="str">
        <f>IF(S442=0,"",COUNTIF(R$12:R441,"&gt;0")+1)</f>
        <v/>
      </c>
      <c r="S442" s="533">
        <f t="shared" si="82"/>
        <v>0</v>
      </c>
      <c r="T442" s="533">
        <f>VLOOKUP(C442,A!A$1:AH$669,32,FALSE)</f>
        <v>0</v>
      </c>
      <c r="U442" s="533">
        <v>0.1</v>
      </c>
      <c r="V442" s="533"/>
      <c r="W442" s="533" t="str">
        <f t="shared" si="90"/>
        <v/>
      </c>
      <c r="X442" s="533">
        <f>IF(V442&lt;&gt;"",COUNTIF(V$46:V442,V442)-1,0)</f>
        <v>0</v>
      </c>
      <c r="Y442" s="533"/>
      <c r="Z442" s="533" t="str">
        <f t="shared" si="92"/>
        <v/>
      </c>
      <c r="AA442" s="533" t="str">
        <f>IFERROR(RANK(Z442,Z$363:Z$487,0)+COUNTIF(Z$363:Z442,Z442)-1,"")</f>
        <v/>
      </c>
      <c r="AB442" s="533">
        <f t="shared" si="93"/>
        <v>0</v>
      </c>
      <c r="AC442" s="533">
        <f t="shared" si="94"/>
        <v>0</v>
      </c>
      <c r="AD442" s="533"/>
      <c r="AE442" s="533"/>
      <c r="AF442" s="533"/>
      <c r="AG442" s="533"/>
      <c r="AH442" s="533"/>
      <c r="AI442" s="533"/>
      <c r="AJ442" s="533"/>
      <c r="AK442" s="533"/>
      <c r="AL442" s="533"/>
      <c r="AM442" s="533"/>
      <c r="AN442" s="533"/>
      <c r="AO442" s="533"/>
      <c r="AP442" s="533"/>
      <c r="AQ442" s="533"/>
      <c r="AR442" s="533"/>
      <c r="AS442" s="533"/>
      <c r="AT442" s="533"/>
      <c r="AU442" s="533"/>
    </row>
    <row r="443" spans="1:47" ht="12.75" hidden="1" customHeight="1" x14ac:dyDescent="0.25">
      <c r="A443" s="41"/>
      <c r="B443" s="104" t="s">
        <v>510</v>
      </c>
      <c r="C443" s="695" t="s">
        <v>259</v>
      </c>
      <c r="D443" s="727"/>
      <c r="E443" s="828"/>
      <c r="F443" s="740" t="s">
        <v>663</v>
      </c>
      <c r="G443" s="26" t="s">
        <v>261</v>
      </c>
      <c r="H443" s="27">
        <f>VLOOKUP(C443,A!A$1:O$669,15,FALSE)</f>
        <v>1</v>
      </c>
      <c r="I443" s="27"/>
      <c r="J443" s="28">
        <f>IF(VLOOKUP(C443,A!A$1:O$669,11,FALSE)="y",1,0)</f>
        <v>0</v>
      </c>
      <c r="K443" s="28">
        <f>IF(VLOOKUP(C443,A!A$1:O$669,12,FALSE)="y",1,0)</f>
        <v>0</v>
      </c>
      <c r="L443" s="544" t="str">
        <f t="shared" si="91"/>
        <v>Low</v>
      </c>
      <c r="M443" s="27"/>
      <c r="N443" s="44" t="s">
        <v>39</v>
      </c>
      <c r="O443" s="533">
        <f>VLOOKUP(C443,A!A$1:O$669,9,FALSE)</f>
        <v>0</v>
      </c>
      <c r="P443" s="533" t="s">
        <v>1249</v>
      </c>
      <c r="Q443" s="533" t="str">
        <f>IF(S443=0,"",COUNTIF(Q$12:Q442,"&gt;0")+1)</f>
        <v/>
      </c>
      <c r="R443" s="533" t="str">
        <f>IF(S443=0,"",COUNTIF(R$12:R442,"&gt;0")+1)</f>
        <v/>
      </c>
      <c r="S443" s="533">
        <f t="shared" si="82"/>
        <v>0</v>
      </c>
      <c r="T443" s="533">
        <f>VLOOKUP(C443,A!A$1:AH$669,32,FALSE)</f>
        <v>0</v>
      </c>
      <c r="U443" s="533">
        <v>0.1</v>
      </c>
      <c r="V443" s="533"/>
      <c r="W443" s="533" t="str">
        <f t="shared" si="90"/>
        <v/>
      </c>
      <c r="X443" s="533">
        <f>IF(V443&lt;&gt;"",COUNTIF(V$46:V443,V443)-1,0)</f>
        <v>0</v>
      </c>
      <c r="Y443" s="533"/>
      <c r="Z443" s="533" t="str">
        <f t="shared" si="92"/>
        <v/>
      </c>
      <c r="AA443" s="533" t="str">
        <f>IFERROR(RANK(Z443,Z$363:Z$487,0)+COUNTIF(Z$363:Z443,Z443)-1,"")</f>
        <v/>
      </c>
      <c r="AB443" s="533">
        <f t="shared" si="93"/>
        <v>0</v>
      </c>
      <c r="AC443" s="533">
        <f t="shared" si="94"/>
        <v>0</v>
      </c>
      <c r="AD443" s="533"/>
      <c r="AE443" s="533"/>
      <c r="AF443" s="533"/>
      <c r="AG443" s="533"/>
      <c r="AH443" s="533"/>
      <c r="AI443" s="533"/>
      <c r="AJ443" s="533"/>
      <c r="AK443" s="533"/>
      <c r="AL443" s="533"/>
      <c r="AM443" s="533"/>
      <c r="AN443" s="533"/>
      <c r="AO443" s="533"/>
      <c r="AP443" s="533"/>
      <c r="AQ443" s="533"/>
      <c r="AR443" s="533"/>
      <c r="AS443" s="533"/>
      <c r="AT443" s="533"/>
      <c r="AU443" s="533"/>
    </row>
    <row r="444" spans="1:47" ht="12.75" hidden="1" customHeight="1" x14ac:dyDescent="0.25">
      <c r="A444" s="41"/>
      <c r="B444" s="104" t="s">
        <v>510</v>
      </c>
      <c r="C444" s="695" t="s">
        <v>262</v>
      </c>
      <c r="D444" s="727"/>
      <c r="E444" s="828"/>
      <c r="F444" s="740" t="s">
        <v>263</v>
      </c>
      <c r="G444" s="26" t="s">
        <v>264</v>
      </c>
      <c r="H444" s="27">
        <f>VLOOKUP(C444,A!A$1:O$669,15,FALSE)</f>
        <v>2</v>
      </c>
      <c r="I444" s="27"/>
      <c r="J444" s="28">
        <f>IF(VLOOKUP(C444,A!A$1:O$669,11,FALSE)="y",1,0)</f>
        <v>0</v>
      </c>
      <c r="K444" s="28">
        <f>IF(VLOOKUP(C444,A!A$1:O$669,12,FALSE)="y",1,0)</f>
        <v>0</v>
      </c>
      <c r="L444" s="544" t="str">
        <f t="shared" si="91"/>
        <v>Low</v>
      </c>
      <c r="M444" s="27"/>
      <c r="N444" s="44">
        <v>1</v>
      </c>
      <c r="O444" s="533">
        <f>VLOOKUP(C444,A!A$1:O$669,9,FALSE)</f>
        <v>0</v>
      </c>
      <c r="P444" s="533" t="s">
        <v>1249</v>
      </c>
      <c r="Q444" s="533" t="str">
        <f>IF(S444=0,"",COUNTIF(Q$12:Q443,"&gt;0")+1)</f>
        <v/>
      </c>
      <c r="R444" s="533" t="str">
        <f>IF(S444=0,"",COUNTIF(R$12:R443,"&gt;0")+1)</f>
        <v/>
      </c>
      <c r="S444" s="533">
        <f t="shared" si="82"/>
        <v>0</v>
      </c>
      <c r="T444" s="533">
        <f>VLOOKUP(C444,A!A$1:AH$669,32,FALSE)</f>
        <v>0</v>
      </c>
      <c r="U444" s="533">
        <v>0.1</v>
      </c>
      <c r="V444" s="533"/>
      <c r="W444" s="533" t="str">
        <f t="shared" si="90"/>
        <v/>
      </c>
      <c r="X444" s="533">
        <f>IF(V444&lt;&gt;"",COUNTIF(V$46:V444,V444)-1,0)</f>
        <v>0</v>
      </c>
      <c r="Y444" s="533"/>
      <c r="Z444" s="533" t="str">
        <f t="shared" si="92"/>
        <v/>
      </c>
      <c r="AA444" s="533" t="str">
        <f>IFERROR(RANK(Z444,Z$363:Z$487,0)+COUNTIF(Z$363:Z444,Z444)-1,"")</f>
        <v/>
      </c>
      <c r="AB444" s="533">
        <f t="shared" si="93"/>
        <v>0</v>
      </c>
      <c r="AC444" s="533">
        <f t="shared" si="94"/>
        <v>0</v>
      </c>
      <c r="AD444" s="533"/>
      <c r="AE444" s="533"/>
      <c r="AF444" s="533"/>
      <c r="AG444" s="533"/>
      <c r="AH444" s="533"/>
      <c r="AI444" s="533"/>
      <c r="AJ444" s="533"/>
      <c r="AK444" s="533"/>
      <c r="AL444" s="533"/>
      <c r="AM444" s="533"/>
      <c r="AN444" s="533"/>
      <c r="AO444" s="533"/>
      <c r="AP444" s="533"/>
      <c r="AQ444" s="533"/>
      <c r="AR444" s="533"/>
      <c r="AS444" s="533"/>
      <c r="AT444" s="533"/>
      <c r="AU444" s="533"/>
    </row>
    <row r="445" spans="1:47" ht="12.75" hidden="1" customHeight="1" x14ac:dyDescent="0.25">
      <c r="A445" s="41"/>
      <c r="B445" s="104" t="s">
        <v>510</v>
      </c>
      <c r="C445" s="695" t="s">
        <v>267</v>
      </c>
      <c r="D445" s="727"/>
      <c r="E445" s="828"/>
      <c r="F445" s="740" t="s">
        <v>268</v>
      </c>
      <c r="G445" s="26" t="s">
        <v>269</v>
      </c>
      <c r="H445" s="27">
        <f>VLOOKUP(C445,A!A$1:O$669,15,FALSE)</f>
        <v>2</v>
      </c>
      <c r="I445" s="27"/>
      <c r="J445" s="28">
        <f>IF(VLOOKUP(C445,A!A$1:O$669,11,FALSE)="y",1,0)</f>
        <v>0</v>
      </c>
      <c r="K445" s="28">
        <f>IF(VLOOKUP(C445,A!A$1:O$669,12,FALSE)="y",1,0)</f>
        <v>0</v>
      </c>
      <c r="L445" s="544" t="str">
        <f t="shared" si="91"/>
        <v>Low</v>
      </c>
      <c r="M445" s="27"/>
      <c r="N445" s="44" t="s">
        <v>39</v>
      </c>
      <c r="O445" s="533">
        <f>VLOOKUP(C445,A!A$1:O$669,9,FALSE)</f>
        <v>0</v>
      </c>
      <c r="P445" s="533" t="s">
        <v>1249</v>
      </c>
      <c r="Q445" s="533" t="str">
        <f>IF(S445=0,"",COUNTIF(Q$12:Q444,"&gt;0")+1)</f>
        <v/>
      </c>
      <c r="R445" s="533" t="str">
        <f>IF(S445=0,"",COUNTIF(R$12:R444,"&gt;0")+1)</f>
        <v/>
      </c>
      <c r="S445" s="533">
        <f t="shared" si="82"/>
        <v>0</v>
      </c>
      <c r="T445" s="533">
        <f>VLOOKUP(C445,A!A$1:AH$669,32,FALSE)</f>
        <v>0</v>
      </c>
      <c r="U445" s="533">
        <v>0.1</v>
      </c>
      <c r="V445" s="533"/>
      <c r="W445" s="533" t="str">
        <f t="shared" si="90"/>
        <v/>
      </c>
      <c r="X445" s="533">
        <f>IF(V445&lt;&gt;"",COUNTIF(V$46:V445,V445)-1,0)</f>
        <v>0</v>
      </c>
      <c r="Y445" s="533"/>
      <c r="Z445" s="533" t="str">
        <f t="shared" si="92"/>
        <v/>
      </c>
      <c r="AA445" s="533" t="str">
        <f>IFERROR(RANK(Z445,Z$363:Z$487,0)+COUNTIF(Z$363:Z445,Z445)-1,"")</f>
        <v/>
      </c>
      <c r="AB445" s="533">
        <f t="shared" si="93"/>
        <v>0</v>
      </c>
      <c r="AC445" s="533">
        <f t="shared" si="94"/>
        <v>0</v>
      </c>
      <c r="AD445" s="533"/>
      <c r="AE445" s="533"/>
      <c r="AF445" s="533"/>
      <c r="AG445" s="533"/>
      <c r="AH445" s="533"/>
      <c r="AI445" s="533"/>
      <c r="AJ445" s="533"/>
      <c r="AK445" s="533"/>
      <c r="AL445" s="533"/>
      <c r="AM445" s="533"/>
      <c r="AN445" s="533"/>
      <c r="AO445" s="533"/>
      <c r="AP445" s="533"/>
      <c r="AQ445" s="533"/>
      <c r="AR445" s="533"/>
      <c r="AS445" s="533"/>
      <c r="AT445" s="533"/>
      <c r="AU445" s="533"/>
    </row>
    <row r="446" spans="1:47" ht="13.5" hidden="1" customHeight="1" x14ac:dyDescent="0.25">
      <c r="A446" s="41"/>
      <c r="B446" s="104" t="s">
        <v>510</v>
      </c>
      <c r="C446" s="695" t="s">
        <v>270</v>
      </c>
      <c r="D446" s="727"/>
      <c r="E446" s="828"/>
      <c r="F446" s="740" t="s">
        <v>271</v>
      </c>
      <c r="G446" s="26" t="s">
        <v>272</v>
      </c>
      <c r="H446" s="27">
        <v>1</v>
      </c>
      <c r="I446" s="27" t="s">
        <v>30</v>
      </c>
      <c r="J446" s="28">
        <f>IF(VLOOKUP(C446,A!A$1:O$669,11,FALSE)="y",1,0)</f>
        <v>0</v>
      </c>
      <c r="K446" s="28">
        <f>IF(VLOOKUP(C446,A!A$1:O$669,12,FALSE)="y",1,0)</f>
        <v>0</v>
      </c>
      <c r="L446" s="544" t="str">
        <f t="shared" si="91"/>
        <v>Low</v>
      </c>
      <c r="M446" s="27"/>
      <c r="N446" s="44" t="s">
        <v>39</v>
      </c>
      <c r="O446" s="533">
        <f>VLOOKUP(C446,A!A$1:O$669,9,FALSE)</f>
        <v>0</v>
      </c>
      <c r="P446" s="533" t="s">
        <v>1249</v>
      </c>
      <c r="Q446" s="533" t="str">
        <f>IF(S446=0,"",COUNTIF(Q$12:Q445,"&gt;0")+1)</f>
        <v/>
      </c>
      <c r="R446" s="533" t="str">
        <f>IF(S446=0,"",COUNTIF(R$12:R445,"&gt;0")+1)</f>
        <v/>
      </c>
      <c r="S446" s="533">
        <f t="shared" si="82"/>
        <v>0</v>
      </c>
      <c r="T446" s="533">
        <f>VLOOKUP(C446,A!A$1:AH$669,32,FALSE)</f>
        <v>0</v>
      </c>
      <c r="U446" s="533">
        <v>0.1</v>
      </c>
      <c r="V446" s="533"/>
      <c r="W446" s="533" t="str">
        <f t="shared" si="90"/>
        <v/>
      </c>
      <c r="X446" s="533">
        <f>IF(V446&lt;&gt;"",COUNTIF(V$46:V446,V446)-1,0)</f>
        <v>0</v>
      </c>
      <c r="Y446" s="533"/>
      <c r="Z446" s="533" t="str">
        <f t="shared" si="92"/>
        <v/>
      </c>
      <c r="AA446" s="533" t="str">
        <f>IFERROR(RANK(Z446,Z$363:Z$487,0)+COUNTIF(Z$363:Z446,Z446)-1,"")</f>
        <v/>
      </c>
      <c r="AB446" s="533">
        <f t="shared" si="93"/>
        <v>0</v>
      </c>
      <c r="AC446" s="533">
        <f t="shared" si="94"/>
        <v>0</v>
      </c>
      <c r="AD446" s="533"/>
      <c r="AE446" s="533"/>
      <c r="AF446" s="533"/>
      <c r="AG446" s="533"/>
      <c r="AH446" s="533"/>
      <c r="AI446" s="533"/>
      <c r="AJ446" s="533"/>
      <c r="AK446" s="533"/>
      <c r="AL446" s="533"/>
      <c r="AM446" s="533"/>
      <c r="AN446" s="533"/>
      <c r="AO446" s="533"/>
      <c r="AP446" s="533"/>
      <c r="AQ446" s="533"/>
      <c r="AR446" s="533"/>
      <c r="AS446" s="533"/>
      <c r="AT446" s="533"/>
      <c r="AU446" s="533"/>
    </row>
    <row r="447" spans="1:47" ht="12.75" customHeight="1" x14ac:dyDescent="0.25">
      <c r="A447" s="41"/>
      <c r="B447" s="104" t="s">
        <v>510</v>
      </c>
      <c r="C447" s="1056" t="s">
        <v>273</v>
      </c>
      <c r="D447" s="728"/>
      <c r="E447" s="711" t="s">
        <v>1867</v>
      </c>
      <c r="F447" s="740" t="s">
        <v>274</v>
      </c>
      <c r="G447" s="26" t="s">
        <v>275</v>
      </c>
      <c r="H447" s="27">
        <f>VLOOKUP(C447,A!A$1:O$669,15,FALSE)</f>
        <v>2</v>
      </c>
      <c r="I447" s="27"/>
      <c r="J447" s="28">
        <f>IF(VLOOKUP(C447,A!A$1:O$669,11,FALSE)="y",1,0)</f>
        <v>1</v>
      </c>
      <c r="K447" s="28">
        <f>IF(VLOOKUP(C447,A!A$1:O$669,12,FALSE)="y",1,0)</f>
        <v>0</v>
      </c>
      <c r="L447" s="544" t="str">
        <f t="shared" si="91"/>
        <v>Med</v>
      </c>
      <c r="M447" s="27"/>
      <c r="N447" s="44" t="s">
        <v>39</v>
      </c>
      <c r="O447" s="533" t="str">
        <f>VLOOKUP(C447,A!A$1:O$669,9,FALSE)</f>
        <v>y</v>
      </c>
      <c r="P447" s="533" t="s">
        <v>1249</v>
      </c>
      <c r="Q447" s="533" t="str">
        <f>IF(S447=0,"",COUNTIF(Q$12:Q446,"&gt;0")+1)</f>
        <v/>
      </c>
      <c r="R447" s="533" t="str">
        <f>IF(S447=0,"",COUNTIF(R$12:R446,"&gt;0")+1)</f>
        <v/>
      </c>
      <c r="S447" s="533">
        <f t="shared" ref="S447:S468" si="95">A447+Y447+AB447+AC447</f>
        <v>0</v>
      </c>
      <c r="T447" s="533">
        <f>VLOOKUP(C447,A!A$1:AH$669,32,FALSE)</f>
        <v>35</v>
      </c>
      <c r="U447" s="533">
        <v>0.1</v>
      </c>
      <c r="V447" s="533">
        <v>76</v>
      </c>
      <c r="W447" s="533" t="str">
        <f t="shared" si="90"/>
        <v/>
      </c>
      <c r="X447" s="533">
        <f>IF(V447&lt;&gt;"",COUNTIF(V$46:V447,V447)-1,0)</f>
        <v>0</v>
      </c>
      <c r="Y447" s="533"/>
      <c r="Z447" s="533">
        <f t="shared" si="92"/>
        <v>-235</v>
      </c>
      <c r="AA447" s="533">
        <f>IFERROR(RANK(Z447,Z$363:Z$487,0)+COUNTIF(Z$363:Z447,Z447)-1,"")</f>
        <v>7</v>
      </c>
      <c r="AB447" s="533">
        <f t="shared" si="93"/>
        <v>0</v>
      </c>
      <c r="AC447" s="533">
        <f t="shared" si="94"/>
        <v>0</v>
      </c>
      <c r="AD447" s="533"/>
      <c r="AE447" s="533"/>
      <c r="AF447" s="533"/>
      <c r="AG447" s="533"/>
      <c r="AH447" s="533"/>
      <c r="AI447" s="533"/>
      <c r="AJ447" s="533"/>
      <c r="AK447" s="533"/>
      <c r="AL447" s="533"/>
      <c r="AM447" s="533"/>
      <c r="AN447" s="533"/>
      <c r="AO447" s="533"/>
      <c r="AP447" s="533"/>
      <c r="AQ447" s="533"/>
      <c r="AR447" s="533"/>
      <c r="AS447" s="533"/>
      <c r="AT447" s="533"/>
      <c r="AU447" s="533"/>
    </row>
    <row r="448" spans="1:47" ht="12.75" hidden="1" customHeight="1" x14ac:dyDescent="0.25">
      <c r="A448" s="41"/>
      <c r="B448" s="104" t="s">
        <v>510</v>
      </c>
      <c r="C448" s="842" t="s">
        <v>984</v>
      </c>
      <c r="D448" s="727"/>
      <c r="E448" s="828"/>
      <c r="F448" s="740" t="s">
        <v>1002</v>
      </c>
      <c r="G448" s="26" t="s">
        <v>986</v>
      </c>
      <c r="H448" s="27">
        <v>1</v>
      </c>
      <c r="I448" s="27"/>
      <c r="J448" s="28"/>
      <c r="K448" s="28"/>
      <c r="L448" s="544" t="str">
        <f t="shared" si="91"/>
        <v>Low</v>
      </c>
      <c r="M448" s="27"/>
      <c r="N448" s="44"/>
      <c r="O448" s="533">
        <f>VLOOKUP(C448,A!A$1:O$669,9,FALSE)</f>
        <v>0</v>
      </c>
      <c r="P448" s="533" t="s">
        <v>1249</v>
      </c>
      <c r="Q448" s="533" t="str">
        <f>IF(S448=0,"",COUNTIF(Q$12:Q447,"&gt;0")+1)</f>
        <v/>
      </c>
      <c r="R448" s="533" t="str">
        <f>IF(S448=0,"",COUNTIF(R$12:R447,"&gt;0")+1)</f>
        <v/>
      </c>
      <c r="S448" s="533">
        <f t="shared" si="95"/>
        <v>0</v>
      </c>
      <c r="T448" s="533">
        <f>VLOOKUP(C448,A!A$1:AH$669,32,FALSE)</f>
        <v>0</v>
      </c>
      <c r="U448" s="533">
        <v>0.1</v>
      </c>
      <c r="V448" s="533"/>
      <c r="W448" s="533" t="str">
        <f t="shared" si="90"/>
        <v/>
      </c>
      <c r="X448" s="533">
        <f>IF(V448&lt;&gt;"",COUNTIF(V$46:V448,V448)-1,0)</f>
        <v>0</v>
      </c>
      <c r="Y448" s="533"/>
      <c r="Z448" s="533" t="str">
        <f t="shared" si="92"/>
        <v/>
      </c>
      <c r="AA448" s="533" t="str">
        <f>IFERROR(RANK(Z448,Z$363:Z$487,0)+COUNTIF(Z$363:Z448,Z448)-1,"")</f>
        <v/>
      </c>
      <c r="AB448" s="533">
        <f t="shared" si="93"/>
        <v>0</v>
      </c>
      <c r="AC448" s="533">
        <f t="shared" si="94"/>
        <v>0</v>
      </c>
      <c r="AD448" s="533"/>
      <c r="AE448" s="533"/>
      <c r="AF448" s="533"/>
      <c r="AG448" s="533"/>
      <c r="AH448" s="533"/>
      <c r="AI448" s="533"/>
      <c r="AJ448" s="533"/>
      <c r="AK448" s="533"/>
      <c r="AL448" s="533"/>
      <c r="AM448" s="533"/>
      <c r="AN448" s="533"/>
      <c r="AO448" s="533"/>
      <c r="AP448" s="533"/>
      <c r="AQ448" s="533"/>
      <c r="AR448" s="533"/>
      <c r="AS448" s="533"/>
      <c r="AT448" s="533"/>
      <c r="AU448" s="533"/>
    </row>
    <row r="449" spans="1:47" ht="13.5" hidden="1" customHeight="1" x14ac:dyDescent="0.25">
      <c r="A449" s="41"/>
      <c r="B449" s="104" t="s">
        <v>510</v>
      </c>
      <c r="C449" s="695" t="s">
        <v>276</v>
      </c>
      <c r="D449" s="727"/>
      <c r="E449" s="828"/>
      <c r="F449" s="740" t="s">
        <v>260</v>
      </c>
      <c r="G449" s="26" t="s">
        <v>277</v>
      </c>
      <c r="H449" s="27">
        <f>VLOOKUP(C449,A!A$1:O$669,15,FALSE)</f>
        <v>2</v>
      </c>
      <c r="I449" s="27" t="s">
        <v>30</v>
      </c>
      <c r="J449" s="28">
        <f>IF(VLOOKUP(C449,A!A$1:O$669,11,FALSE)="y",1,0)</f>
        <v>0</v>
      </c>
      <c r="K449" s="28">
        <f>IF(VLOOKUP(C449,A!A$1:O$669,12,FALSE)="y",1,0)</f>
        <v>0</v>
      </c>
      <c r="L449" s="544" t="str">
        <f t="shared" si="91"/>
        <v>Low</v>
      </c>
      <c r="M449" s="27">
        <f>VLOOKUP(C449,A!A$1:O$669,13,FALSE)</f>
        <v>0</v>
      </c>
      <c r="N449" s="44" t="s">
        <v>39</v>
      </c>
      <c r="O449" s="533">
        <f>VLOOKUP(C449,A!A$1:O$669,9,FALSE)</f>
        <v>0</v>
      </c>
      <c r="P449" s="533" t="s">
        <v>1249</v>
      </c>
      <c r="Q449" s="533" t="str">
        <f>IF(S449=0,"",COUNTIF(Q$12:Q448,"&gt;0")+1)</f>
        <v/>
      </c>
      <c r="R449" s="533" t="str">
        <f>IF(S449=0,"",COUNTIF(R$12:R448,"&gt;0")+1)</f>
        <v/>
      </c>
      <c r="S449" s="533">
        <f t="shared" si="95"/>
        <v>0</v>
      </c>
      <c r="T449" s="533">
        <f>VLOOKUP(C449,A!A$1:AH$669,32,FALSE)</f>
        <v>0</v>
      </c>
      <c r="U449" s="533">
        <v>0.1</v>
      </c>
      <c r="V449" s="533"/>
      <c r="W449" s="533" t="str">
        <f t="shared" si="90"/>
        <v/>
      </c>
      <c r="X449" s="533">
        <f>IF(V449&lt;&gt;"",COUNTIF(V$46:V449,V449)-1,0)</f>
        <v>0</v>
      </c>
      <c r="Y449" s="533"/>
      <c r="Z449" s="533" t="str">
        <f t="shared" si="92"/>
        <v/>
      </c>
      <c r="AA449" s="533" t="str">
        <f>IFERROR(RANK(Z449,Z$363:Z$487,0)+COUNTIF(Z$363:Z449,Z449)-1,"")</f>
        <v/>
      </c>
      <c r="AB449" s="533">
        <f t="shared" si="93"/>
        <v>0</v>
      </c>
      <c r="AC449" s="533">
        <f t="shared" si="94"/>
        <v>0</v>
      </c>
      <c r="AD449" s="533"/>
      <c r="AE449" s="533"/>
      <c r="AF449" s="533"/>
      <c r="AG449" s="533"/>
      <c r="AH449" s="533"/>
      <c r="AI449" s="533"/>
      <c r="AJ449" s="533"/>
      <c r="AK449" s="533"/>
      <c r="AL449" s="533"/>
      <c r="AM449" s="533"/>
      <c r="AN449" s="533"/>
      <c r="AO449" s="533"/>
      <c r="AP449" s="533"/>
      <c r="AQ449" s="533"/>
      <c r="AR449" s="533"/>
      <c r="AS449" s="533"/>
      <c r="AT449" s="533"/>
      <c r="AU449" s="533"/>
    </row>
    <row r="450" spans="1:47" x14ac:dyDescent="0.25">
      <c r="A450" s="41"/>
      <c r="B450" s="104" t="s">
        <v>510</v>
      </c>
      <c r="C450" s="1056" t="s">
        <v>284</v>
      </c>
      <c r="D450" s="728"/>
      <c r="E450" s="711" t="s">
        <v>1867</v>
      </c>
      <c r="F450" s="740" t="s">
        <v>285</v>
      </c>
      <c r="G450" s="26" t="s">
        <v>286</v>
      </c>
      <c r="H450" s="27">
        <f>VLOOKUP(C450,A!A$1:O$669,15,FALSE)</f>
        <v>2</v>
      </c>
      <c r="I450" s="27" t="s">
        <v>30</v>
      </c>
      <c r="J450" s="28">
        <f>IF(VLOOKUP(C450,A!A$1:O$669,11,FALSE)="y",1,0)</f>
        <v>1</v>
      </c>
      <c r="K450" s="28">
        <f>IF(VLOOKUP(C450,A!A$1:O$669,12,FALSE)="y",1,0)</f>
        <v>0</v>
      </c>
      <c r="L450" s="544" t="str">
        <f t="shared" si="91"/>
        <v>Med</v>
      </c>
      <c r="M450" s="27">
        <f>VLOOKUP(C450,A!A$1:O$669,13,FALSE)</f>
        <v>0</v>
      </c>
      <c r="N450" s="44" t="s">
        <v>39</v>
      </c>
      <c r="O450" s="533" t="str">
        <f>VLOOKUP(C450,A!A$1:O$669,9,FALSE)</f>
        <v>y</v>
      </c>
      <c r="P450" s="533" t="s">
        <v>1249</v>
      </c>
      <c r="Q450" s="533" t="str">
        <f>IF(S450=0,"",COUNTIF(Q$12:Q449,"&gt;0")+1)</f>
        <v/>
      </c>
      <c r="R450" s="533" t="str">
        <f>IF(S450=0,"",COUNTIF(R$12:R449,"&gt;0")+1)</f>
        <v/>
      </c>
      <c r="S450" s="533">
        <f t="shared" si="95"/>
        <v>0</v>
      </c>
      <c r="T450" s="533">
        <f>VLOOKUP(C450,A!A$1:AH$669,32,FALSE)</f>
        <v>35</v>
      </c>
      <c r="U450" s="533">
        <v>0.1</v>
      </c>
      <c r="V450" s="533">
        <v>98</v>
      </c>
      <c r="W450" s="533" t="str">
        <f t="shared" si="90"/>
        <v/>
      </c>
      <c r="X450" s="533">
        <f>IF(V450&lt;&gt;"",COUNTIF(V$46:V450,V450)-1,0)</f>
        <v>0</v>
      </c>
      <c r="Y450" s="533"/>
      <c r="Z450" s="533">
        <f t="shared" si="92"/>
        <v>-235</v>
      </c>
      <c r="AA450" s="533">
        <f>IFERROR(RANK(Z450,Z$363:Z$487,0)+COUNTIF(Z$363:Z450,Z450)-1,"")</f>
        <v>8</v>
      </c>
      <c r="AB450" s="533">
        <f t="shared" si="93"/>
        <v>0</v>
      </c>
      <c r="AC450" s="533">
        <f t="shared" si="94"/>
        <v>0</v>
      </c>
      <c r="AD450" s="533"/>
      <c r="AE450" s="533"/>
      <c r="AF450" s="533"/>
      <c r="AG450" s="533"/>
      <c r="AH450" s="533"/>
      <c r="AI450" s="533"/>
      <c r="AJ450" s="533"/>
      <c r="AK450" s="533"/>
      <c r="AL450" s="533"/>
      <c r="AM450" s="533"/>
      <c r="AN450" s="533"/>
      <c r="AO450" s="533"/>
      <c r="AP450" s="533"/>
      <c r="AQ450" s="533"/>
      <c r="AR450" s="533"/>
      <c r="AS450" s="533"/>
      <c r="AT450" s="533"/>
      <c r="AU450" s="533"/>
    </row>
    <row r="451" spans="1:47" ht="13.5" hidden="1" customHeight="1" x14ac:dyDescent="0.25">
      <c r="A451" s="41"/>
      <c r="B451" s="104" t="s">
        <v>510</v>
      </c>
      <c r="C451" s="1056" t="s">
        <v>287</v>
      </c>
      <c r="D451" s="728"/>
      <c r="E451" s="711"/>
      <c r="F451" s="740" t="s">
        <v>664</v>
      </c>
      <c r="G451" s="26" t="s">
        <v>289</v>
      </c>
      <c r="H451" s="27">
        <f>VLOOKUP(C451,A!A$1:O$669,15,FALSE)</f>
        <v>1</v>
      </c>
      <c r="I451" s="27" t="s">
        <v>30</v>
      </c>
      <c r="J451" s="28">
        <f>IF(VLOOKUP(C451,A!A$1:O$669,11,FALSE)="y",1,0)</f>
        <v>0</v>
      </c>
      <c r="K451" s="28">
        <f>IF(VLOOKUP(C451,A!A$1:O$669,12,FALSE)="y",1,0)</f>
        <v>0</v>
      </c>
      <c r="L451" s="544" t="str">
        <f t="shared" si="91"/>
        <v>Low</v>
      </c>
      <c r="M451" s="27">
        <f>VLOOKUP(C451,A!A$1:O$669,13,FALSE)</f>
        <v>0</v>
      </c>
      <c r="N451" s="44" t="s">
        <v>39</v>
      </c>
      <c r="O451" s="533">
        <f>VLOOKUP(C451,A!A$1:O$669,9,FALSE)</f>
        <v>0</v>
      </c>
      <c r="P451" s="533" t="s">
        <v>1249</v>
      </c>
      <c r="Q451" s="533" t="str">
        <f>IF(S451=0,"",COUNTIF(Q$12:Q450,"&gt;0")+1)</f>
        <v/>
      </c>
      <c r="R451" s="533" t="str">
        <f>IF(S451=0,"",COUNTIF(R$12:R450,"&gt;0")+1)</f>
        <v/>
      </c>
      <c r="S451" s="533">
        <f t="shared" si="95"/>
        <v>0</v>
      </c>
      <c r="T451" s="533">
        <v>25</v>
      </c>
      <c r="U451" s="533">
        <v>0.1</v>
      </c>
      <c r="V451" s="533"/>
      <c r="W451" s="533" t="str">
        <f t="shared" si="90"/>
        <v/>
      </c>
      <c r="X451" s="533">
        <f>IF(V451&lt;&gt;"",COUNTIF(V$46:V451,V451)-1,0)</f>
        <v>0</v>
      </c>
      <c r="Y451" s="533"/>
      <c r="Z451" s="533" t="str">
        <f t="shared" si="92"/>
        <v/>
      </c>
      <c r="AA451" s="533" t="str">
        <f>IFERROR(RANK(Z451,Z$363:Z$487,0)+COUNTIF(Z$363:Z451,Z451)-1,"")</f>
        <v/>
      </c>
      <c r="AB451" s="533">
        <f t="shared" si="93"/>
        <v>0</v>
      </c>
      <c r="AC451" s="533">
        <f t="shared" si="94"/>
        <v>0</v>
      </c>
      <c r="AD451" s="533"/>
      <c r="AE451" s="533"/>
      <c r="AF451" s="533"/>
      <c r="AG451" s="533"/>
      <c r="AH451" s="533"/>
      <c r="AI451" s="533"/>
      <c r="AJ451" s="533"/>
      <c r="AK451" s="533"/>
      <c r="AL451" s="533"/>
      <c r="AM451" s="533"/>
      <c r="AN451" s="533"/>
      <c r="AO451" s="533"/>
      <c r="AP451" s="533"/>
      <c r="AQ451" s="533"/>
      <c r="AR451" s="533"/>
      <c r="AS451" s="533"/>
      <c r="AT451" s="533"/>
      <c r="AU451" s="533"/>
    </row>
    <row r="452" spans="1:47" ht="13.5" hidden="1" customHeight="1" x14ac:dyDescent="0.25">
      <c r="A452" s="41"/>
      <c r="B452" s="104" t="s">
        <v>510</v>
      </c>
      <c r="C452" s="1056" t="s">
        <v>290</v>
      </c>
      <c r="D452" s="728"/>
      <c r="E452" s="711"/>
      <c r="F452" s="740" t="s">
        <v>291</v>
      </c>
      <c r="G452" s="26" t="s">
        <v>292</v>
      </c>
      <c r="H452" s="27">
        <f>VLOOKUP(C452,A!A$1:O$669,15,FALSE)</f>
        <v>2</v>
      </c>
      <c r="I452" s="27" t="s">
        <v>30</v>
      </c>
      <c r="J452" s="28">
        <f>IF(VLOOKUP(C452,A!A$1:O$669,11,FALSE)="y",1,0)</f>
        <v>0</v>
      </c>
      <c r="K452" s="28">
        <f>IF(VLOOKUP(C452,A!A$1:O$669,12,FALSE)="y",1,0)</f>
        <v>0</v>
      </c>
      <c r="L452" s="544" t="str">
        <f t="shared" si="91"/>
        <v>Low</v>
      </c>
      <c r="M452" s="27">
        <f>VLOOKUP(C452,A!A$1:O$669,13,FALSE)</f>
        <v>0</v>
      </c>
      <c r="N452" s="44" t="s">
        <v>31</v>
      </c>
      <c r="O452" s="533">
        <f>VLOOKUP(C452,A!A$1:O$669,9,FALSE)</f>
        <v>0</v>
      </c>
      <c r="P452" s="533" t="s">
        <v>1249</v>
      </c>
      <c r="Q452" s="533" t="str">
        <f>IF(S452=0,"",COUNTIF(Q$12:Q451,"&gt;0")+1)</f>
        <v/>
      </c>
      <c r="R452" s="533" t="str">
        <f>IF(S452=0,"",COUNTIF(R$12:R451,"&gt;0")+1)</f>
        <v/>
      </c>
      <c r="S452" s="533">
        <f t="shared" si="95"/>
        <v>0</v>
      </c>
      <c r="T452" s="533">
        <f>VLOOKUP(C452,A!A$1:AH$669,32,FALSE)</f>
        <v>0</v>
      </c>
      <c r="U452" s="533">
        <v>0.1</v>
      </c>
      <c r="V452" s="533"/>
      <c r="W452" s="533" t="str">
        <f t="shared" si="90"/>
        <v/>
      </c>
      <c r="X452" s="533">
        <f>IF(V452&lt;&gt;"",COUNTIF(V$46:V452,V452)-1,0)</f>
        <v>0</v>
      </c>
      <c r="Y452" s="533"/>
      <c r="Z452" s="533" t="str">
        <f t="shared" si="92"/>
        <v/>
      </c>
      <c r="AA452" s="533" t="str">
        <f>IFERROR(RANK(Z452,Z$363:Z$487,0)+COUNTIF(Z$363:Z452,Z452)-1,"")</f>
        <v/>
      </c>
      <c r="AB452" s="533">
        <f t="shared" si="93"/>
        <v>0</v>
      </c>
      <c r="AC452" s="533">
        <f t="shared" si="94"/>
        <v>0</v>
      </c>
      <c r="AD452" s="533"/>
      <c r="AE452" s="533"/>
      <c r="AF452" s="533"/>
      <c r="AG452" s="533"/>
      <c r="AH452" s="533"/>
      <c r="AI452" s="533"/>
      <c r="AJ452" s="533"/>
      <c r="AK452" s="533"/>
      <c r="AL452" s="533"/>
      <c r="AM452" s="533"/>
      <c r="AN452" s="533"/>
      <c r="AO452" s="533"/>
      <c r="AP452" s="533"/>
      <c r="AQ452" s="533"/>
      <c r="AR452" s="533"/>
      <c r="AS452" s="533"/>
      <c r="AT452" s="533"/>
      <c r="AU452" s="533"/>
    </row>
    <row r="453" spans="1:47" ht="12.75" hidden="1" customHeight="1" x14ac:dyDescent="0.25">
      <c r="A453" s="41"/>
      <c r="B453" s="104" t="s">
        <v>510</v>
      </c>
      <c r="C453" s="1056" t="s">
        <v>296</v>
      </c>
      <c r="D453" s="728"/>
      <c r="E453" s="711"/>
      <c r="F453" s="740" t="s">
        <v>297</v>
      </c>
      <c r="G453" s="26" t="s">
        <v>298</v>
      </c>
      <c r="H453" s="27">
        <f>VLOOKUP(C453,A!A$1:O$669,15,FALSE)</f>
        <v>0</v>
      </c>
      <c r="I453" s="27"/>
      <c r="J453" s="28">
        <f>IF(VLOOKUP(C453,A!A$1:O$669,11,FALSE)="y",1,0)</f>
        <v>0</v>
      </c>
      <c r="K453" s="28">
        <f>IF(VLOOKUP(C453,A!A$1:O$669,12,FALSE)="y",1,0)</f>
        <v>0</v>
      </c>
      <c r="L453" s="544" t="str">
        <f t="shared" si="91"/>
        <v>Low</v>
      </c>
      <c r="M453" s="27">
        <f>VLOOKUP(C453,A!A$1:O$669,13,FALSE)</f>
        <v>0</v>
      </c>
      <c r="N453" s="44" t="s">
        <v>39</v>
      </c>
      <c r="O453" s="533">
        <f>VLOOKUP(C453,A!A$1:O$669,9,FALSE)</f>
        <v>0</v>
      </c>
      <c r="P453" s="533" t="s">
        <v>1249</v>
      </c>
      <c r="Q453" s="533" t="str">
        <f>IF(S453=0,"",COUNTIF(Q$12:Q452,"&gt;0")+1)</f>
        <v/>
      </c>
      <c r="R453" s="533" t="str">
        <f>IF(S453=0,"",COUNTIF(R$12:R452,"&gt;0")+1)</f>
        <v/>
      </c>
      <c r="S453" s="533">
        <f t="shared" si="95"/>
        <v>0</v>
      </c>
      <c r="T453" s="533">
        <f>VLOOKUP(C453,A!A$1:AH$669,32,FALSE)</f>
        <v>0</v>
      </c>
      <c r="U453" s="533">
        <v>0.1</v>
      </c>
      <c r="V453" s="533"/>
      <c r="W453" s="533" t="str">
        <f t="shared" si="90"/>
        <v/>
      </c>
      <c r="X453" s="533">
        <f>IF(V453&lt;&gt;"",COUNTIF(V$46:V453,V453)-1,0)</f>
        <v>0</v>
      </c>
      <c r="Y453" s="533"/>
      <c r="Z453" s="533" t="str">
        <f t="shared" si="92"/>
        <v/>
      </c>
      <c r="AA453" s="533" t="str">
        <f>IFERROR(RANK(Z453,Z$363:Z$487,0)+COUNTIF(Z$363:Z453,Z453)-1,"")</f>
        <v/>
      </c>
      <c r="AB453" s="533">
        <f t="shared" si="93"/>
        <v>0</v>
      </c>
      <c r="AC453" s="533">
        <f t="shared" si="94"/>
        <v>0</v>
      </c>
      <c r="AD453" s="533"/>
      <c r="AE453" s="533"/>
      <c r="AF453" s="533"/>
      <c r="AG453" s="533"/>
      <c r="AH453" s="533"/>
      <c r="AI453" s="533"/>
      <c r="AJ453" s="533"/>
      <c r="AK453" s="533"/>
      <c r="AL453" s="533"/>
      <c r="AM453" s="533"/>
      <c r="AN453" s="533"/>
      <c r="AO453" s="533"/>
      <c r="AP453" s="533"/>
      <c r="AQ453" s="533"/>
      <c r="AR453" s="533"/>
      <c r="AS453" s="533"/>
      <c r="AT453" s="533"/>
      <c r="AU453" s="533"/>
    </row>
    <row r="454" spans="1:47" ht="12.75" hidden="1" customHeight="1" x14ac:dyDescent="0.25">
      <c r="A454" s="41"/>
      <c r="B454" s="104" t="s">
        <v>510</v>
      </c>
      <c r="C454" s="1056" t="s">
        <v>299</v>
      </c>
      <c r="D454" s="728"/>
      <c r="E454" s="711"/>
      <c r="F454" s="740" t="s">
        <v>294</v>
      </c>
      <c r="G454" s="26" t="s">
        <v>301</v>
      </c>
      <c r="H454" s="27">
        <f>VLOOKUP(C454,A!A$1:O$669,15,FALSE)</f>
        <v>1</v>
      </c>
      <c r="I454" s="27"/>
      <c r="J454" s="28">
        <f>IF(VLOOKUP(C454,A!A$1:O$669,11,FALSE)="y",1,0)</f>
        <v>0</v>
      </c>
      <c r="K454" s="28">
        <f>IF(VLOOKUP(C454,A!A$1:O$669,12,FALSE)="y",1,0)</f>
        <v>0</v>
      </c>
      <c r="L454" s="544" t="str">
        <f t="shared" si="91"/>
        <v>Low</v>
      </c>
      <c r="M454" s="27">
        <f>VLOOKUP(C454,A!A$1:O$669,13,FALSE)</f>
        <v>0</v>
      </c>
      <c r="N454" s="44" t="s">
        <v>39</v>
      </c>
      <c r="O454" s="533">
        <f>VLOOKUP(C454,A!A$1:O$669,9,FALSE)</f>
        <v>0</v>
      </c>
      <c r="P454" s="533" t="s">
        <v>1249</v>
      </c>
      <c r="Q454" s="533" t="str">
        <f>IF(S454=0,"",COUNTIF(Q$12:Q453,"&gt;0")+1)</f>
        <v/>
      </c>
      <c r="R454" s="533" t="str">
        <f>IF(S454=0,"",COUNTIF(R$12:R453,"&gt;0")+1)</f>
        <v/>
      </c>
      <c r="S454" s="533">
        <f t="shared" si="95"/>
        <v>0</v>
      </c>
      <c r="T454" s="533">
        <f>VLOOKUP(C454,A!A$1:AH$669,32,FALSE)</f>
        <v>0</v>
      </c>
      <c r="U454" s="533">
        <v>0.1</v>
      </c>
      <c r="V454" s="533"/>
      <c r="W454" s="533" t="str">
        <f t="shared" si="90"/>
        <v/>
      </c>
      <c r="X454" s="533">
        <f>IF(V454&lt;&gt;"",COUNTIF(V$46:V454,V454)-1,0)</f>
        <v>0</v>
      </c>
      <c r="Y454" s="533"/>
      <c r="Z454" s="533" t="str">
        <f t="shared" si="92"/>
        <v/>
      </c>
      <c r="AA454" s="533" t="str">
        <f>IFERROR(RANK(Z454,Z$363:Z$487,0)+COUNTIF(Z$363:Z454,Z454)-1,"")</f>
        <v/>
      </c>
      <c r="AB454" s="533">
        <f t="shared" si="93"/>
        <v>0</v>
      </c>
      <c r="AC454" s="533">
        <f t="shared" si="94"/>
        <v>0</v>
      </c>
      <c r="AD454" s="533"/>
      <c r="AE454" s="533"/>
      <c r="AF454" s="533"/>
      <c r="AG454" s="533"/>
      <c r="AH454" s="533"/>
      <c r="AI454" s="533"/>
      <c r="AJ454" s="533"/>
      <c r="AK454" s="533"/>
      <c r="AL454" s="533"/>
      <c r="AM454" s="533"/>
      <c r="AN454" s="533"/>
      <c r="AO454" s="533"/>
      <c r="AP454" s="533"/>
      <c r="AQ454" s="533"/>
      <c r="AR454" s="533"/>
      <c r="AS454" s="533"/>
      <c r="AT454" s="533"/>
      <c r="AU454" s="533"/>
    </row>
    <row r="455" spans="1:47" ht="12.75" hidden="1" customHeight="1" x14ac:dyDescent="0.25">
      <c r="A455" s="41"/>
      <c r="B455" s="104" t="s">
        <v>510</v>
      </c>
      <c r="C455" s="1056" t="s">
        <v>302</v>
      </c>
      <c r="D455" s="728"/>
      <c r="E455" s="711"/>
      <c r="F455" s="740" t="s">
        <v>294</v>
      </c>
      <c r="G455" s="26" t="s">
        <v>304</v>
      </c>
      <c r="H455" s="27">
        <f>VLOOKUP(C455,A!A$1:O$669,15,FALSE)</f>
        <v>0</v>
      </c>
      <c r="I455" s="27"/>
      <c r="J455" s="28">
        <f>IF(VLOOKUP(C455,A!A$1:O$669,11,FALSE)="y",1,0)</f>
        <v>0</v>
      </c>
      <c r="K455" s="28">
        <f>IF(VLOOKUP(C455,A!A$1:O$669,12,FALSE)="y",1,0)</f>
        <v>0</v>
      </c>
      <c r="L455" s="544" t="str">
        <f t="shared" si="91"/>
        <v>Low</v>
      </c>
      <c r="M455" s="27">
        <f>VLOOKUP(C455,A!A$1:O$669,13,FALSE)</f>
        <v>0</v>
      </c>
      <c r="N455" s="44" t="s">
        <v>39</v>
      </c>
      <c r="O455" s="533">
        <f>VLOOKUP(C455,A!A$1:O$669,9,FALSE)</f>
        <v>0</v>
      </c>
      <c r="P455" s="533" t="s">
        <v>1249</v>
      </c>
      <c r="Q455" s="533" t="str">
        <f>IF(S455=0,"",COUNTIF(Q$12:Q454,"&gt;0")+1)</f>
        <v/>
      </c>
      <c r="R455" s="533" t="str">
        <f>IF(S455=0,"",COUNTIF(R$12:R454,"&gt;0")+1)</f>
        <v/>
      </c>
      <c r="S455" s="533">
        <f t="shared" si="95"/>
        <v>0</v>
      </c>
      <c r="T455" s="533">
        <f>VLOOKUP(C455,A!A$1:AH$669,32,FALSE)</f>
        <v>0</v>
      </c>
      <c r="U455" s="533">
        <v>0.1</v>
      </c>
      <c r="V455" s="533"/>
      <c r="W455" s="533" t="str">
        <f t="shared" si="90"/>
        <v/>
      </c>
      <c r="X455" s="533">
        <f>IF(V455&lt;&gt;"",COUNTIF(V$46:V455,V455)-1,0)</f>
        <v>0</v>
      </c>
      <c r="Y455" s="533"/>
      <c r="Z455" s="533" t="str">
        <f t="shared" si="92"/>
        <v/>
      </c>
      <c r="AA455" s="533" t="str">
        <f>IFERROR(RANK(Z455,Z$363:Z$487,0)+COUNTIF(Z$363:Z455,Z455)-1,"")</f>
        <v/>
      </c>
      <c r="AB455" s="533">
        <f t="shared" si="93"/>
        <v>0</v>
      </c>
      <c r="AC455" s="533">
        <f t="shared" si="94"/>
        <v>0</v>
      </c>
      <c r="AD455" s="533"/>
      <c r="AE455" s="533"/>
      <c r="AF455" s="533"/>
      <c r="AG455" s="533"/>
      <c r="AH455" s="533"/>
      <c r="AI455" s="533"/>
      <c r="AJ455" s="533"/>
      <c r="AK455" s="533"/>
      <c r="AL455" s="533"/>
      <c r="AM455" s="533"/>
      <c r="AN455" s="533"/>
      <c r="AO455" s="533"/>
      <c r="AP455" s="533"/>
      <c r="AQ455" s="533"/>
      <c r="AR455" s="533"/>
      <c r="AS455" s="533"/>
      <c r="AT455" s="533"/>
      <c r="AU455" s="533"/>
    </row>
    <row r="456" spans="1:47" ht="13.5" customHeight="1" x14ac:dyDescent="0.25">
      <c r="A456" s="41"/>
      <c r="B456" s="104" t="s">
        <v>510</v>
      </c>
      <c r="C456" s="1056" t="s">
        <v>305</v>
      </c>
      <c r="D456" s="728"/>
      <c r="E456" s="711" t="s">
        <v>1867</v>
      </c>
      <c r="F456" s="740" t="s">
        <v>306</v>
      </c>
      <c r="G456" s="26" t="s">
        <v>307</v>
      </c>
      <c r="H456" s="27">
        <f>VLOOKUP(C456,A!A$1:O$669,15,FALSE)</f>
        <v>2</v>
      </c>
      <c r="I456" s="27" t="s">
        <v>30</v>
      </c>
      <c r="J456" s="28">
        <f>IF(VLOOKUP(C456,A!A$1:O$669,11,FALSE)="y",1,0)</f>
        <v>1</v>
      </c>
      <c r="K456" s="28">
        <f>IF(VLOOKUP(C456,A!A$1:O$669,12,FALSE)="y",1,0)</f>
        <v>0</v>
      </c>
      <c r="L456" s="544" t="str">
        <f t="shared" si="91"/>
        <v>Med</v>
      </c>
      <c r="M456" s="27">
        <f>VLOOKUP(C456,A!A$1:O$669,13,FALSE)</f>
        <v>0</v>
      </c>
      <c r="N456" s="44">
        <v>2</v>
      </c>
      <c r="O456" s="533" t="str">
        <f>VLOOKUP(C456,A!A$1:O$669,9,FALSE)</f>
        <v>y</v>
      </c>
      <c r="P456" s="533" t="s">
        <v>1249</v>
      </c>
      <c r="Q456" s="533" t="str">
        <f>IF(S456=0,"",COUNTIF(Q$12:Q455,"&gt;0")+1)</f>
        <v/>
      </c>
      <c r="R456" s="533" t="str">
        <f>IF(S456=0,"",COUNTIF(R$12:R455,"&gt;0")+1)</f>
        <v/>
      </c>
      <c r="S456" s="533">
        <f t="shared" si="95"/>
        <v>0</v>
      </c>
      <c r="T456" s="533">
        <v>35</v>
      </c>
      <c r="U456" s="533">
        <v>0.1</v>
      </c>
      <c r="V456" s="533">
        <v>75</v>
      </c>
      <c r="W456" s="533" t="str">
        <f t="shared" si="90"/>
        <v/>
      </c>
      <c r="X456" s="533">
        <f>IF(V456&lt;&gt;"",COUNTIF(V$46:V456,V456)-1,0)</f>
        <v>0</v>
      </c>
      <c r="Y456" s="533"/>
      <c r="Z456" s="533">
        <f t="shared" si="92"/>
        <v>-235</v>
      </c>
      <c r="AA456" s="533">
        <f>IFERROR(RANK(Z456,Z$363:Z$487,0)+COUNTIF(Z$363:Z456,Z456)-1,"")</f>
        <v>9</v>
      </c>
      <c r="AB456" s="533">
        <f t="shared" si="93"/>
        <v>0</v>
      </c>
      <c r="AC456" s="533">
        <f t="shared" si="94"/>
        <v>0</v>
      </c>
      <c r="AD456" s="533"/>
      <c r="AE456" s="533"/>
      <c r="AF456" s="533"/>
      <c r="AG456" s="533"/>
      <c r="AH456" s="533"/>
      <c r="AI456" s="533"/>
      <c r="AJ456" s="533"/>
      <c r="AK456" s="533"/>
      <c r="AL456" s="533"/>
      <c r="AM456" s="533"/>
      <c r="AN456" s="533"/>
      <c r="AO456" s="533"/>
      <c r="AP456" s="533"/>
      <c r="AQ456" s="533"/>
      <c r="AR456" s="533"/>
      <c r="AS456" s="533"/>
      <c r="AT456" s="533"/>
      <c r="AU456" s="533"/>
    </row>
    <row r="457" spans="1:47" ht="12.75" hidden="1" customHeight="1" x14ac:dyDescent="0.25">
      <c r="A457" s="41"/>
      <c r="B457" s="104" t="s">
        <v>510</v>
      </c>
      <c r="C457" s="556" t="s">
        <v>308</v>
      </c>
      <c r="D457" s="727"/>
      <c r="E457" s="828"/>
      <c r="F457" s="740" t="s">
        <v>309</v>
      </c>
      <c r="G457" s="26" t="s">
        <v>310</v>
      </c>
      <c r="H457" s="27">
        <f>VLOOKUP(C457,A!A$1:O$669,15,FALSE)</f>
        <v>0</v>
      </c>
      <c r="I457" s="27"/>
      <c r="J457" s="28">
        <f>IF(VLOOKUP(C457,A!A$1:O$669,11,FALSE)="y",1,0)</f>
        <v>0</v>
      </c>
      <c r="K457" s="28">
        <f>IF(VLOOKUP(C457,A!A$1:O$669,12,FALSE)="y",1,0)</f>
        <v>0</v>
      </c>
      <c r="L457" s="544" t="str">
        <f t="shared" si="91"/>
        <v>Low</v>
      </c>
      <c r="M457" s="27">
        <f>VLOOKUP(C457,A!A$1:O$669,13,FALSE)</f>
        <v>0</v>
      </c>
      <c r="N457" s="44" t="s">
        <v>39</v>
      </c>
      <c r="O457" s="533">
        <f>VLOOKUP(C457,A!A$1:O$669,9,FALSE)</f>
        <v>0</v>
      </c>
      <c r="P457" s="533" t="s">
        <v>1249</v>
      </c>
      <c r="Q457" s="533" t="str">
        <f>IF(S457=0,"",COUNTIF(Q$12:Q456,"&gt;0")+1)</f>
        <v/>
      </c>
      <c r="R457" s="533" t="str">
        <f>IF(S457=0,"",COUNTIF(R$12:R456,"&gt;0")+1)</f>
        <v/>
      </c>
      <c r="S457" s="533">
        <f t="shared" si="95"/>
        <v>0</v>
      </c>
      <c r="T457" s="533">
        <f>VLOOKUP(C457,A!A$1:AH$669,32,FALSE)</f>
        <v>0</v>
      </c>
      <c r="U457" s="533">
        <v>0.1</v>
      </c>
      <c r="V457" s="533"/>
      <c r="W457" s="533" t="str">
        <f t="shared" si="90"/>
        <v/>
      </c>
      <c r="X457" s="533">
        <f>IF(V457&lt;&gt;"",COUNTIF(V$46:V457,V457)-1,0)</f>
        <v>0</v>
      </c>
      <c r="Y457" s="533"/>
      <c r="Z457" s="533" t="str">
        <f t="shared" si="92"/>
        <v/>
      </c>
      <c r="AA457" s="533" t="str">
        <f>IFERROR(RANK(Z457,Z$363:Z$487,0)+COUNTIF(Z$363:Z457,Z457)-1,"")</f>
        <v/>
      </c>
      <c r="AB457" s="533">
        <f t="shared" si="93"/>
        <v>0</v>
      </c>
      <c r="AC457" s="533">
        <f t="shared" si="94"/>
        <v>0</v>
      </c>
      <c r="AD457" s="533"/>
      <c r="AE457" s="533"/>
      <c r="AF457" s="533"/>
      <c r="AG457" s="533"/>
      <c r="AH457" s="533"/>
      <c r="AI457" s="533"/>
      <c r="AJ457" s="533"/>
      <c r="AK457" s="533"/>
      <c r="AL457" s="533"/>
      <c r="AM457" s="533"/>
      <c r="AN457" s="533"/>
      <c r="AO457" s="533"/>
      <c r="AP457" s="533"/>
      <c r="AQ457" s="533"/>
      <c r="AR457" s="533"/>
      <c r="AS457" s="533"/>
      <c r="AT457" s="533"/>
      <c r="AU457" s="533"/>
    </row>
    <row r="458" spans="1:47" ht="13.5" hidden="1" customHeight="1" x14ac:dyDescent="0.25">
      <c r="A458" s="41"/>
      <c r="B458" s="104" t="s">
        <v>510</v>
      </c>
      <c r="C458" s="695" t="s">
        <v>313</v>
      </c>
      <c r="D458" s="727"/>
      <c r="E458" s="828"/>
      <c r="F458" s="740" t="s">
        <v>314</v>
      </c>
      <c r="G458" s="26" t="s">
        <v>315</v>
      </c>
      <c r="H458" s="27">
        <f>VLOOKUP(C458,A!A$1:O$669,15,FALSE)</f>
        <v>2</v>
      </c>
      <c r="I458" s="27" t="s">
        <v>30</v>
      </c>
      <c r="J458" s="28">
        <f>IF(VLOOKUP(C458,A!A$1:O$669,11,FALSE)="y",1,0)</f>
        <v>0</v>
      </c>
      <c r="K458" s="28">
        <f>IF(VLOOKUP(C458,A!A$1:O$669,12,FALSE)="y",1,0)</f>
        <v>0</v>
      </c>
      <c r="L458" s="544" t="str">
        <f t="shared" si="91"/>
        <v>Low</v>
      </c>
      <c r="M458" s="27">
        <f>VLOOKUP(C458,A!A$1:O$669,13,FALSE)</f>
        <v>0</v>
      </c>
      <c r="N458" s="44">
        <v>2</v>
      </c>
      <c r="O458" s="533">
        <f>VLOOKUP(C458,A!A$1:O$669,9,FALSE)</f>
        <v>0</v>
      </c>
      <c r="P458" s="533" t="s">
        <v>1249</v>
      </c>
      <c r="Q458" s="533" t="str">
        <f>IF(S458=0,"",COUNTIF(Q$12:Q457,"&gt;0")+1)</f>
        <v/>
      </c>
      <c r="R458" s="533" t="str">
        <f>IF(S458=0,"",COUNTIF(R$12:R457,"&gt;0")+1)</f>
        <v/>
      </c>
      <c r="S458" s="533">
        <f t="shared" si="95"/>
        <v>0</v>
      </c>
      <c r="T458" s="533">
        <f>VLOOKUP(C458,A!A$1:AH$669,32,FALSE)</f>
        <v>0</v>
      </c>
      <c r="U458" s="533">
        <v>0.1</v>
      </c>
      <c r="V458" s="533"/>
      <c r="W458" s="533" t="str">
        <f t="shared" si="90"/>
        <v/>
      </c>
      <c r="X458" s="533">
        <f>IF(V458&lt;&gt;"",COUNTIF(V$46:V458,V458)-1,0)</f>
        <v>0</v>
      </c>
      <c r="Y458" s="533"/>
      <c r="Z458" s="533" t="str">
        <f t="shared" si="92"/>
        <v/>
      </c>
      <c r="AA458" s="533" t="str">
        <f>IFERROR(RANK(Z458,Z$363:Z$487,0)+COUNTIF(Z$363:Z458,Z458)-1,"")</f>
        <v/>
      </c>
      <c r="AB458" s="533">
        <f t="shared" si="93"/>
        <v>0</v>
      </c>
      <c r="AC458" s="533">
        <f t="shared" si="94"/>
        <v>0</v>
      </c>
      <c r="AD458" s="533"/>
      <c r="AE458" s="533"/>
      <c r="AF458" s="533"/>
      <c r="AG458" s="533"/>
      <c r="AH458" s="533"/>
      <c r="AI458" s="533"/>
      <c r="AJ458" s="533"/>
      <c r="AK458" s="533"/>
      <c r="AL458" s="533"/>
      <c r="AM458" s="533"/>
      <c r="AN458" s="533"/>
      <c r="AO458" s="533"/>
      <c r="AP458" s="533"/>
      <c r="AQ458" s="533"/>
      <c r="AR458" s="533"/>
      <c r="AS458" s="533"/>
      <c r="AT458" s="533"/>
      <c r="AU458" s="533"/>
    </row>
    <row r="459" spans="1:47" ht="13.5" customHeight="1" x14ac:dyDescent="0.25">
      <c r="A459" s="41"/>
      <c r="B459" s="104" t="s">
        <v>510</v>
      </c>
      <c r="C459" s="695" t="s">
        <v>319</v>
      </c>
      <c r="D459" s="828"/>
      <c r="E459" s="828"/>
      <c r="F459" s="740" t="s">
        <v>320</v>
      </c>
      <c r="G459" s="26" t="s">
        <v>321</v>
      </c>
      <c r="H459" s="27">
        <f>VLOOKUP(C459,A!A$1:O$669,15,FALSE)</f>
        <v>2</v>
      </c>
      <c r="I459" s="27"/>
      <c r="J459" s="28">
        <f>IF(VLOOKUP(C459,A!A$1:O$669,11,FALSE)="y",1,0)</f>
        <v>1</v>
      </c>
      <c r="K459" s="28">
        <f>IF(VLOOKUP(C459,A!A$1:O$669,12,FALSE)="y",1,0)</f>
        <v>0</v>
      </c>
      <c r="L459" s="544" t="str">
        <f t="shared" si="91"/>
        <v>Med</v>
      </c>
      <c r="M459" s="27">
        <f>VLOOKUP(C459,A!A$1:O$669,13,FALSE)</f>
        <v>0</v>
      </c>
      <c r="N459" s="44" t="s">
        <v>39</v>
      </c>
      <c r="O459" s="533" t="str">
        <f>VLOOKUP(C459,A!A$1:O$669,9,FALSE)</f>
        <v>y</v>
      </c>
      <c r="P459" s="533" t="s">
        <v>1249</v>
      </c>
      <c r="Q459" s="533" t="str">
        <f>IF(S459=0,"",COUNTIF(Q$12:Q458,"&gt;0")+1)</f>
        <v/>
      </c>
      <c r="R459" s="533" t="str">
        <f>IF(S459=0,"",COUNTIF(R$12:R458,"&gt;0")+1)</f>
        <v/>
      </c>
      <c r="S459" s="533">
        <f t="shared" si="95"/>
        <v>0</v>
      </c>
      <c r="T459" s="533">
        <f>VLOOKUP(C459,A!A$1:AH$669,32,FALSE)</f>
        <v>35</v>
      </c>
      <c r="U459" s="533">
        <v>0.1</v>
      </c>
      <c r="V459" s="533">
        <v>99</v>
      </c>
      <c r="W459" s="533" t="str">
        <f t="shared" si="90"/>
        <v/>
      </c>
      <c r="X459" s="533">
        <f>IF(V459&lt;&gt;"",COUNTIF(V$46:V459,V459)-1,0)</f>
        <v>0</v>
      </c>
      <c r="Y459" s="533"/>
      <c r="Z459" s="533">
        <f t="shared" si="92"/>
        <v>-235</v>
      </c>
      <c r="AA459" s="533">
        <f>IFERROR(RANK(Z459,Z$363:Z$487,0)+COUNTIF(Z$363:Z459,Z459)-1,"")</f>
        <v>10</v>
      </c>
      <c r="AB459" s="533">
        <f t="shared" si="93"/>
        <v>0</v>
      </c>
      <c r="AC459" s="533">
        <f t="shared" si="94"/>
        <v>0</v>
      </c>
      <c r="AD459" s="533"/>
      <c r="AE459" s="533"/>
      <c r="AF459" s="533"/>
      <c r="AG459" s="533"/>
      <c r="AH459" s="533"/>
      <c r="AI459" s="533"/>
      <c r="AJ459" s="533"/>
      <c r="AK459" s="533"/>
      <c r="AL459" s="533"/>
      <c r="AM459" s="533"/>
      <c r="AN459" s="533"/>
      <c r="AO459" s="533"/>
      <c r="AP459" s="533"/>
      <c r="AQ459" s="533"/>
      <c r="AR459" s="533"/>
      <c r="AS459" s="533"/>
      <c r="AT459" s="533"/>
      <c r="AU459" s="533"/>
    </row>
    <row r="460" spans="1:47" ht="12.75" hidden="1" customHeight="1" x14ac:dyDescent="0.25">
      <c r="A460" s="41"/>
      <c r="B460" s="104" t="s">
        <v>510</v>
      </c>
      <c r="C460" s="695" t="s">
        <v>325</v>
      </c>
      <c r="D460" s="828"/>
      <c r="E460" s="828"/>
      <c r="F460" s="740" t="s">
        <v>1265</v>
      </c>
      <c r="G460" s="26" t="s">
        <v>1266</v>
      </c>
      <c r="H460" s="27"/>
      <c r="I460" s="27"/>
      <c r="J460" s="28">
        <f>IF(VLOOKUP(C460,A!A$1:O$669,11,FALSE)="y",1,0)</f>
        <v>0</v>
      </c>
      <c r="K460" s="28">
        <f>IF(VLOOKUP(C460,A!A$1:O$669,12,FALSE)="y",1,0)</f>
        <v>0</v>
      </c>
      <c r="L460" s="544" t="str">
        <f t="shared" si="91"/>
        <v>Low</v>
      </c>
      <c r="M460" s="27"/>
      <c r="N460" s="678" t="s">
        <v>39</v>
      </c>
      <c r="O460" s="533">
        <f>VLOOKUP(C460,A!A$1:O$669,9,FALSE)</f>
        <v>0</v>
      </c>
      <c r="P460" s="533" t="s">
        <v>1249</v>
      </c>
      <c r="Q460" s="533" t="str">
        <f>IF(S460=0,"",COUNTIF(Q$12:Q459,"&gt;0")+1)</f>
        <v/>
      </c>
      <c r="R460" s="533" t="str">
        <f>IF(S460=0,"",COUNTIF(R$12:R459,"&gt;0")+1)</f>
        <v/>
      </c>
      <c r="S460" s="533">
        <f t="shared" si="95"/>
        <v>0</v>
      </c>
      <c r="T460" s="533">
        <f>VLOOKUP(C460,A!A$1:AH$669,32,FALSE)</f>
        <v>0</v>
      </c>
      <c r="U460" s="533">
        <v>0.1</v>
      </c>
      <c r="V460" s="533"/>
      <c r="W460" s="533" t="str">
        <f>IF(AND(V460&lt;&gt;"",O460=0),"Check",IF(AND(V460=0,O460="Y"),"Check",""))</f>
        <v/>
      </c>
      <c r="X460" s="533">
        <f>IF(V460&lt;&gt;"",COUNTIF(V$46:V460,V460)-1,0)</f>
        <v>0</v>
      </c>
      <c r="Y460" s="533"/>
      <c r="Z460" s="533" t="str">
        <f>IFERROR(IF(O460="y",H460*-100-A460*1000-T460,""),"")</f>
        <v/>
      </c>
      <c r="AA460" s="533" t="str">
        <f>IFERROR(RANK(Z460,Z$363:Z$487,0)+COUNTIF(Z$363:Z460,Z460)-1,"")</f>
        <v/>
      </c>
      <c r="AB460" s="533">
        <f>IF(AA460&lt;=AB$362,1,0)</f>
        <v>0</v>
      </c>
      <c r="AC460" s="533">
        <f>IF(AA460&lt;=AC$362,1,0)</f>
        <v>0</v>
      </c>
      <c r="AD460" s="533"/>
      <c r="AE460" s="533"/>
      <c r="AF460" s="533"/>
      <c r="AG460" s="533"/>
      <c r="AH460" s="533"/>
      <c r="AI460" s="533"/>
      <c r="AJ460" s="533"/>
      <c r="AK460" s="533"/>
      <c r="AL460" s="533"/>
      <c r="AM460" s="533"/>
      <c r="AN460" s="533"/>
      <c r="AO460" s="533"/>
      <c r="AP460" s="533"/>
      <c r="AQ460" s="533"/>
      <c r="AR460" s="533"/>
      <c r="AS460" s="533"/>
      <c r="AT460" s="533"/>
      <c r="AU460" s="533"/>
    </row>
    <row r="461" spans="1:47" ht="13.5" customHeight="1" x14ac:dyDescent="0.25">
      <c r="A461" s="41"/>
      <c r="B461" s="104" t="s">
        <v>510</v>
      </c>
      <c r="C461" s="695" t="s">
        <v>322</v>
      </c>
      <c r="D461" s="828"/>
      <c r="E461" s="828"/>
      <c r="F461" s="740" t="s">
        <v>323</v>
      </c>
      <c r="G461" s="26" t="s">
        <v>324</v>
      </c>
      <c r="H461" s="27">
        <f>VLOOKUP(C461,A!A$1:O$669,15,FALSE)</f>
        <v>2</v>
      </c>
      <c r="I461" s="27"/>
      <c r="J461" s="28">
        <f>IF(VLOOKUP(C461,A!A$1:O$669,11,FALSE)="y",1,0)</f>
        <v>1</v>
      </c>
      <c r="K461" s="28">
        <f>IF(VLOOKUP(C461,A!A$1:O$669,12,FALSE)="y",1,0)</f>
        <v>0</v>
      </c>
      <c r="L461" s="544" t="str">
        <f t="shared" si="91"/>
        <v>Med</v>
      </c>
      <c r="M461" s="27">
        <f>VLOOKUP(C461,A!A$1:O$669,13,FALSE)</f>
        <v>0</v>
      </c>
      <c r="N461" s="44" t="s">
        <v>39</v>
      </c>
      <c r="O461" s="533" t="str">
        <f>VLOOKUP(C461,A!A$1:O$669,9,FALSE)</f>
        <v>y</v>
      </c>
      <c r="P461" s="533" t="s">
        <v>1249</v>
      </c>
      <c r="Q461" s="533" t="str">
        <f>IF(S461=0,"",COUNTIF(Q$12:Q460,"&gt;0")+1)</f>
        <v/>
      </c>
      <c r="R461" s="533" t="str">
        <f>IF(S461=0,"",COUNTIF(R$12:R460,"&gt;0")+1)</f>
        <v/>
      </c>
      <c r="S461" s="533">
        <f t="shared" si="95"/>
        <v>0</v>
      </c>
      <c r="T461" s="533">
        <f>VLOOKUP(C461,A!A$1:AH$669,32,FALSE)</f>
        <v>35</v>
      </c>
      <c r="U461" s="533">
        <v>0.1</v>
      </c>
      <c r="V461" s="533">
        <v>74</v>
      </c>
      <c r="W461" s="533" t="str">
        <f t="shared" si="90"/>
        <v/>
      </c>
      <c r="X461" s="533">
        <f>IF(V461&lt;&gt;"",COUNTIF(V$46:V461,V461)-1,0)</f>
        <v>0</v>
      </c>
      <c r="Y461" s="533"/>
      <c r="Z461" s="533">
        <f t="shared" ref="Z461:Z487" si="96">IFERROR(IF(O461="y",H461*-100-A461*1000-T461,""),"")</f>
        <v>-235</v>
      </c>
      <c r="AA461" s="533">
        <f>IFERROR(RANK(Z461,Z$363:Z$487,0)+COUNTIF(Z$363:Z461,Z461)-1,"")</f>
        <v>11</v>
      </c>
      <c r="AB461" s="533">
        <f t="shared" si="93"/>
        <v>0</v>
      </c>
      <c r="AC461" s="533">
        <f t="shared" si="94"/>
        <v>0</v>
      </c>
      <c r="AD461" s="533"/>
      <c r="AE461" s="533"/>
      <c r="AF461" s="533"/>
      <c r="AG461" s="533"/>
      <c r="AH461" s="533"/>
      <c r="AI461" s="533"/>
      <c r="AJ461" s="533"/>
      <c r="AK461" s="533"/>
      <c r="AL461" s="533"/>
      <c r="AM461" s="533"/>
      <c r="AN461" s="533"/>
      <c r="AO461" s="533"/>
      <c r="AP461" s="533"/>
      <c r="AQ461" s="533"/>
      <c r="AR461" s="533"/>
      <c r="AS461" s="533"/>
      <c r="AT461" s="533"/>
      <c r="AU461" s="533"/>
    </row>
    <row r="462" spans="1:47" ht="12.75" hidden="1" customHeight="1" x14ac:dyDescent="0.25">
      <c r="A462" s="41"/>
      <c r="B462" s="104" t="s">
        <v>510</v>
      </c>
      <c r="C462" s="695" t="s">
        <v>1012</v>
      </c>
      <c r="D462" s="828"/>
      <c r="E462" s="828"/>
      <c r="F462" s="740" t="s">
        <v>1013</v>
      </c>
      <c r="G462" s="26" t="s">
        <v>1014</v>
      </c>
      <c r="H462" s="27">
        <v>2</v>
      </c>
      <c r="I462" s="27"/>
      <c r="J462" s="28"/>
      <c r="K462" s="28"/>
      <c r="L462" s="544" t="str">
        <f t="shared" si="91"/>
        <v>Low</v>
      </c>
      <c r="M462" s="27"/>
      <c r="N462" s="44" t="s">
        <v>39</v>
      </c>
      <c r="O462" s="533">
        <f>VLOOKUP(C462,A!A$1:O$669,9,FALSE)</f>
        <v>0</v>
      </c>
      <c r="P462" s="533" t="s">
        <v>1249</v>
      </c>
      <c r="Q462" s="533" t="str">
        <f>IF(S462=0,"",COUNTIF(Q$12:Q461,"&gt;0")+1)</f>
        <v/>
      </c>
      <c r="R462" s="533" t="str">
        <f>IF(S462=0,"",COUNTIF(R$12:R461,"&gt;0")+1)</f>
        <v/>
      </c>
      <c r="S462" s="533">
        <f t="shared" si="95"/>
        <v>0</v>
      </c>
      <c r="T462" s="533">
        <f>VLOOKUP(C462,A!A$1:AH$669,32,FALSE)</f>
        <v>0</v>
      </c>
      <c r="U462" s="533">
        <v>0.1</v>
      </c>
      <c r="V462" s="533"/>
      <c r="W462" s="533" t="str">
        <f t="shared" si="90"/>
        <v/>
      </c>
      <c r="X462" s="533">
        <f>IF(V462&lt;&gt;"",COUNTIF(V$46:V462,V462)-1,0)</f>
        <v>0</v>
      </c>
      <c r="Y462" s="533"/>
      <c r="Z462" s="533" t="str">
        <f t="shared" si="96"/>
        <v/>
      </c>
      <c r="AA462" s="533" t="str">
        <f>IFERROR(RANK(Z462,Z$363:Z$487,0)+COUNTIF(Z$363:Z462,Z462)-1,"")</f>
        <v/>
      </c>
      <c r="AB462" s="533">
        <f t="shared" si="93"/>
        <v>0</v>
      </c>
      <c r="AC462" s="533">
        <f t="shared" si="94"/>
        <v>0</v>
      </c>
      <c r="AD462" s="533"/>
      <c r="AE462" s="533"/>
      <c r="AF462" s="533"/>
      <c r="AG462" s="533"/>
      <c r="AH462" s="533"/>
      <c r="AI462" s="533"/>
      <c r="AJ462" s="533"/>
      <c r="AK462" s="533"/>
      <c r="AL462" s="533"/>
      <c r="AM462" s="533"/>
      <c r="AN462" s="533"/>
      <c r="AO462" s="533"/>
      <c r="AP462" s="533"/>
      <c r="AQ462" s="533"/>
      <c r="AR462" s="533"/>
      <c r="AS462" s="533"/>
      <c r="AT462" s="533"/>
      <c r="AU462" s="533"/>
    </row>
    <row r="463" spans="1:47" ht="12.75" hidden="1" customHeight="1" x14ac:dyDescent="0.25">
      <c r="A463" s="41"/>
      <c r="B463" s="104" t="s">
        <v>510</v>
      </c>
      <c r="C463" s="695" t="s">
        <v>327</v>
      </c>
      <c r="D463" s="828"/>
      <c r="E463" s="828"/>
      <c r="F463" s="740" t="s">
        <v>997</v>
      </c>
      <c r="G463" s="26" t="s">
        <v>665</v>
      </c>
      <c r="H463" s="27">
        <f>VLOOKUP(C463,A!A$1:O$669,15,FALSE)</f>
        <v>2</v>
      </c>
      <c r="I463" s="27"/>
      <c r="J463" s="28">
        <f>IF(VLOOKUP(C463,A!A$1:O$669,11,FALSE)="y",1,0)</f>
        <v>0</v>
      </c>
      <c r="K463" s="28">
        <f>IF(VLOOKUP(C463,A!A$1:O$669,12,FALSE)="y",1,0)</f>
        <v>0</v>
      </c>
      <c r="L463" s="544" t="str">
        <f t="shared" si="91"/>
        <v>Low</v>
      </c>
      <c r="M463" s="27">
        <f>VLOOKUP(C463,A!A$1:O$669,13,FALSE)</f>
        <v>0</v>
      </c>
      <c r="N463" s="44" t="s">
        <v>22</v>
      </c>
      <c r="O463" s="533">
        <f>VLOOKUP(C463,A!A$1:O$669,9,FALSE)</f>
        <v>0</v>
      </c>
      <c r="P463" s="533" t="s">
        <v>1249</v>
      </c>
      <c r="Q463" s="533" t="str">
        <f>IF(S463=0,"",COUNTIF(Q$12:Q462,"&gt;0")+1)</f>
        <v/>
      </c>
      <c r="R463" s="533" t="str">
        <f>IF(S463=0,"",COUNTIF(R$12:R462,"&gt;0")+1)</f>
        <v/>
      </c>
      <c r="S463" s="533">
        <f t="shared" si="95"/>
        <v>0</v>
      </c>
      <c r="T463" s="533">
        <f>VLOOKUP(C463,A!A$1:AH$669,32,FALSE)</f>
        <v>0</v>
      </c>
      <c r="U463" s="533">
        <v>0.1</v>
      </c>
      <c r="V463" s="533"/>
      <c r="W463" s="533" t="str">
        <f t="shared" si="90"/>
        <v/>
      </c>
      <c r="X463" s="533">
        <f>IF(V463&lt;&gt;"",COUNTIF(V$46:V463,V463)-1,0)</f>
        <v>0</v>
      </c>
      <c r="Y463" s="533"/>
      <c r="Z463" s="533" t="str">
        <f t="shared" si="96"/>
        <v/>
      </c>
      <c r="AA463" s="533" t="str">
        <f>IFERROR(RANK(Z463,Z$363:Z$487,0)+COUNTIF(Z$363:Z463,Z463)-1,"")</f>
        <v/>
      </c>
      <c r="AB463" s="533">
        <f t="shared" si="93"/>
        <v>0</v>
      </c>
      <c r="AC463" s="533">
        <f t="shared" si="94"/>
        <v>0</v>
      </c>
      <c r="AD463" s="533"/>
      <c r="AE463" s="533"/>
      <c r="AF463" s="533"/>
      <c r="AG463" s="533"/>
      <c r="AH463" s="533"/>
      <c r="AI463" s="533"/>
      <c r="AJ463" s="533"/>
      <c r="AK463" s="533"/>
      <c r="AL463" s="533"/>
      <c r="AM463" s="533"/>
      <c r="AN463" s="533"/>
      <c r="AO463" s="533"/>
      <c r="AP463" s="533"/>
      <c r="AQ463" s="533"/>
      <c r="AR463" s="533"/>
      <c r="AS463" s="533"/>
      <c r="AT463" s="533"/>
      <c r="AU463" s="533"/>
    </row>
    <row r="464" spans="1:47" ht="13.5" hidden="1" customHeight="1" x14ac:dyDescent="0.25">
      <c r="A464" s="41"/>
      <c r="B464" s="104" t="s">
        <v>510</v>
      </c>
      <c r="C464" s="695" t="s">
        <v>332</v>
      </c>
      <c r="D464" s="828"/>
      <c r="E464" s="828"/>
      <c r="F464" s="740" t="s">
        <v>333</v>
      </c>
      <c r="G464" s="26" t="s">
        <v>334</v>
      </c>
      <c r="H464" s="27">
        <f>VLOOKUP(C464,A!A$1:O$669,15,FALSE)</f>
        <v>1</v>
      </c>
      <c r="I464" s="27"/>
      <c r="J464" s="28">
        <f>IF(VLOOKUP(C464,A!A$1:O$669,11,FALSE)="y",1,0)</f>
        <v>0</v>
      </c>
      <c r="K464" s="28">
        <f>IF(VLOOKUP(C464,A!A$1:O$669,12,FALSE)="y",1,0)</f>
        <v>0</v>
      </c>
      <c r="L464" s="544" t="str">
        <f t="shared" si="91"/>
        <v>High</v>
      </c>
      <c r="M464" s="27">
        <f>VLOOKUP(C464,A!A$1:O$669,13,FALSE)</f>
        <v>0</v>
      </c>
      <c r="N464" s="44" t="s">
        <v>31</v>
      </c>
      <c r="O464" s="533">
        <f>VLOOKUP(C464,A!A$1:O$669,9,FALSE)</f>
        <v>0</v>
      </c>
      <c r="P464" s="533" t="s">
        <v>1249</v>
      </c>
      <c r="Q464" s="533" t="str">
        <f>IF(S464=0,"",COUNTIF(Q$12:Q463,"&gt;0")+1)</f>
        <v/>
      </c>
      <c r="R464" s="533" t="str">
        <f>IF(S464=0,"",COUNTIF(R$12:R463,"&gt;0")+1)</f>
        <v/>
      </c>
      <c r="S464" s="533">
        <f t="shared" si="95"/>
        <v>0</v>
      </c>
      <c r="T464" s="533">
        <v>55</v>
      </c>
      <c r="U464" s="533">
        <v>0.1</v>
      </c>
      <c r="V464" s="533"/>
      <c r="W464" s="533" t="str">
        <f t="shared" si="90"/>
        <v/>
      </c>
      <c r="X464" s="533">
        <f>IF(V464&lt;&gt;"",COUNTIF(V$46:V464,V464)-1,0)</f>
        <v>0</v>
      </c>
      <c r="Y464" s="533"/>
      <c r="Z464" s="533" t="str">
        <f t="shared" si="96"/>
        <v/>
      </c>
      <c r="AA464" s="533" t="str">
        <f>IFERROR(RANK(Z464,Z$363:Z$487,0)+COUNTIF(Z$363:Z464,Z464)-1,"")</f>
        <v/>
      </c>
      <c r="AB464" s="533">
        <f t="shared" si="93"/>
        <v>0</v>
      </c>
      <c r="AC464" s="533">
        <f t="shared" si="94"/>
        <v>0</v>
      </c>
      <c r="AD464" s="533"/>
      <c r="AE464" s="533"/>
      <c r="AF464" s="533"/>
      <c r="AG464" s="533"/>
      <c r="AH464" s="533"/>
      <c r="AI464" s="533"/>
      <c r="AJ464" s="533"/>
      <c r="AK464" s="533"/>
      <c r="AL464" s="533"/>
      <c r="AM464" s="533"/>
      <c r="AN464" s="533"/>
      <c r="AO464" s="533"/>
      <c r="AP464" s="533"/>
      <c r="AQ464" s="533"/>
      <c r="AR464" s="533"/>
      <c r="AS464" s="533"/>
      <c r="AT464" s="533"/>
      <c r="AU464" s="533"/>
    </row>
    <row r="465" spans="1:47" ht="13.5" hidden="1" customHeight="1" x14ac:dyDescent="0.25">
      <c r="A465" s="41"/>
      <c r="B465" s="104" t="s">
        <v>510</v>
      </c>
      <c r="C465" s="695" t="s">
        <v>335</v>
      </c>
      <c r="D465" s="828"/>
      <c r="E465" s="828"/>
      <c r="F465" s="740" t="s">
        <v>333</v>
      </c>
      <c r="G465" s="26" t="s">
        <v>336</v>
      </c>
      <c r="H465" s="27">
        <f>VLOOKUP(C465,A!A$1:O$669,15,FALSE)</f>
        <v>1</v>
      </c>
      <c r="I465" s="27"/>
      <c r="J465" s="28">
        <f>IF(VLOOKUP(C465,A!A$1:O$669,11,FALSE)="y",1,0)</f>
        <v>0</v>
      </c>
      <c r="K465" s="28">
        <f>IF(VLOOKUP(C465,A!A$1:O$669,12,FALSE)="y",1,0)</f>
        <v>0</v>
      </c>
      <c r="L465" s="544" t="str">
        <f t="shared" si="91"/>
        <v>Low</v>
      </c>
      <c r="M465" s="27">
        <f>VLOOKUP(C465,A!A$1:O$669,13,FALSE)</f>
        <v>0</v>
      </c>
      <c r="N465" s="44" t="s">
        <v>31</v>
      </c>
      <c r="O465" s="533">
        <f>VLOOKUP(C465,A!A$1:O$669,9,FALSE)</f>
        <v>0</v>
      </c>
      <c r="P465" s="533" t="s">
        <v>1249</v>
      </c>
      <c r="Q465" s="533" t="str">
        <f>IF(S465=0,"",COUNTIF(Q$12:Q464,"&gt;0")+1)</f>
        <v/>
      </c>
      <c r="R465" s="533" t="str">
        <f>IF(S465=0,"",COUNTIF(R$12:R464,"&gt;0")+1)</f>
        <v/>
      </c>
      <c r="S465" s="533">
        <f t="shared" si="95"/>
        <v>0</v>
      </c>
      <c r="T465" s="533">
        <f>VLOOKUP(C465,A!A$1:AH$669,32,FALSE)</f>
        <v>0</v>
      </c>
      <c r="U465" s="533">
        <v>0.1</v>
      </c>
      <c r="V465" s="533"/>
      <c r="W465" s="533" t="str">
        <f t="shared" si="90"/>
        <v/>
      </c>
      <c r="X465" s="533">
        <f>IF(V465&lt;&gt;"",COUNTIF(V$46:V465,V465)-1,0)</f>
        <v>0</v>
      </c>
      <c r="Y465" s="533"/>
      <c r="Z465" s="533" t="str">
        <f t="shared" si="96"/>
        <v/>
      </c>
      <c r="AA465" s="533" t="str">
        <f>IFERROR(RANK(Z465,Z$363:Z$487,0)+COUNTIF(Z$363:Z465,Z465)-1,"")</f>
        <v/>
      </c>
      <c r="AB465" s="533">
        <f t="shared" si="93"/>
        <v>0</v>
      </c>
      <c r="AC465" s="533">
        <f t="shared" si="94"/>
        <v>0</v>
      </c>
      <c r="AD465" s="533"/>
      <c r="AE465" s="533"/>
      <c r="AF465" s="533"/>
      <c r="AG465" s="533"/>
      <c r="AH465" s="533"/>
      <c r="AI465" s="533"/>
      <c r="AJ465" s="533"/>
      <c r="AK465" s="533"/>
      <c r="AL465" s="533"/>
      <c r="AM465" s="533"/>
      <c r="AN465" s="533"/>
      <c r="AO465" s="533"/>
      <c r="AP465" s="533"/>
      <c r="AQ465" s="533"/>
      <c r="AR465" s="533"/>
      <c r="AS465" s="533"/>
      <c r="AT465" s="533"/>
      <c r="AU465" s="533"/>
    </row>
    <row r="466" spans="1:47" ht="13.5" hidden="1" customHeight="1" x14ac:dyDescent="0.25">
      <c r="A466" s="41"/>
      <c r="B466" s="104" t="s">
        <v>510</v>
      </c>
      <c r="C466" s="695" t="s">
        <v>666</v>
      </c>
      <c r="D466" s="828"/>
      <c r="E466" s="828"/>
      <c r="F466" s="740" t="s">
        <v>333</v>
      </c>
      <c r="G466" s="26" t="s">
        <v>339</v>
      </c>
      <c r="H466" s="27">
        <f>VLOOKUP(C466,A!A$1:O$669,15,FALSE)</f>
        <v>1</v>
      </c>
      <c r="I466" s="27"/>
      <c r="J466" s="28">
        <f>IF(VLOOKUP(C466,A!A$1:O$669,11,FALSE)="y",1,0)</f>
        <v>0</v>
      </c>
      <c r="K466" s="28">
        <f>IF(VLOOKUP(C466,A!A$1:O$669,12,FALSE)="y",1,0)</f>
        <v>0</v>
      </c>
      <c r="L466" s="544" t="str">
        <f t="shared" si="91"/>
        <v>Low</v>
      </c>
      <c r="M466" s="27">
        <f>VLOOKUP(C466,A!A$1:O$669,13,FALSE)</f>
        <v>0</v>
      </c>
      <c r="N466" s="44" t="s">
        <v>31</v>
      </c>
      <c r="O466" s="533">
        <f>VLOOKUP(C466,A!A$1:O$669,9,FALSE)</f>
        <v>0</v>
      </c>
      <c r="P466" s="533" t="s">
        <v>1249</v>
      </c>
      <c r="Q466" s="533" t="str">
        <f>IF(S466=0,"",COUNTIF(Q$12:Q465,"&gt;0")+1)</f>
        <v/>
      </c>
      <c r="R466" s="533" t="str">
        <f>IF(S466=0,"",COUNTIF(R$12:R465,"&gt;0")+1)</f>
        <v/>
      </c>
      <c r="S466" s="533">
        <f t="shared" si="95"/>
        <v>0</v>
      </c>
      <c r="T466" s="533">
        <f>VLOOKUP(C466,A!A$1:AH$669,32,FALSE)</f>
        <v>0</v>
      </c>
      <c r="U466" s="533">
        <v>0.1</v>
      </c>
      <c r="V466" s="533"/>
      <c r="W466" s="533" t="str">
        <f t="shared" si="90"/>
        <v/>
      </c>
      <c r="X466" s="533">
        <f>IF(V466&lt;&gt;"",COUNTIF(V$46:V466,V466)-1,0)</f>
        <v>0</v>
      </c>
      <c r="Y466" s="533"/>
      <c r="Z466" s="533" t="str">
        <f t="shared" si="96"/>
        <v/>
      </c>
      <c r="AA466" s="533" t="str">
        <f>IFERROR(RANK(Z466,Z$363:Z$487,0)+COUNTIF(Z$363:Z466,Z466)-1,"")</f>
        <v/>
      </c>
      <c r="AB466" s="533">
        <f t="shared" si="93"/>
        <v>0</v>
      </c>
      <c r="AC466" s="533">
        <f t="shared" si="94"/>
        <v>0</v>
      </c>
      <c r="AD466" s="533"/>
      <c r="AE466" s="533"/>
      <c r="AF466" s="533"/>
      <c r="AG466" s="533"/>
      <c r="AH466" s="533"/>
      <c r="AI466" s="533"/>
      <c r="AJ466" s="533"/>
      <c r="AK466" s="533"/>
      <c r="AL466" s="533"/>
      <c r="AM466" s="533"/>
      <c r="AN466" s="533"/>
      <c r="AO466" s="533"/>
      <c r="AP466" s="533"/>
      <c r="AQ466" s="533"/>
      <c r="AR466" s="533"/>
      <c r="AS466" s="533"/>
      <c r="AT466" s="533"/>
      <c r="AU466" s="533"/>
    </row>
    <row r="467" spans="1:47" ht="12.75" hidden="1" customHeight="1" x14ac:dyDescent="0.25">
      <c r="A467" s="41"/>
      <c r="B467" s="104" t="s">
        <v>510</v>
      </c>
      <c r="C467" s="837" t="s">
        <v>379</v>
      </c>
      <c r="D467" s="828"/>
      <c r="E467" s="828"/>
      <c r="F467" s="743" t="s">
        <v>380</v>
      </c>
      <c r="G467" s="42" t="s">
        <v>381</v>
      </c>
      <c r="H467" s="27">
        <v>1</v>
      </c>
      <c r="I467" s="27"/>
      <c r="J467" s="28">
        <f>IF(VLOOKUP(C467,A!A$1:O$669,11,FALSE)="y",1,0)</f>
        <v>0</v>
      </c>
      <c r="K467" s="28"/>
      <c r="L467" s="544" t="str">
        <f t="shared" si="91"/>
        <v>Low</v>
      </c>
      <c r="M467" s="27"/>
      <c r="N467" s="44" t="s">
        <v>39</v>
      </c>
      <c r="O467" s="533">
        <f>VLOOKUP(C467,A!A$1:O$669,9,FALSE)</f>
        <v>0</v>
      </c>
      <c r="P467" s="533" t="s">
        <v>1249</v>
      </c>
      <c r="Q467" s="533" t="str">
        <f>IF(S467=0,"",COUNTIF(Q$12:Q466,"&gt;0")+1)</f>
        <v/>
      </c>
      <c r="R467" s="533" t="str">
        <f>IF(S467=0,"",COUNTIF(R$12:R466,"&gt;0")+1)</f>
        <v/>
      </c>
      <c r="S467" s="533">
        <f t="shared" si="95"/>
        <v>0</v>
      </c>
      <c r="T467" s="533">
        <f>VLOOKUP(C467,A!A$1:AH$669,32,FALSE)</f>
        <v>0</v>
      </c>
      <c r="U467" s="533">
        <v>0.1</v>
      </c>
      <c r="V467" s="533"/>
      <c r="W467" s="533" t="str">
        <f t="shared" si="90"/>
        <v/>
      </c>
      <c r="X467" s="533">
        <f>IF(V467&lt;&gt;"",COUNTIF(V$46:V467,V467)-1,0)</f>
        <v>0</v>
      </c>
      <c r="Y467" s="533"/>
      <c r="Z467" s="533" t="str">
        <f t="shared" si="96"/>
        <v/>
      </c>
      <c r="AA467" s="533" t="str">
        <f>IFERROR(RANK(Z467,Z$363:Z$487,0)+COUNTIF(Z$363:Z467,Z467)-1,"")</f>
        <v/>
      </c>
      <c r="AB467" s="533">
        <f t="shared" si="93"/>
        <v>0</v>
      </c>
      <c r="AC467" s="533">
        <f t="shared" si="94"/>
        <v>0</v>
      </c>
      <c r="AD467" s="533"/>
      <c r="AE467" s="533"/>
      <c r="AF467" s="533"/>
      <c r="AG467" s="533"/>
      <c r="AH467" s="533"/>
      <c r="AI467" s="533"/>
      <c r="AJ467" s="533"/>
      <c r="AK467" s="533"/>
      <c r="AL467" s="533"/>
      <c r="AM467" s="533"/>
      <c r="AN467" s="533"/>
      <c r="AO467" s="533"/>
      <c r="AP467" s="533"/>
      <c r="AQ467" s="533"/>
      <c r="AR467" s="533"/>
      <c r="AS467" s="533"/>
      <c r="AT467" s="533"/>
      <c r="AU467" s="533"/>
    </row>
    <row r="468" spans="1:47" ht="13.5" customHeight="1" x14ac:dyDescent="0.25">
      <c r="A468" s="41"/>
      <c r="B468" s="104" t="s">
        <v>510</v>
      </c>
      <c r="C468" s="695" t="s">
        <v>385</v>
      </c>
      <c r="D468" s="828"/>
      <c r="E468" s="828"/>
      <c r="F468" s="740" t="s">
        <v>386</v>
      </c>
      <c r="G468" s="26" t="s">
        <v>387</v>
      </c>
      <c r="H468" s="27">
        <f>VLOOKUP(C468,A!A$1:O$669,15,FALSE)</f>
        <v>2</v>
      </c>
      <c r="I468" s="27" t="s">
        <v>30</v>
      </c>
      <c r="J468" s="28">
        <f>IF(VLOOKUP(C468,A!A$1:O$669,11,FALSE)="y",1,0)</f>
        <v>1</v>
      </c>
      <c r="K468" s="28">
        <f>IF(VLOOKUP(C468,A!A$1:O$669,12,FALSE)="y",1,0)</f>
        <v>0</v>
      </c>
      <c r="L468" s="544" t="str">
        <f t="shared" si="91"/>
        <v>Med</v>
      </c>
      <c r="M468" s="27">
        <f>VLOOKUP(C468,A!A$1:O$669,13,FALSE)</f>
        <v>0</v>
      </c>
      <c r="N468" s="44">
        <v>2</v>
      </c>
      <c r="O468" s="533" t="str">
        <f>VLOOKUP(C468,A!A$1:O$669,9,FALSE)</f>
        <v>y</v>
      </c>
      <c r="P468" s="533" t="s">
        <v>1249</v>
      </c>
      <c r="Q468" s="533" t="str">
        <f>IF(S468=0,"",COUNTIF(Q$12:Q467,"&gt;0")+1)</f>
        <v/>
      </c>
      <c r="R468" s="533" t="str">
        <f>IF(S468=0,"",COUNTIF(R$12:R467,"&gt;0")+1)</f>
        <v/>
      </c>
      <c r="S468" s="533">
        <f t="shared" si="95"/>
        <v>0</v>
      </c>
      <c r="T468" s="533">
        <f>VLOOKUP(C468,A!A$1:AH$669,32,FALSE)</f>
        <v>35</v>
      </c>
      <c r="U468" s="533">
        <v>0.1</v>
      </c>
      <c r="V468" s="533">
        <v>100</v>
      </c>
      <c r="W468" s="533" t="str">
        <f t="shared" si="90"/>
        <v/>
      </c>
      <c r="X468" s="533">
        <f>IF(V468&lt;&gt;"",COUNTIF(V$46:V468,V468)-1,0)</f>
        <v>0</v>
      </c>
      <c r="Y468" s="533"/>
      <c r="Z468" s="533">
        <f t="shared" si="96"/>
        <v>-235</v>
      </c>
      <c r="AA468" s="533">
        <f>IFERROR(RANK(Z468,Z$363:Z$487,0)+COUNTIF(Z$363:Z468,Z468)-1,"")</f>
        <v>12</v>
      </c>
      <c r="AB468" s="533">
        <f t="shared" si="93"/>
        <v>0</v>
      </c>
      <c r="AC468" s="533">
        <f t="shared" si="94"/>
        <v>0</v>
      </c>
      <c r="AD468" s="533"/>
      <c r="AE468" s="533"/>
      <c r="AF468" s="533"/>
      <c r="AG468" s="533"/>
      <c r="AH468" s="533"/>
      <c r="AI468" s="533"/>
      <c r="AJ468" s="533"/>
      <c r="AK468" s="533"/>
      <c r="AL468" s="533"/>
      <c r="AM468" s="533"/>
      <c r="AN468" s="533"/>
      <c r="AO468" s="533"/>
      <c r="AP468" s="533"/>
      <c r="AQ468" s="533"/>
      <c r="AR468" s="533"/>
      <c r="AS468" s="533"/>
      <c r="AT468" s="533"/>
      <c r="AU468" s="533"/>
    </row>
    <row r="469" spans="1:47" ht="13.5" customHeight="1" x14ac:dyDescent="0.25">
      <c r="A469" s="41"/>
      <c r="B469" s="104" t="s">
        <v>510</v>
      </c>
      <c r="C469" s="695" t="s">
        <v>388</v>
      </c>
      <c r="D469" s="828"/>
      <c r="E469" s="828"/>
      <c r="F469" s="740" t="s">
        <v>667</v>
      </c>
      <c r="G469" s="26" t="s">
        <v>668</v>
      </c>
      <c r="H469" s="27">
        <f>VLOOKUP(C469,A!A$1:O$669,15,FALSE)</f>
        <v>2</v>
      </c>
      <c r="I469" s="27" t="s">
        <v>30</v>
      </c>
      <c r="J469" s="28">
        <f>IF(VLOOKUP(C469,A!A$1:O$669,11,FALSE)="y",1,0)</f>
        <v>1</v>
      </c>
      <c r="K469" s="28">
        <f>IF(VLOOKUP(C469,A!A$1:O$669,12,FALSE)="y",1,0)</f>
        <v>0</v>
      </c>
      <c r="L469" s="544" t="str">
        <f t="shared" si="91"/>
        <v>Med</v>
      </c>
      <c r="M469" s="27">
        <f>VLOOKUP(C469,A!A$1:O$669,13,FALSE)</f>
        <v>0</v>
      </c>
      <c r="N469" s="44">
        <v>2</v>
      </c>
      <c r="O469" s="533" t="str">
        <f>VLOOKUP(C469,A!A$1:O$669,9,FALSE)</f>
        <v>y</v>
      </c>
      <c r="P469" s="533" t="s">
        <v>1249</v>
      </c>
      <c r="Q469" s="533" t="str">
        <f>IF(S469=0,"",COUNTIF(Q$12:Q468,"&gt;0")+1)</f>
        <v/>
      </c>
      <c r="R469" s="533" t="str">
        <f>IF(S469=0,"",COUNTIF(R$12:R468,"&gt;0")+1)</f>
        <v/>
      </c>
      <c r="S469" s="533">
        <f t="shared" ref="S469:S472" si="97">A469+Y469+AB469+AC469</f>
        <v>0</v>
      </c>
      <c r="T469" s="533">
        <f>VLOOKUP(C469,A!A$1:AH$669,32,FALSE)</f>
        <v>35</v>
      </c>
      <c r="U469" s="533">
        <v>0.1</v>
      </c>
      <c r="V469" s="533">
        <v>73</v>
      </c>
      <c r="W469" s="533" t="str">
        <f t="shared" si="90"/>
        <v/>
      </c>
      <c r="X469" s="533">
        <f>IF(V469&lt;&gt;"",COUNTIF(V$46:V469,V469)-1,0)</f>
        <v>0</v>
      </c>
      <c r="Y469" s="533"/>
      <c r="Z469" s="533">
        <f t="shared" si="96"/>
        <v>-235</v>
      </c>
      <c r="AA469" s="533">
        <f>IFERROR(RANK(Z469,Z$363:Z$487,0)+COUNTIF(Z$363:Z469,Z469)-1,"")</f>
        <v>13</v>
      </c>
      <c r="AB469" s="533">
        <f t="shared" si="93"/>
        <v>0</v>
      </c>
      <c r="AC469" s="533">
        <f t="shared" si="94"/>
        <v>0</v>
      </c>
      <c r="AD469" s="533"/>
      <c r="AE469" s="533"/>
      <c r="AF469" s="533"/>
      <c r="AG469" s="533"/>
      <c r="AH469" s="533"/>
      <c r="AI469" s="533"/>
      <c r="AJ469" s="533"/>
      <c r="AK469" s="533"/>
      <c r="AL469" s="533"/>
      <c r="AM469" s="533"/>
      <c r="AN469" s="533"/>
      <c r="AO469" s="533"/>
      <c r="AP469" s="533"/>
      <c r="AQ469" s="533"/>
      <c r="AR469" s="533"/>
      <c r="AS469" s="533"/>
      <c r="AT469" s="533"/>
      <c r="AU469" s="533"/>
    </row>
    <row r="470" spans="1:47" ht="13.5" hidden="1" customHeight="1" x14ac:dyDescent="0.25">
      <c r="A470" s="41"/>
      <c r="B470" s="104" t="s">
        <v>510</v>
      </c>
      <c r="C470" s="695" t="s">
        <v>394</v>
      </c>
      <c r="D470" s="828"/>
      <c r="E470" s="828"/>
      <c r="F470" s="740" t="s">
        <v>395</v>
      </c>
      <c r="G470" s="26" t="s">
        <v>396</v>
      </c>
      <c r="H470" s="27">
        <f>VLOOKUP(C470,A!A$1:O$669,15,FALSE)</f>
        <v>1</v>
      </c>
      <c r="I470" s="27"/>
      <c r="J470" s="28">
        <f>IF(VLOOKUP(C470,A!A$1:O$669,11,FALSE)="y",1,0)</f>
        <v>0</v>
      </c>
      <c r="K470" s="28">
        <f>IF(VLOOKUP(C470,A!A$1:O$669,12,FALSE)="y",1,0)</f>
        <v>0</v>
      </c>
      <c r="L470" s="544" t="str">
        <f t="shared" si="91"/>
        <v>Low</v>
      </c>
      <c r="M470" s="27">
        <f>VLOOKUP(C470,A!A$1:O$669,13,FALSE)</f>
        <v>0</v>
      </c>
      <c r="N470" s="44">
        <v>2</v>
      </c>
      <c r="O470" s="533">
        <f>VLOOKUP(C470,A!A$1:O$669,9,FALSE)</f>
        <v>0</v>
      </c>
      <c r="P470" s="533" t="s">
        <v>1249</v>
      </c>
      <c r="Q470" s="533" t="str">
        <f>IF(S470=0,"",COUNTIF(Q$12:Q469,"&gt;0")+1)</f>
        <v/>
      </c>
      <c r="R470" s="533" t="str">
        <f>IF(S470=0,"",COUNTIF(R$12:R469,"&gt;0")+1)</f>
        <v/>
      </c>
      <c r="S470" s="533"/>
      <c r="T470" s="533">
        <f>VLOOKUP(C470,A!A$1:AH$669,32,FALSE)</f>
        <v>0</v>
      </c>
      <c r="U470" s="533">
        <v>0.1</v>
      </c>
      <c r="V470" s="533"/>
      <c r="W470" s="533" t="str">
        <f t="shared" si="90"/>
        <v/>
      </c>
      <c r="X470" s="533">
        <f>IF(V470&lt;&gt;"",COUNTIF(V$46:V470,V470)-1,0)</f>
        <v>0</v>
      </c>
      <c r="Y470" s="533"/>
      <c r="Z470" s="533" t="str">
        <f t="shared" si="96"/>
        <v/>
      </c>
      <c r="AA470" s="533" t="str">
        <f>IFERROR(RANK(Z470,Z$363:Z$487,0)+COUNTIF(Z$363:Z470,Z470)-1,"")</f>
        <v/>
      </c>
      <c r="AB470" s="533">
        <f t="shared" si="93"/>
        <v>0</v>
      </c>
      <c r="AC470" s="533">
        <f t="shared" si="94"/>
        <v>0</v>
      </c>
      <c r="AD470" s="533"/>
      <c r="AE470" s="533"/>
      <c r="AF470" s="533"/>
      <c r="AG470" s="533"/>
      <c r="AH470" s="533"/>
      <c r="AI470" s="533"/>
      <c r="AJ470" s="533"/>
      <c r="AK470" s="533"/>
      <c r="AL470" s="533"/>
      <c r="AM470" s="533"/>
      <c r="AN470" s="533"/>
      <c r="AO470" s="533"/>
      <c r="AP470" s="533"/>
      <c r="AQ470" s="533"/>
      <c r="AR470" s="533"/>
      <c r="AS470" s="533"/>
      <c r="AT470" s="533"/>
      <c r="AU470" s="533"/>
    </row>
    <row r="471" spans="1:47" ht="12.75" hidden="1" customHeight="1" x14ac:dyDescent="0.25">
      <c r="A471" s="41"/>
      <c r="B471" s="104" t="s">
        <v>510</v>
      </c>
      <c r="C471" s="695" t="s">
        <v>397</v>
      </c>
      <c r="D471" s="828"/>
      <c r="E471" s="828"/>
      <c r="F471" s="740" t="s">
        <v>395</v>
      </c>
      <c r="G471" s="26" t="s">
        <v>398</v>
      </c>
      <c r="H471" s="27">
        <f>VLOOKUP(C471,A!A$1:O$669,15,FALSE)</f>
        <v>1</v>
      </c>
      <c r="I471" s="27" t="s">
        <v>30</v>
      </c>
      <c r="J471" s="28">
        <f>IF(VLOOKUP(C471,A!A$1:O$669,11,FALSE)="y",1,0)</f>
        <v>0</v>
      </c>
      <c r="K471" s="28">
        <f>IF(VLOOKUP(C471,A!A$1:O$669,12,FALSE)="y",1,0)</f>
        <v>0</v>
      </c>
      <c r="L471" s="544" t="str">
        <f t="shared" si="91"/>
        <v>Low</v>
      </c>
      <c r="M471" s="27">
        <f>VLOOKUP(C471,A!A$1:O$669,13,FALSE)</f>
        <v>0</v>
      </c>
      <c r="N471" s="44">
        <v>2</v>
      </c>
      <c r="O471" s="533">
        <f>VLOOKUP(C471,A!A$1:O$669,9,FALSE)</f>
        <v>0</v>
      </c>
      <c r="P471" s="533" t="s">
        <v>1249</v>
      </c>
      <c r="Q471" s="533" t="str">
        <f>IF(S471=0,"",COUNTIF(Q$12:Q470,"&gt;0")+1)</f>
        <v/>
      </c>
      <c r="R471" s="533" t="str">
        <f>IF(S471=0,"",COUNTIF(R$12:R470,"&gt;0")+1)</f>
        <v/>
      </c>
      <c r="S471" s="533">
        <f t="shared" si="97"/>
        <v>0</v>
      </c>
      <c r="T471" s="533">
        <f>VLOOKUP(C471,A!A$1:AH$669,32,FALSE)</f>
        <v>0</v>
      </c>
      <c r="U471" s="533">
        <v>0.1</v>
      </c>
      <c r="V471" s="533"/>
      <c r="W471" s="533" t="str">
        <f t="shared" si="90"/>
        <v/>
      </c>
      <c r="X471" s="533">
        <f>IF(V471&lt;&gt;"",COUNTIF(V$46:V471,V471)-1,0)</f>
        <v>0</v>
      </c>
      <c r="Y471" s="533"/>
      <c r="Z471" s="533" t="str">
        <f t="shared" si="96"/>
        <v/>
      </c>
      <c r="AA471" s="533" t="str">
        <f>IFERROR(RANK(Z471,Z$363:Z$487,0)+COUNTIF(Z$363:Z471,Z471)-1,"")</f>
        <v/>
      </c>
      <c r="AB471" s="533">
        <f t="shared" si="93"/>
        <v>0</v>
      </c>
      <c r="AC471" s="533">
        <f t="shared" si="94"/>
        <v>0</v>
      </c>
      <c r="AD471" s="533"/>
      <c r="AE471" s="533"/>
      <c r="AF471" s="533"/>
      <c r="AG471" s="533"/>
      <c r="AH471" s="533"/>
      <c r="AI471" s="533"/>
      <c r="AJ471" s="533"/>
      <c r="AK471" s="533"/>
      <c r="AL471" s="533"/>
      <c r="AM471" s="533"/>
      <c r="AN471" s="533"/>
      <c r="AO471" s="533"/>
      <c r="AP471" s="533"/>
      <c r="AQ471" s="533"/>
      <c r="AR471" s="533"/>
      <c r="AS471" s="533"/>
      <c r="AT471" s="533"/>
      <c r="AU471" s="533"/>
    </row>
    <row r="472" spans="1:47" ht="12.75" hidden="1" customHeight="1" x14ac:dyDescent="0.25">
      <c r="A472" s="41"/>
      <c r="B472" s="104" t="s">
        <v>510</v>
      </c>
      <c r="C472" s="695" t="s">
        <v>399</v>
      </c>
      <c r="D472" s="828" t="s">
        <v>669</v>
      </c>
      <c r="E472" s="828"/>
      <c r="F472" s="740" t="s">
        <v>400</v>
      </c>
      <c r="G472" s="26" t="s">
        <v>401</v>
      </c>
      <c r="H472" s="27">
        <f>VLOOKUP(C472,A!A$1:O$669,15,FALSE)</f>
        <v>2</v>
      </c>
      <c r="I472" s="27"/>
      <c r="J472" s="28">
        <f>IF(VLOOKUP(C472,A!A$1:O$669,11,FALSE)="y",1,0)</f>
        <v>0</v>
      </c>
      <c r="K472" s="28">
        <f>IF(VLOOKUP(C472,A!A$1:O$669,12,FALSE)="y",1,0)</f>
        <v>0</v>
      </c>
      <c r="L472" s="544" t="str">
        <f t="shared" si="91"/>
        <v>Low</v>
      </c>
      <c r="M472" s="27">
        <f>VLOOKUP(C472,A!A$1:O$669,13,FALSE)</f>
        <v>0</v>
      </c>
      <c r="N472" s="44" t="s">
        <v>39</v>
      </c>
      <c r="O472" s="533">
        <f>VLOOKUP(C472,A!A$1:O$669,9,FALSE)</f>
        <v>0</v>
      </c>
      <c r="P472" s="533" t="s">
        <v>1249</v>
      </c>
      <c r="Q472" s="533" t="str">
        <f>IF(S472=0,"",COUNTIF(Q$12:Q471,"&gt;0")+1)</f>
        <v/>
      </c>
      <c r="R472" s="533" t="str">
        <f>IF(S472=0,"",COUNTIF(R$12:R471,"&gt;0")+1)</f>
        <v/>
      </c>
      <c r="S472" s="533">
        <f t="shared" si="97"/>
        <v>0</v>
      </c>
      <c r="T472" s="533">
        <f>VLOOKUP(C472,A!A$1:AH$669,32,FALSE)</f>
        <v>0</v>
      </c>
      <c r="U472" s="533">
        <v>0.1</v>
      </c>
      <c r="V472" s="533"/>
      <c r="W472" s="533" t="str">
        <f t="shared" ref="W472:W494" si="98">IF(AND(V472&lt;&gt;"",O472=0),"Check",IF(AND(V472=0,O472="Y"),"Check",""))</f>
        <v/>
      </c>
      <c r="X472" s="533">
        <f>IF(V472&lt;&gt;"",COUNTIF(V$46:V472,V472)-1,0)</f>
        <v>0</v>
      </c>
      <c r="Y472" s="533"/>
      <c r="Z472" s="533" t="str">
        <f t="shared" si="96"/>
        <v/>
      </c>
      <c r="AA472" s="533" t="str">
        <f>IFERROR(RANK(Z472,Z$363:Z$487,0)+COUNTIF(Z$363:Z472,Z472)-1,"")</f>
        <v/>
      </c>
      <c r="AB472" s="533">
        <f t="shared" si="93"/>
        <v>0</v>
      </c>
      <c r="AC472" s="533">
        <f t="shared" si="94"/>
        <v>0</v>
      </c>
      <c r="AD472" s="533"/>
      <c r="AE472" s="533"/>
      <c r="AF472" s="533"/>
      <c r="AG472" s="533"/>
      <c r="AH472" s="533"/>
      <c r="AI472" s="533"/>
      <c r="AJ472" s="533"/>
      <c r="AK472" s="533"/>
      <c r="AL472" s="533"/>
      <c r="AM472" s="533"/>
      <c r="AN472" s="533"/>
      <c r="AO472" s="533"/>
      <c r="AP472" s="533"/>
      <c r="AQ472" s="533"/>
      <c r="AR472" s="533"/>
      <c r="AS472" s="533"/>
      <c r="AT472" s="533"/>
      <c r="AU472" s="533"/>
    </row>
    <row r="473" spans="1:47" ht="12.75" hidden="1" customHeight="1" x14ac:dyDescent="0.25">
      <c r="A473" s="41"/>
      <c r="B473" s="104" t="s">
        <v>510</v>
      </c>
      <c r="C473" s="694" t="s">
        <v>414</v>
      </c>
      <c r="D473" s="828" t="s">
        <v>670</v>
      </c>
      <c r="E473" s="828"/>
      <c r="F473" s="740" t="s">
        <v>415</v>
      </c>
      <c r="G473" s="26" t="s">
        <v>416</v>
      </c>
      <c r="H473" s="27">
        <f>VLOOKUP(C473,A!A$1:O$669,15,FALSE)</f>
        <v>0</v>
      </c>
      <c r="I473" s="27"/>
      <c r="J473" s="28">
        <f>IF(VLOOKUP(C473,A!A$1:O$669,11,FALSE)="y",1,0)</f>
        <v>0</v>
      </c>
      <c r="K473" s="28">
        <f>IF(VLOOKUP(C473,A!A$1:O$669,12,FALSE)="y",1,0)</f>
        <v>0</v>
      </c>
      <c r="L473" s="544" t="str">
        <f t="shared" si="91"/>
        <v>Med</v>
      </c>
      <c r="M473" s="27">
        <f>VLOOKUP(C473,A!A$1:O$669,13,FALSE)</f>
        <v>0</v>
      </c>
      <c r="N473" s="44" t="s">
        <v>31</v>
      </c>
      <c r="O473" s="533">
        <f>VLOOKUP(C473,A!A$1:O$669,9,FALSE)</f>
        <v>0</v>
      </c>
      <c r="P473" s="533" t="s">
        <v>1249</v>
      </c>
      <c r="Q473" s="533" t="str">
        <f>IF(S473=0,"",COUNTIF(Q$12:Q472,"&gt;0")+1)</f>
        <v/>
      </c>
      <c r="R473" s="533" t="str">
        <f>IF(S473=0,"",COUNTIF(R$12:R472,"&gt;0")+1)</f>
        <v/>
      </c>
      <c r="S473" s="533">
        <f t="shared" ref="S473:S487" si="99">A473+Y473+AB473+AC473</f>
        <v>0</v>
      </c>
      <c r="T473" s="533">
        <v>35</v>
      </c>
      <c r="U473" s="533">
        <v>0.1</v>
      </c>
      <c r="V473" s="533"/>
      <c r="W473" s="533" t="str">
        <f t="shared" si="98"/>
        <v/>
      </c>
      <c r="X473" s="533">
        <f>IF(V473&lt;&gt;"",COUNTIF(V$46:V473,V473)-1,0)</f>
        <v>0</v>
      </c>
      <c r="Y473" s="533"/>
      <c r="Z473" s="533" t="str">
        <f t="shared" si="96"/>
        <v/>
      </c>
      <c r="AA473" s="533" t="str">
        <f>IFERROR(RANK(Z473,Z$363:Z$487,0)+COUNTIF(Z$363:Z473,Z473)-1,"")</f>
        <v/>
      </c>
      <c r="AB473" s="533">
        <f t="shared" si="93"/>
        <v>0</v>
      </c>
      <c r="AC473" s="533">
        <f t="shared" si="94"/>
        <v>0</v>
      </c>
      <c r="AD473" s="533"/>
      <c r="AE473" s="533"/>
      <c r="AF473" s="533"/>
      <c r="AG473" s="533"/>
      <c r="AH473" s="533"/>
      <c r="AI473" s="533"/>
      <c r="AJ473" s="533"/>
      <c r="AK473" s="533"/>
      <c r="AL473" s="533"/>
      <c r="AM473" s="533"/>
      <c r="AN473" s="533"/>
      <c r="AO473" s="533"/>
      <c r="AP473" s="533"/>
      <c r="AQ473" s="533"/>
      <c r="AR473" s="533"/>
      <c r="AS473" s="533"/>
      <c r="AT473" s="533"/>
      <c r="AU473" s="533"/>
    </row>
    <row r="474" spans="1:47" ht="12.75" hidden="1" customHeight="1" x14ac:dyDescent="0.25">
      <c r="A474" s="41"/>
      <c r="B474" s="104" t="s">
        <v>510</v>
      </c>
      <c r="C474" s="695" t="s">
        <v>417</v>
      </c>
      <c r="D474" s="828"/>
      <c r="E474" s="828"/>
      <c r="F474" s="740" t="s">
        <v>418</v>
      </c>
      <c r="G474" s="26" t="s">
        <v>671</v>
      </c>
      <c r="H474" s="27">
        <f>VLOOKUP(C474,A!A$1:O$669,15,FALSE)</f>
        <v>2</v>
      </c>
      <c r="I474" s="27" t="s">
        <v>30</v>
      </c>
      <c r="J474" s="28">
        <f>IF(VLOOKUP(C474,A!A$1:O$669,11,FALSE)="y",1,0)</f>
        <v>0</v>
      </c>
      <c r="K474" s="28">
        <f>IF(VLOOKUP(C474,A!A$1:O$669,12,FALSE)="y",1,0)</f>
        <v>0</v>
      </c>
      <c r="L474" s="544" t="str">
        <f t="shared" si="91"/>
        <v>Low</v>
      </c>
      <c r="M474" s="27">
        <f>VLOOKUP(C474,A!A$1:O$669,13,FALSE)</f>
        <v>0</v>
      </c>
      <c r="N474" s="44" t="s">
        <v>31</v>
      </c>
      <c r="O474" s="533">
        <f>VLOOKUP(C474,A!A$1:O$669,9,FALSE)</f>
        <v>0</v>
      </c>
      <c r="P474" s="533" t="s">
        <v>1249</v>
      </c>
      <c r="Q474" s="533" t="str">
        <f>IF(S474=0,"",COUNTIF(Q$12:Q473,"&gt;0")+1)</f>
        <v/>
      </c>
      <c r="R474" s="533" t="str">
        <f>IF(S474=0,"",COUNTIF(R$12:R473,"&gt;0")+1)</f>
        <v/>
      </c>
      <c r="S474" s="533">
        <f t="shared" si="99"/>
        <v>0</v>
      </c>
      <c r="T474" s="533">
        <f>VLOOKUP(C474,A!A$1:AH$669,32,FALSE)</f>
        <v>0</v>
      </c>
      <c r="U474" s="533">
        <v>0.1</v>
      </c>
      <c r="V474" s="533"/>
      <c r="W474" s="533" t="str">
        <f t="shared" si="98"/>
        <v/>
      </c>
      <c r="X474" s="533">
        <f>IF(V474&lt;&gt;"",COUNTIF(V$46:V474,V474)-1,0)</f>
        <v>0</v>
      </c>
      <c r="Y474" s="533"/>
      <c r="Z474" s="533" t="str">
        <f t="shared" si="96"/>
        <v/>
      </c>
      <c r="AA474" s="533" t="str">
        <f>IFERROR(RANK(Z474,Z$363:Z$487,0)+COUNTIF(Z$363:Z474,Z474)-1,"")</f>
        <v/>
      </c>
      <c r="AB474" s="533">
        <f t="shared" si="93"/>
        <v>0</v>
      </c>
      <c r="AC474" s="533">
        <f t="shared" si="94"/>
        <v>0</v>
      </c>
      <c r="AD474" s="533"/>
      <c r="AE474" s="533"/>
      <c r="AF474" s="533"/>
      <c r="AG474" s="533"/>
      <c r="AH474" s="533"/>
      <c r="AI474" s="533"/>
      <c r="AJ474" s="533"/>
      <c r="AK474" s="533"/>
      <c r="AL474" s="533"/>
      <c r="AM474" s="533"/>
      <c r="AN474" s="533"/>
      <c r="AO474" s="533"/>
      <c r="AP474" s="533"/>
      <c r="AQ474" s="533"/>
      <c r="AR474" s="533"/>
      <c r="AS474" s="533"/>
      <c r="AT474" s="533"/>
      <c r="AU474" s="533"/>
    </row>
    <row r="475" spans="1:47" ht="12.75" hidden="1" customHeight="1" x14ac:dyDescent="0.25">
      <c r="A475" s="41"/>
      <c r="B475" s="104" t="s">
        <v>510</v>
      </c>
      <c r="C475" s="695" t="s">
        <v>1075</v>
      </c>
      <c r="D475" s="828"/>
      <c r="E475" s="828"/>
      <c r="F475" s="740" t="s">
        <v>421</v>
      </c>
      <c r="G475" s="26" t="s">
        <v>422</v>
      </c>
      <c r="H475" s="27">
        <f>VLOOKUP(C475,A!A$1:O$669,15,FALSE)</f>
        <v>1</v>
      </c>
      <c r="I475" s="27"/>
      <c r="J475" s="28">
        <f>IF(VLOOKUP(C475,A!A$1:O$669,11,FALSE)="y",1,0)</f>
        <v>0</v>
      </c>
      <c r="K475" s="28">
        <f>IF(VLOOKUP(C475,A!A$1:O$669,12,FALSE)="y",1,0)</f>
        <v>0</v>
      </c>
      <c r="L475" s="544" t="str">
        <f t="shared" si="91"/>
        <v>Low</v>
      </c>
      <c r="M475" s="27">
        <f>VLOOKUP(C475,A!A$1:O$669,13,FALSE)</f>
        <v>0</v>
      </c>
      <c r="N475" s="44" t="s">
        <v>31</v>
      </c>
      <c r="O475" s="533">
        <f>VLOOKUP(C475,A!A$1:O$669,9,FALSE)</f>
        <v>0</v>
      </c>
      <c r="P475" s="533" t="s">
        <v>1249</v>
      </c>
      <c r="Q475" s="533" t="str">
        <f>IF(S475=0,"",COUNTIF(Q$12:Q474,"&gt;0")+1)</f>
        <v/>
      </c>
      <c r="R475" s="533" t="str">
        <f>IF(S475=0,"",COUNTIF(R$12:R474,"&gt;0")+1)</f>
        <v/>
      </c>
      <c r="S475" s="533">
        <f t="shared" si="99"/>
        <v>0</v>
      </c>
      <c r="T475" s="533">
        <f>VLOOKUP(C475,A!A$1:AH$669,32,FALSE)</f>
        <v>0</v>
      </c>
      <c r="U475" s="533">
        <v>0.1</v>
      </c>
      <c r="V475" s="533"/>
      <c r="W475" s="533" t="str">
        <f t="shared" si="98"/>
        <v/>
      </c>
      <c r="X475" s="533">
        <f>IF(V475&lt;&gt;"",COUNTIF(V$46:V475,V475)-1,0)</f>
        <v>0</v>
      </c>
      <c r="Y475" s="533"/>
      <c r="Z475" s="533" t="str">
        <f t="shared" si="96"/>
        <v/>
      </c>
      <c r="AA475" s="533" t="str">
        <f>IFERROR(RANK(Z475,Z$363:Z$487,0)+COUNTIF(Z$363:Z475,Z475)-1,"")</f>
        <v/>
      </c>
      <c r="AB475" s="533">
        <f t="shared" si="93"/>
        <v>0</v>
      </c>
      <c r="AC475" s="533">
        <f t="shared" si="94"/>
        <v>0</v>
      </c>
      <c r="AD475" s="533"/>
      <c r="AE475" s="533"/>
      <c r="AF475" s="533"/>
      <c r="AG475" s="533"/>
      <c r="AH475" s="533"/>
      <c r="AI475" s="533"/>
      <c r="AJ475" s="533"/>
      <c r="AK475" s="533"/>
      <c r="AL475" s="533"/>
      <c r="AM475" s="533"/>
      <c r="AN475" s="533"/>
      <c r="AO475" s="533"/>
      <c r="AP475" s="533"/>
      <c r="AQ475" s="533"/>
      <c r="AR475" s="533"/>
      <c r="AS475" s="533"/>
      <c r="AT475" s="533"/>
      <c r="AU475" s="533"/>
    </row>
    <row r="476" spans="1:47" ht="12.75" hidden="1" customHeight="1" x14ac:dyDescent="0.25">
      <c r="A476" s="41"/>
      <c r="B476" s="104" t="s">
        <v>510</v>
      </c>
      <c r="C476" s="695" t="s">
        <v>672</v>
      </c>
      <c r="D476" s="828"/>
      <c r="E476" s="828"/>
      <c r="F476" s="740" t="s">
        <v>673</v>
      </c>
      <c r="G476" s="26" t="s">
        <v>674</v>
      </c>
      <c r="H476" s="27">
        <f>VLOOKUP(C476,A!A$1:O$669,15,FALSE)</f>
        <v>0</v>
      </c>
      <c r="I476" s="27"/>
      <c r="J476" s="28">
        <f>IF(VLOOKUP(C476,A!A$1:O$669,11,FALSE)="y",1,0)</f>
        <v>0</v>
      </c>
      <c r="K476" s="28">
        <f>IF(VLOOKUP(C476,A!A$1:O$669,12,FALSE)="y",1,0)</f>
        <v>0</v>
      </c>
      <c r="L476" s="544" t="str">
        <f t="shared" si="91"/>
        <v>Low</v>
      </c>
      <c r="M476" s="27">
        <f>VLOOKUP(C476,A!A$1:O$669,13,FALSE)</f>
        <v>0</v>
      </c>
      <c r="N476" s="44">
        <v>1</v>
      </c>
      <c r="O476" s="533">
        <f>VLOOKUP(C476,A!A$1:O$669,9,FALSE)</f>
        <v>0</v>
      </c>
      <c r="P476" s="533" t="s">
        <v>1249</v>
      </c>
      <c r="Q476" s="533" t="str">
        <f>IF(S476=0,"",COUNTIF(Q$12:Q475,"&gt;0")+1)</f>
        <v/>
      </c>
      <c r="R476" s="533" t="str">
        <f>IF(S476=0,"",COUNTIF(R$12:R475,"&gt;0")+1)</f>
        <v/>
      </c>
      <c r="S476" s="533">
        <f t="shared" si="99"/>
        <v>0</v>
      </c>
      <c r="T476" s="533">
        <f>VLOOKUP(C476,A!A$1:AH$669,32,FALSE)</f>
        <v>0</v>
      </c>
      <c r="U476" s="533">
        <v>0.1</v>
      </c>
      <c r="V476" s="533"/>
      <c r="W476" s="533" t="str">
        <f t="shared" si="98"/>
        <v/>
      </c>
      <c r="X476" s="533">
        <f>IF(V476&lt;&gt;"",COUNTIF(V$46:V476,V476)-1,0)</f>
        <v>0</v>
      </c>
      <c r="Y476" s="533"/>
      <c r="Z476" s="533" t="str">
        <f t="shared" si="96"/>
        <v/>
      </c>
      <c r="AA476" s="533" t="str">
        <f>IFERROR(RANK(Z476,Z$363:Z$487,0)+COUNTIF(Z$363:Z476,Z476)-1,"")</f>
        <v/>
      </c>
      <c r="AB476" s="533">
        <f t="shared" si="93"/>
        <v>0</v>
      </c>
      <c r="AC476" s="533">
        <f t="shared" si="94"/>
        <v>0</v>
      </c>
      <c r="AD476" s="533"/>
      <c r="AE476" s="533"/>
      <c r="AF476" s="533"/>
      <c r="AG476" s="533"/>
      <c r="AH476" s="533"/>
      <c r="AI476" s="533"/>
      <c r="AJ476" s="533"/>
      <c r="AK476" s="533"/>
      <c r="AL476" s="533"/>
      <c r="AM476" s="533"/>
      <c r="AN476" s="533"/>
      <c r="AO476" s="533"/>
      <c r="AP476" s="533"/>
      <c r="AQ476" s="533"/>
      <c r="AR476" s="533"/>
      <c r="AS476" s="533"/>
      <c r="AT476" s="533"/>
      <c r="AU476" s="533"/>
    </row>
    <row r="477" spans="1:47" ht="12.75" hidden="1" customHeight="1" x14ac:dyDescent="0.25">
      <c r="A477" s="41"/>
      <c r="B477" s="104" t="s">
        <v>510</v>
      </c>
      <c r="C477" s="694" t="s">
        <v>429</v>
      </c>
      <c r="D477" s="828"/>
      <c r="E477" s="828"/>
      <c r="F477" s="740" t="s">
        <v>430</v>
      </c>
      <c r="G477" s="26" t="s">
        <v>431</v>
      </c>
      <c r="H477" s="27">
        <v>2</v>
      </c>
      <c r="I477" s="27"/>
      <c r="J477" s="28">
        <f>IF(VLOOKUP(C477,A!A$1:O$669,11,FALSE)="y",1,0)</f>
        <v>0</v>
      </c>
      <c r="K477" s="28"/>
      <c r="L477" s="544" t="str">
        <f t="shared" si="91"/>
        <v>Low</v>
      </c>
      <c r="M477" s="27"/>
      <c r="N477" s="44" t="s">
        <v>31</v>
      </c>
      <c r="O477" s="533">
        <f>VLOOKUP(C477,A!A$1:O$669,9,FALSE)</f>
        <v>0</v>
      </c>
      <c r="P477" s="533" t="s">
        <v>1249</v>
      </c>
      <c r="Q477" s="533" t="str">
        <f>IF(S477=0,"",COUNTIF(Q$12:Q476,"&gt;0")+1)</f>
        <v/>
      </c>
      <c r="R477" s="533" t="str">
        <f>IF(S477=0,"",COUNTIF(R$12:R476,"&gt;0")+1)</f>
        <v/>
      </c>
      <c r="S477" s="533">
        <f t="shared" si="99"/>
        <v>0</v>
      </c>
      <c r="T477" s="533">
        <f>VLOOKUP(C477,A!A$1:AH$669,32,FALSE)</f>
        <v>0</v>
      </c>
      <c r="U477" s="533">
        <v>0.1</v>
      </c>
      <c r="V477" s="533"/>
      <c r="W477" s="533" t="str">
        <f t="shared" si="98"/>
        <v/>
      </c>
      <c r="X477" s="533">
        <f>IF(V477&lt;&gt;"",COUNTIF(V$46:V477,V477)-1,0)</f>
        <v>0</v>
      </c>
      <c r="Y477" s="533"/>
      <c r="Z477" s="533" t="str">
        <f t="shared" si="96"/>
        <v/>
      </c>
      <c r="AA477" s="533" t="str">
        <f>IFERROR(RANK(Z477,Z$363:Z$487,0)+COUNTIF(Z$363:Z477,Z477)-1,"")</f>
        <v/>
      </c>
      <c r="AB477" s="533">
        <f t="shared" si="93"/>
        <v>0</v>
      </c>
      <c r="AC477" s="533">
        <f t="shared" si="94"/>
        <v>0</v>
      </c>
      <c r="AD477" s="533"/>
      <c r="AE477" s="533"/>
      <c r="AF477" s="533"/>
      <c r="AG477" s="533"/>
      <c r="AH477" s="533"/>
      <c r="AI477" s="533"/>
      <c r="AJ477" s="533"/>
      <c r="AK477" s="533"/>
      <c r="AL477" s="533"/>
      <c r="AM477" s="533"/>
      <c r="AN477" s="533"/>
      <c r="AO477" s="533"/>
      <c r="AP477" s="533"/>
      <c r="AQ477" s="533"/>
      <c r="AR477" s="533"/>
      <c r="AS477" s="533"/>
      <c r="AT477" s="533"/>
      <c r="AU477" s="533"/>
    </row>
    <row r="478" spans="1:47" ht="12.75" hidden="1" customHeight="1" x14ac:dyDescent="0.25">
      <c r="A478" s="41"/>
      <c r="B478" s="104" t="s">
        <v>510</v>
      </c>
      <c r="C478" s="695" t="s">
        <v>675</v>
      </c>
      <c r="D478" s="828"/>
      <c r="E478" s="828"/>
      <c r="F478" s="740" t="s">
        <v>436</v>
      </c>
      <c r="G478" s="26" t="s">
        <v>437</v>
      </c>
      <c r="H478" s="27">
        <f>VLOOKUP(C478,A!A$1:O$669,15,FALSE)</f>
        <v>1</v>
      </c>
      <c r="I478" s="27"/>
      <c r="J478" s="28">
        <f>IF(VLOOKUP(C478,A!A$1:O$669,11,FALSE)="y",1,0)</f>
        <v>0</v>
      </c>
      <c r="K478" s="28">
        <f>IF(VLOOKUP(C478,A!A$1:O$669,12,FALSE)="y",1,0)</f>
        <v>0</v>
      </c>
      <c r="L478" s="544" t="str">
        <f t="shared" si="91"/>
        <v>Low</v>
      </c>
      <c r="M478" s="27">
        <f>VLOOKUP(C478,A!A$1:O$669,13,FALSE)</f>
        <v>0</v>
      </c>
      <c r="N478" s="44" t="s">
        <v>31</v>
      </c>
      <c r="O478" s="533">
        <f>VLOOKUP(C478,A!A$1:O$669,9,FALSE)</f>
        <v>0</v>
      </c>
      <c r="P478" s="533" t="s">
        <v>1249</v>
      </c>
      <c r="Q478" s="533" t="str">
        <f>IF(S478=0,"",COUNTIF(Q$12:Q477,"&gt;0")+1)</f>
        <v/>
      </c>
      <c r="R478" s="533" t="str">
        <f>IF(S478=0,"",COUNTIF(R$12:R477,"&gt;0")+1)</f>
        <v/>
      </c>
      <c r="S478" s="533">
        <f t="shared" si="99"/>
        <v>0</v>
      </c>
      <c r="T478" s="533">
        <f>VLOOKUP(C478,A!A$1:AH$669,32,FALSE)</f>
        <v>0</v>
      </c>
      <c r="U478" s="533">
        <v>0.1</v>
      </c>
      <c r="V478" s="533"/>
      <c r="W478" s="533" t="str">
        <f>IF(AND(V478&lt;&gt;"",O478=0),"Check",IF(AND(V478=0,O478="Y"),"Check",""))</f>
        <v/>
      </c>
      <c r="X478" s="533">
        <f>IF(V478&lt;&gt;"",COUNTIF(V$46:V478,V478)-1,0)</f>
        <v>0</v>
      </c>
      <c r="Y478" s="533"/>
      <c r="Z478" s="533" t="str">
        <f t="shared" si="96"/>
        <v/>
      </c>
      <c r="AA478" s="533" t="str">
        <f>IFERROR(RANK(Z478,Z$363:Z$487,0)+COUNTIF(Z$363:Z478,Z478)-1,"")</f>
        <v/>
      </c>
      <c r="AB478" s="533">
        <f t="shared" si="93"/>
        <v>0</v>
      </c>
      <c r="AC478" s="533">
        <f t="shared" si="94"/>
        <v>0</v>
      </c>
      <c r="AD478" s="533"/>
      <c r="AE478" s="533"/>
      <c r="AF478" s="533"/>
      <c r="AG478" s="533"/>
      <c r="AH478" s="533"/>
      <c r="AI478" s="533"/>
      <c r="AJ478" s="533"/>
      <c r="AK478" s="533"/>
      <c r="AL478" s="533"/>
      <c r="AM478" s="533"/>
      <c r="AN478" s="533"/>
      <c r="AO478" s="533"/>
      <c r="AP478" s="533"/>
      <c r="AQ478" s="533"/>
      <c r="AR478" s="533"/>
      <c r="AS478" s="533"/>
      <c r="AT478" s="533"/>
      <c r="AU478" s="533"/>
    </row>
    <row r="479" spans="1:47" ht="12.75" customHeight="1" x14ac:dyDescent="0.25">
      <c r="A479" s="41"/>
      <c r="B479" s="104" t="s">
        <v>510</v>
      </c>
      <c r="C479" s="695" t="s">
        <v>441</v>
      </c>
      <c r="D479" s="828"/>
      <c r="E479" s="828"/>
      <c r="F479" s="743" t="s">
        <v>442</v>
      </c>
      <c r="G479" s="42" t="s">
        <v>443</v>
      </c>
      <c r="H479" s="27">
        <v>2</v>
      </c>
      <c r="I479" s="27"/>
      <c r="J479" s="28">
        <f>IF(VLOOKUP(C479,A!A$1:O$669,11,FALSE)="y",1,0)</f>
        <v>1</v>
      </c>
      <c r="K479" s="28">
        <f>IF(VLOOKUP(C479,A!A$1:O$669,12,FALSE)="y",1,0)</f>
        <v>0</v>
      </c>
      <c r="L479" s="544" t="str">
        <f t="shared" si="91"/>
        <v>Med</v>
      </c>
      <c r="M479" s="27"/>
      <c r="N479" s="44" t="s">
        <v>31</v>
      </c>
      <c r="O479" s="533" t="str">
        <f>VLOOKUP(C479,A!A$1:O$669,9,FALSE)</f>
        <v>y</v>
      </c>
      <c r="P479" s="533" t="s">
        <v>1249</v>
      </c>
      <c r="Q479" s="533" t="str">
        <f>IF(S479=0,"",COUNTIF(Q$12:Q478,"&gt;0")+1)</f>
        <v/>
      </c>
      <c r="R479" s="533" t="str">
        <f>IF(S479=0,"",COUNTIF(R$12:R478,"&gt;0")+1)</f>
        <v/>
      </c>
      <c r="S479" s="533">
        <f t="shared" si="99"/>
        <v>0</v>
      </c>
      <c r="T479" s="533">
        <f>VLOOKUP(C479,A!A$1:AH$669,32,FALSE)</f>
        <v>35</v>
      </c>
      <c r="U479" s="533">
        <v>0.1</v>
      </c>
      <c r="V479" s="533">
        <v>101</v>
      </c>
      <c r="W479" s="533" t="str">
        <f t="shared" si="98"/>
        <v/>
      </c>
      <c r="X479" s="533">
        <f>IF(V479&lt;&gt;"",COUNTIF(V$46:V479,V479)-1,0)</f>
        <v>0</v>
      </c>
      <c r="Y479" s="533"/>
      <c r="Z479" s="533">
        <f t="shared" si="96"/>
        <v>-235</v>
      </c>
      <c r="AA479" s="533">
        <f>IFERROR(RANK(Z479,Z$363:Z$487,0)+COUNTIF(Z$363:Z479,Z479)-1,"")</f>
        <v>14</v>
      </c>
      <c r="AB479" s="533">
        <f t="shared" si="93"/>
        <v>0</v>
      </c>
      <c r="AC479" s="533">
        <f t="shared" si="94"/>
        <v>0</v>
      </c>
      <c r="AD479" s="533"/>
      <c r="AE479" s="533"/>
      <c r="AF479" s="533"/>
      <c r="AG479" s="533"/>
      <c r="AH479" s="533"/>
      <c r="AI479" s="533"/>
      <c r="AJ479" s="533"/>
      <c r="AK479" s="533"/>
      <c r="AL479" s="533"/>
      <c r="AM479" s="533"/>
      <c r="AN479" s="533"/>
      <c r="AO479" s="533"/>
      <c r="AP479" s="533"/>
      <c r="AQ479" s="533"/>
      <c r="AR479" s="533"/>
      <c r="AS479" s="533"/>
      <c r="AT479" s="533"/>
      <c r="AU479" s="533"/>
    </row>
    <row r="480" spans="1:47" ht="12.75" hidden="1" customHeight="1" x14ac:dyDescent="0.25">
      <c r="A480" s="41"/>
      <c r="B480" s="104" t="s">
        <v>510</v>
      </c>
      <c r="C480" s="695" t="s">
        <v>444</v>
      </c>
      <c r="D480" s="828"/>
      <c r="E480" s="828"/>
      <c r="F480" s="740" t="s">
        <v>676</v>
      </c>
      <c r="G480" s="26" t="s">
        <v>677</v>
      </c>
      <c r="H480" s="27">
        <f>VLOOKUP(C480,A!A$1:O$669,15,FALSE)</f>
        <v>2</v>
      </c>
      <c r="I480" s="27"/>
      <c r="J480" s="28">
        <f>IF(VLOOKUP(C480,A!A$1:O$669,11,FALSE)="y",1,0)</f>
        <v>0</v>
      </c>
      <c r="K480" s="28">
        <f>IF(VLOOKUP(C480,A!A$1:O$669,12,FALSE)="y",1,0)</f>
        <v>0</v>
      </c>
      <c r="L480" s="544" t="str">
        <f t="shared" si="91"/>
        <v>Low</v>
      </c>
      <c r="M480" s="27">
        <f>VLOOKUP(C480,A!A$1:O$669,13,FALSE)</f>
        <v>0</v>
      </c>
      <c r="N480" s="44" t="s">
        <v>31</v>
      </c>
      <c r="O480" s="533">
        <f>VLOOKUP(C480,A!A$1:O$669,9,FALSE)</f>
        <v>0</v>
      </c>
      <c r="P480" s="533" t="s">
        <v>1249</v>
      </c>
      <c r="Q480" s="533" t="str">
        <f>IF(S480=0,"",COUNTIF(Q$12:Q479,"&gt;0")+1)</f>
        <v/>
      </c>
      <c r="R480" s="533" t="str">
        <f>IF(S480=0,"",COUNTIF(R$12:R479,"&gt;0")+1)</f>
        <v/>
      </c>
      <c r="S480" s="533">
        <f t="shared" si="99"/>
        <v>0</v>
      </c>
      <c r="T480" s="533">
        <f>VLOOKUP(C480,A!A$1:AH$669,32,FALSE)</f>
        <v>0</v>
      </c>
      <c r="U480" s="533">
        <v>0.1</v>
      </c>
      <c r="V480" s="533"/>
      <c r="W480" s="533" t="str">
        <f t="shared" si="98"/>
        <v/>
      </c>
      <c r="X480" s="533">
        <f>IF(V480&lt;&gt;"",COUNTIF(V$46:V480,V480)-1,0)</f>
        <v>0</v>
      </c>
      <c r="Y480" s="533"/>
      <c r="Z480" s="533" t="str">
        <f t="shared" si="96"/>
        <v/>
      </c>
      <c r="AA480" s="533" t="str">
        <f>IFERROR(RANK(Z480,Z$363:Z$487,0)+COUNTIF(Z$363:Z480,Z480)-1,"")</f>
        <v/>
      </c>
      <c r="AB480" s="533">
        <f t="shared" si="93"/>
        <v>0</v>
      </c>
      <c r="AC480" s="533">
        <f t="shared" si="94"/>
        <v>0</v>
      </c>
      <c r="AD480" s="533"/>
      <c r="AE480" s="533"/>
      <c r="AF480" s="533"/>
      <c r="AG480" s="533"/>
      <c r="AH480" s="533"/>
      <c r="AI480" s="533"/>
      <c r="AJ480" s="533"/>
      <c r="AK480" s="533"/>
      <c r="AL480" s="533"/>
      <c r="AM480" s="533"/>
      <c r="AN480" s="533"/>
      <c r="AO480" s="533"/>
      <c r="AP480" s="533"/>
      <c r="AQ480" s="533"/>
      <c r="AR480" s="533"/>
      <c r="AS480" s="533"/>
      <c r="AT480" s="533"/>
      <c r="AU480" s="533"/>
    </row>
    <row r="481" spans="1:47" ht="12.75" hidden="1" customHeight="1" x14ac:dyDescent="0.25">
      <c r="A481" s="41"/>
      <c r="B481" s="104" t="s">
        <v>510</v>
      </c>
      <c r="C481" s="695" t="s">
        <v>445</v>
      </c>
      <c r="D481" s="828"/>
      <c r="E481" s="828"/>
      <c r="F481" s="740" t="s">
        <v>996</v>
      </c>
      <c r="G481" s="26" t="s">
        <v>447</v>
      </c>
      <c r="H481" s="27">
        <f>VLOOKUP(C481,A!A$1:O$669,15,FALSE)</f>
        <v>2</v>
      </c>
      <c r="I481" s="27" t="s">
        <v>30</v>
      </c>
      <c r="J481" s="28">
        <f>IF(VLOOKUP(C481,A!A$1:O$669,11,FALSE)="y",1,0)</f>
        <v>0</v>
      </c>
      <c r="K481" s="28">
        <f>IF(VLOOKUP(C481,A!A$1:O$669,12,FALSE)="y",1,0)</f>
        <v>0</v>
      </c>
      <c r="L481" s="544" t="str">
        <f t="shared" si="91"/>
        <v>Low</v>
      </c>
      <c r="M481" s="27">
        <f>VLOOKUP(C481,A!A$1:O$669,13,FALSE)</f>
        <v>0</v>
      </c>
      <c r="N481" s="44" t="s">
        <v>31</v>
      </c>
      <c r="O481" s="533">
        <f>VLOOKUP(C481,A!A$1:O$669,9,FALSE)</f>
        <v>0</v>
      </c>
      <c r="P481" s="533" t="s">
        <v>1249</v>
      </c>
      <c r="Q481" s="533" t="str">
        <f>IF(S481=0,"",COUNTIF(Q$12:Q480,"&gt;0")+1)</f>
        <v/>
      </c>
      <c r="R481" s="533" t="str">
        <f>IF(S481=0,"",COUNTIF(R$12:R480,"&gt;0")+1)</f>
        <v/>
      </c>
      <c r="S481" s="533">
        <f t="shared" si="99"/>
        <v>0</v>
      </c>
      <c r="T481" s="533">
        <f>VLOOKUP(C481,A!A$1:AH$669,32,FALSE)</f>
        <v>0</v>
      </c>
      <c r="U481" s="533">
        <v>0.1</v>
      </c>
      <c r="V481" s="533"/>
      <c r="W481" s="533" t="str">
        <f t="shared" si="98"/>
        <v/>
      </c>
      <c r="X481" s="533">
        <f>IF(V481&lt;&gt;"",COUNTIF(V$46:V481,V481)-1,0)</f>
        <v>0</v>
      </c>
      <c r="Y481" s="533"/>
      <c r="Z481" s="533" t="str">
        <f t="shared" si="96"/>
        <v/>
      </c>
      <c r="AA481" s="533" t="str">
        <f>IFERROR(RANK(Z481,Z$363:Z$487,0)+COUNTIF(Z$363:Z481,Z481)-1,"")</f>
        <v/>
      </c>
      <c r="AB481" s="533">
        <f t="shared" si="93"/>
        <v>0</v>
      </c>
      <c r="AC481" s="533">
        <f t="shared" si="94"/>
        <v>0</v>
      </c>
      <c r="AD481" s="533"/>
      <c r="AE481" s="533"/>
      <c r="AF481" s="533"/>
      <c r="AG481" s="533"/>
      <c r="AH481" s="533"/>
      <c r="AI481" s="533"/>
      <c r="AJ481" s="533"/>
      <c r="AK481" s="533"/>
      <c r="AL481" s="533"/>
      <c r="AM481" s="533"/>
      <c r="AN481" s="533"/>
      <c r="AO481" s="533"/>
      <c r="AP481" s="533"/>
      <c r="AQ481" s="533"/>
      <c r="AR481" s="533"/>
      <c r="AS481" s="533"/>
      <c r="AT481" s="533"/>
      <c r="AU481" s="533"/>
    </row>
    <row r="482" spans="1:47" ht="12.75" hidden="1" customHeight="1" x14ac:dyDescent="0.25">
      <c r="A482" s="41"/>
      <c r="B482" s="104" t="s">
        <v>510</v>
      </c>
      <c r="C482" s="695" t="s">
        <v>448</v>
      </c>
      <c r="D482" s="828"/>
      <c r="E482" s="828"/>
      <c r="F482" s="740" t="s">
        <v>449</v>
      </c>
      <c r="G482" s="26" t="s">
        <v>450</v>
      </c>
      <c r="H482" s="27">
        <f>VLOOKUP(C482,A!A$1:O$669,15,FALSE)</f>
        <v>2</v>
      </c>
      <c r="I482" s="27"/>
      <c r="J482" s="28">
        <f>IF(VLOOKUP(C482,A!A$1:O$669,11,FALSE)="y",1,0)</f>
        <v>1</v>
      </c>
      <c r="K482" s="28">
        <f>IF(VLOOKUP(C482,A!A$1:O$669,12,FALSE)="y",1,0)</f>
        <v>0</v>
      </c>
      <c r="L482" s="544" t="str">
        <f t="shared" si="91"/>
        <v>Med</v>
      </c>
      <c r="M482" s="27">
        <f>VLOOKUP(C482,A!A$1:O$669,13,FALSE)</f>
        <v>0</v>
      </c>
      <c r="N482" s="44" t="s">
        <v>31</v>
      </c>
      <c r="O482" s="533">
        <f>VLOOKUP(C482,A!A$1:O$669,9,FALSE)</f>
        <v>0</v>
      </c>
      <c r="P482" s="533" t="s">
        <v>1249</v>
      </c>
      <c r="Q482" s="533" t="str">
        <f>IF(S482=0,"",COUNTIF(Q$12:Q481,"&gt;0")+1)</f>
        <v/>
      </c>
      <c r="R482" s="533" t="str">
        <f>IF(S482=0,"",COUNTIF(R$12:R481,"&gt;0")+1)</f>
        <v/>
      </c>
      <c r="S482" s="533">
        <f t="shared" si="99"/>
        <v>0</v>
      </c>
      <c r="T482" s="533">
        <f>VLOOKUP(C482,A!A$1:AH$669,32,FALSE)</f>
        <v>35</v>
      </c>
      <c r="U482" s="533">
        <v>0.1</v>
      </c>
      <c r="V482" s="533"/>
      <c r="W482" s="533" t="str">
        <f t="shared" si="98"/>
        <v/>
      </c>
      <c r="X482" s="533">
        <f>IF(V482&lt;&gt;"",COUNTIF(V$46:V482,V482)-1,0)</f>
        <v>0</v>
      </c>
      <c r="Y482" s="533"/>
      <c r="Z482" s="533" t="str">
        <f t="shared" si="96"/>
        <v/>
      </c>
      <c r="AA482" s="533" t="str">
        <f>IFERROR(RANK(Z482,Z$363:Z$487,0)+COUNTIF(Z$363:Z482,Z482)-1,"")</f>
        <v/>
      </c>
      <c r="AB482" s="533">
        <f t="shared" si="93"/>
        <v>0</v>
      </c>
      <c r="AC482" s="533">
        <f t="shared" si="94"/>
        <v>0</v>
      </c>
      <c r="AD482" s="533"/>
      <c r="AE482" s="533"/>
      <c r="AF482" s="533"/>
      <c r="AG482" s="533"/>
      <c r="AH482" s="533"/>
      <c r="AI482" s="533"/>
      <c r="AJ482" s="533"/>
      <c r="AK482" s="533"/>
      <c r="AL482" s="533"/>
      <c r="AM482" s="533"/>
      <c r="AN482" s="533"/>
      <c r="AO482" s="533"/>
      <c r="AP482" s="533"/>
      <c r="AQ482" s="533"/>
      <c r="AR482" s="533"/>
      <c r="AS482" s="533"/>
      <c r="AT482" s="533"/>
      <c r="AU482" s="533"/>
    </row>
    <row r="483" spans="1:47" ht="13.5" customHeight="1" thickBot="1" x14ac:dyDescent="0.3">
      <c r="A483" s="41"/>
      <c r="B483" s="104" t="s">
        <v>510</v>
      </c>
      <c r="C483" s="695" t="s">
        <v>451</v>
      </c>
      <c r="D483" s="828"/>
      <c r="E483" s="828"/>
      <c r="F483" s="740" t="s">
        <v>452</v>
      </c>
      <c r="G483" s="26" t="s">
        <v>453</v>
      </c>
      <c r="H483" s="27">
        <f>VLOOKUP(C483,A!A$1:O$669,15,FALSE)</f>
        <v>1</v>
      </c>
      <c r="I483" s="27"/>
      <c r="J483" s="28">
        <f>IF(VLOOKUP(C483,A!A$1:O$669,11,FALSE)="y",1,0)</f>
        <v>1</v>
      </c>
      <c r="K483" s="28">
        <f>IF(VLOOKUP(C483,A!A$1:O$669,12,FALSE)="y",1,0)</f>
        <v>0</v>
      </c>
      <c r="L483" s="544" t="str">
        <f t="shared" si="91"/>
        <v>Med</v>
      </c>
      <c r="M483" s="27">
        <f>VLOOKUP(C483,A!A$1:O$669,13,FALSE)</f>
        <v>0</v>
      </c>
      <c r="N483" s="44">
        <v>2</v>
      </c>
      <c r="O483" s="533" t="str">
        <f>VLOOKUP(C483,A!A$1:O$669,9,FALSE)</f>
        <v>y</v>
      </c>
      <c r="P483" s="533" t="s">
        <v>1249</v>
      </c>
      <c r="Q483" s="533" t="str">
        <f>IF(S483=0,"",COUNTIF(Q$12:Q482,"&gt;0")+1)</f>
        <v/>
      </c>
      <c r="R483" s="533" t="str">
        <f>IF(S483=0,"",COUNTIF(R$12:R482,"&gt;0")+1)</f>
        <v/>
      </c>
      <c r="S483" s="533">
        <f>A483+Y483+AB483+AC483</f>
        <v>0</v>
      </c>
      <c r="T483" s="533">
        <f>VLOOKUP(C483,A!A$1:AH$669,32,FALSE)</f>
        <v>35</v>
      </c>
      <c r="U483" s="533">
        <v>0.1</v>
      </c>
      <c r="V483" s="533">
        <v>102</v>
      </c>
      <c r="W483" s="533" t="str">
        <f t="shared" si="98"/>
        <v/>
      </c>
      <c r="X483" s="533">
        <f>IF(V483&lt;&gt;"",COUNTIF(V$46:V483,V483)-1,0)</f>
        <v>0</v>
      </c>
      <c r="Y483" s="533"/>
      <c r="Z483" s="533">
        <f t="shared" si="96"/>
        <v>-135</v>
      </c>
      <c r="AA483" s="533">
        <f>IFERROR(RANK(Z483,Z$363:Z$487,0)+COUNTIF(Z$363:Z483,Z483)-1,"")</f>
        <v>6</v>
      </c>
      <c r="AB483" s="533">
        <f t="shared" si="93"/>
        <v>0</v>
      </c>
      <c r="AC483" s="533">
        <f t="shared" si="94"/>
        <v>0</v>
      </c>
      <c r="AD483" s="533"/>
      <c r="AE483" s="533"/>
      <c r="AF483" s="533"/>
      <c r="AG483" s="533"/>
      <c r="AH483" s="533"/>
      <c r="AI483" s="533"/>
      <c r="AJ483" s="533"/>
      <c r="AK483" s="533"/>
      <c r="AL483" s="533"/>
      <c r="AM483" s="533"/>
      <c r="AN483" s="533"/>
      <c r="AO483" s="533"/>
      <c r="AP483" s="533"/>
      <c r="AQ483" s="533"/>
      <c r="AR483" s="533"/>
      <c r="AS483" s="533"/>
      <c r="AT483" s="533"/>
      <c r="AU483" s="533"/>
    </row>
    <row r="484" spans="1:47" ht="12.75" hidden="1" customHeight="1" x14ac:dyDescent="0.25">
      <c r="A484" s="41"/>
      <c r="B484" s="104" t="s">
        <v>510</v>
      </c>
      <c r="C484" s="695" t="s">
        <v>454</v>
      </c>
      <c r="D484" s="729"/>
      <c r="E484" s="717"/>
      <c r="F484" s="716" t="s">
        <v>455</v>
      </c>
      <c r="G484" s="26" t="s">
        <v>456</v>
      </c>
      <c r="H484" s="27">
        <f>VLOOKUP(C484,A!A$1:O$669,15,FALSE)</f>
        <v>1</v>
      </c>
      <c r="I484" s="27" t="s">
        <v>30</v>
      </c>
      <c r="J484" s="28">
        <f>IF(VLOOKUP(C484,A!A$1:O$669,11,FALSE)="y",1,0)</f>
        <v>0</v>
      </c>
      <c r="K484" s="28">
        <f>IF(VLOOKUP(C484,A!A$1:O$669,12,FALSE)="y",1,0)</f>
        <v>0</v>
      </c>
      <c r="L484" s="544" t="str">
        <f t="shared" si="91"/>
        <v>Low</v>
      </c>
      <c r="M484" s="27">
        <f>VLOOKUP(C484,A!A$1:O$669,13,FALSE)</f>
        <v>0</v>
      </c>
      <c r="N484" s="44" t="s">
        <v>39</v>
      </c>
      <c r="O484" s="533">
        <f>VLOOKUP(C484,A!A$1:O$669,9,FALSE)</f>
        <v>0</v>
      </c>
      <c r="P484" s="533" t="s">
        <v>1249</v>
      </c>
      <c r="Q484" s="533" t="str">
        <f>IF(S484=0,"",COUNTIF(Q$12:Q483,"&gt;0")+1)</f>
        <v/>
      </c>
      <c r="R484" s="533" t="str">
        <f>IF(S484=0,"",COUNTIF(R$12:R483,"&gt;0")+1)</f>
        <v/>
      </c>
      <c r="S484" s="533">
        <f t="shared" si="99"/>
        <v>0</v>
      </c>
      <c r="T484" s="533">
        <f>VLOOKUP(C484,A!A$1:AH$669,32,FALSE)</f>
        <v>0</v>
      </c>
      <c r="U484" s="533">
        <v>0.11</v>
      </c>
      <c r="V484" s="533"/>
      <c r="W484" s="533" t="str">
        <f t="shared" si="98"/>
        <v/>
      </c>
      <c r="X484" s="533">
        <f>IF(V484&lt;&gt;"",COUNTIF(V$46:V484,V484)-1,0)</f>
        <v>0</v>
      </c>
      <c r="Y484" s="533"/>
      <c r="Z484" s="533" t="str">
        <f t="shared" si="96"/>
        <v/>
      </c>
      <c r="AA484" s="533" t="str">
        <f>IFERROR(RANK(Z484,Z$363:Z$487,0)+COUNTIF(Z$363:Z484,Z484)-1,"")</f>
        <v/>
      </c>
      <c r="AB484" s="533">
        <f t="shared" si="93"/>
        <v>0</v>
      </c>
      <c r="AC484" s="533">
        <f t="shared" si="94"/>
        <v>0</v>
      </c>
      <c r="AD484" s="533"/>
      <c r="AE484" s="533"/>
      <c r="AF484" s="533"/>
      <c r="AG484" s="533"/>
      <c r="AH484" s="533"/>
      <c r="AI484" s="533"/>
      <c r="AJ484" s="533"/>
      <c r="AK484" s="533"/>
      <c r="AL484" s="533"/>
      <c r="AM484" s="533"/>
      <c r="AN484" s="533"/>
      <c r="AO484" s="533"/>
      <c r="AP484" s="533"/>
      <c r="AQ484" s="533"/>
      <c r="AR484" s="533"/>
      <c r="AS484" s="533"/>
      <c r="AT484" s="533"/>
      <c r="AU484" s="533"/>
    </row>
    <row r="485" spans="1:47" ht="13.5" hidden="1" customHeight="1" x14ac:dyDescent="0.25">
      <c r="A485" s="41"/>
      <c r="B485" s="104" t="s">
        <v>510</v>
      </c>
      <c r="C485" s="695" t="s">
        <v>457</v>
      </c>
      <c r="D485" s="728"/>
      <c r="E485" s="711"/>
      <c r="F485" s="688" t="s">
        <v>458</v>
      </c>
      <c r="G485" s="26" t="s">
        <v>459</v>
      </c>
      <c r="H485" s="27">
        <f>VLOOKUP(C485,A!A$1:O$669,15,FALSE)</f>
        <v>1</v>
      </c>
      <c r="I485" s="27"/>
      <c r="J485" s="28">
        <f>IF(VLOOKUP(C485,A!A$1:O$669,11,FALSE)="y",1,0)</f>
        <v>0</v>
      </c>
      <c r="K485" s="28">
        <f>IF(VLOOKUP(C485,A!A$1:O$669,12,FALSE)="y",1,0)</f>
        <v>0</v>
      </c>
      <c r="L485" s="544" t="str">
        <f t="shared" si="91"/>
        <v>Low</v>
      </c>
      <c r="M485" s="27">
        <f>VLOOKUP(C485,A!A$1:O$669,13,FALSE)</f>
        <v>0</v>
      </c>
      <c r="N485" s="44" t="s">
        <v>39</v>
      </c>
      <c r="O485" s="533">
        <f>VLOOKUP(C485,A!A$1:O$669,9,FALSE)</f>
        <v>0</v>
      </c>
      <c r="P485" s="533" t="s">
        <v>1249</v>
      </c>
      <c r="Q485" s="533" t="str">
        <f>IF(S485=0,"",COUNTIF(Q$12:Q484,"&gt;0")+1)</f>
        <v/>
      </c>
      <c r="R485" s="533" t="str">
        <f>IF(S485=0,"",COUNTIF(R$12:R484,"&gt;0")+1)</f>
        <v/>
      </c>
      <c r="S485" s="533"/>
      <c r="T485" s="533">
        <f>VLOOKUP(C485,A!A$1:AH$669,32,FALSE)</f>
        <v>0</v>
      </c>
      <c r="U485" s="533">
        <v>0.12</v>
      </c>
      <c r="V485" s="533"/>
      <c r="W485" s="533" t="str">
        <f t="shared" si="98"/>
        <v/>
      </c>
      <c r="X485" s="533">
        <f>IF(V485&lt;&gt;"",COUNTIF(V$46:V485,V485)-1,0)</f>
        <v>0</v>
      </c>
      <c r="Y485" s="533"/>
      <c r="Z485" s="533" t="str">
        <f t="shared" si="96"/>
        <v/>
      </c>
      <c r="AA485" s="533" t="str">
        <f>IFERROR(RANK(Z485,Z$363:Z$487,0)+COUNTIF(Z$363:Z485,Z485)-1,"")</f>
        <v/>
      </c>
      <c r="AB485" s="533">
        <f t="shared" si="93"/>
        <v>0</v>
      </c>
      <c r="AC485" s="533">
        <f t="shared" si="94"/>
        <v>0</v>
      </c>
      <c r="AD485" s="533"/>
      <c r="AE485" s="533"/>
      <c r="AF485" s="533"/>
      <c r="AG485" s="533"/>
      <c r="AH485" s="533"/>
      <c r="AI485" s="533"/>
      <c r="AJ485" s="533"/>
      <c r="AK485" s="533"/>
      <c r="AL485" s="533"/>
      <c r="AM485" s="533"/>
      <c r="AN485" s="533"/>
      <c r="AO485" s="533"/>
      <c r="AP485" s="533"/>
      <c r="AQ485" s="533"/>
      <c r="AR485" s="533"/>
      <c r="AS485" s="533"/>
      <c r="AT485" s="533"/>
      <c r="AU485" s="533"/>
    </row>
    <row r="486" spans="1:47" ht="12.75" hidden="1" customHeight="1" x14ac:dyDescent="0.25">
      <c r="A486" s="41"/>
      <c r="B486" s="104" t="s">
        <v>510</v>
      </c>
      <c r="C486" s="24" t="s">
        <v>1088</v>
      </c>
      <c r="D486" s="642"/>
      <c r="E486" s="861"/>
      <c r="F486" s="46" t="s">
        <v>678</v>
      </c>
      <c r="G486" s="26" t="s">
        <v>679</v>
      </c>
      <c r="H486" s="27">
        <f>VLOOKUP(C486,A!A$1:O$669,15,FALSE)</f>
        <v>1</v>
      </c>
      <c r="I486" s="27"/>
      <c r="J486" s="28">
        <f>IF(VLOOKUP(C486,A!A$1:O$669,11,FALSE)="y",1,0)</f>
        <v>0</v>
      </c>
      <c r="K486" s="28">
        <f>IF(VLOOKUP(C486,A!A$1:O$669,12,FALSE)="y",1,0)</f>
        <v>0</v>
      </c>
      <c r="L486" s="544" t="str">
        <f t="shared" si="91"/>
        <v>Low</v>
      </c>
      <c r="M486" s="27">
        <f>VLOOKUP(C486,A!A$1:O$669,13,FALSE)</f>
        <v>0</v>
      </c>
      <c r="N486" s="44" t="s">
        <v>39</v>
      </c>
      <c r="O486" s="533">
        <f>VLOOKUP(C486,A!A$1:O$669,9,FALSE)</f>
        <v>0</v>
      </c>
      <c r="P486" s="533" t="s">
        <v>1249</v>
      </c>
      <c r="Q486" s="533" t="str">
        <f>IF(S486=0,"",COUNTIF(Q$12:Q485,"&gt;0")+1)</f>
        <v/>
      </c>
      <c r="R486" s="533" t="str">
        <f>IF(S486=0,"",COUNTIF(R$12:R485,"&gt;0")+1)</f>
        <v/>
      </c>
      <c r="S486" s="533">
        <f t="shared" si="99"/>
        <v>0</v>
      </c>
      <c r="T486" s="533">
        <f>VLOOKUP(C486,A!A$1:AH$669,32,FALSE)</f>
        <v>0</v>
      </c>
      <c r="U486" s="533">
        <v>0.12</v>
      </c>
      <c r="V486" s="533"/>
      <c r="W486" s="533" t="str">
        <f t="shared" si="98"/>
        <v/>
      </c>
      <c r="X486" s="533">
        <f>IF(V486&lt;&gt;"",COUNTIF(V$46:V486,V486)-1,0)</f>
        <v>0</v>
      </c>
      <c r="Y486" s="533"/>
      <c r="Z486" s="533" t="str">
        <f t="shared" si="96"/>
        <v/>
      </c>
      <c r="AA486" s="533" t="str">
        <f>IFERROR(RANK(Z486,Z$363:Z$487,0)+COUNTIF(Z$363:Z486,Z486)-1,"")</f>
        <v/>
      </c>
      <c r="AB486" s="533">
        <f t="shared" si="93"/>
        <v>0</v>
      </c>
      <c r="AC486" s="533">
        <f t="shared" si="94"/>
        <v>0</v>
      </c>
      <c r="AD486" s="533"/>
      <c r="AE486" s="533"/>
      <c r="AF486" s="533"/>
      <c r="AG486" s="533"/>
      <c r="AH486" s="533"/>
      <c r="AI486" s="533"/>
      <c r="AJ486" s="533"/>
      <c r="AK486" s="533"/>
      <c r="AL486" s="533"/>
      <c r="AM486" s="533"/>
      <c r="AN486" s="533"/>
      <c r="AO486" s="533"/>
      <c r="AP486" s="533"/>
      <c r="AQ486" s="533"/>
      <c r="AR486" s="533"/>
      <c r="AS486" s="533"/>
      <c r="AT486" s="533"/>
      <c r="AU486" s="533"/>
    </row>
    <row r="487" spans="1:47" ht="12.75" hidden="1" customHeight="1" thickBot="1" x14ac:dyDescent="0.3">
      <c r="A487" s="120"/>
      <c r="B487" s="587" t="s">
        <v>510</v>
      </c>
      <c r="C487" s="121" t="s">
        <v>1089</v>
      </c>
      <c r="D487" s="643"/>
      <c r="E487" s="862"/>
      <c r="F487" s="122" t="s">
        <v>678</v>
      </c>
      <c r="G487" s="51" t="s">
        <v>680</v>
      </c>
      <c r="H487" s="52">
        <f>VLOOKUP(C487,A!A$1:O$669,15,FALSE)</f>
        <v>1</v>
      </c>
      <c r="I487" s="52"/>
      <c r="J487" s="53">
        <f>IF(VLOOKUP(C487,A!A$1:O$669,11,FALSE)="y",1,0)</f>
        <v>0</v>
      </c>
      <c r="K487" s="53">
        <f>IF(VLOOKUP(C487,A!A$1:O$669,12,FALSE)="y",1,0)</f>
        <v>0</v>
      </c>
      <c r="L487" s="544" t="str">
        <f t="shared" si="91"/>
        <v>Low</v>
      </c>
      <c r="M487" s="52">
        <f>VLOOKUP(C487,A!A$1:O$669,13,FALSE)</f>
        <v>0</v>
      </c>
      <c r="N487" s="55" t="s">
        <v>39</v>
      </c>
      <c r="O487" s="533">
        <f>VLOOKUP(C487,A!A$1:O$669,9,FALSE)</f>
        <v>0</v>
      </c>
      <c r="P487" s="533" t="s">
        <v>1249</v>
      </c>
      <c r="Q487" s="533" t="str">
        <f>IF(S487=0,"",COUNTIF(Q$12:Q486,"&gt;0")+1)</f>
        <v/>
      </c>
      <c r="R487" s="533" t="str">
        <f>IF(S487=0,"",COUNTIF(R$12:R486,"&gt;0")+1)</f>
        <v/>
      </c>
      <c r="S487" s="533">
        <f t="shared" si="99"/>
        <v>0</v>
      </c>
      <c r="T487" s="533">
        <f>VLOOKUP(C487,A!A$1:AH$669,32,FALSE)</f>
        <v>0</v>
      </c>
      <c r="U487" s="533">
        <v>0.12</v>
      </c>
      <c r="V487" s="533"/>
      <c r="W487" s="533" t="str">
        <f t="shared" si="98"/>
        <v/>
      </c>
      <c r="X487" s="533">
        <f>IF(V487&lt;&gt;"",COUNTIF(V$46:V487,V487)-1,0)</f>
        <v>0</v>
      </c>
      <c r="Y487" s="533"/>
      <c r="Z487" s="533" t="str">
        <f t="shared" si="96"/>
        <v/>
      </c>
      <c r="AA487" s="533" t="str">
        <f>IFERROR(RANK(Z487,Z$363:Z$487,0)+COUNTIF(Z$363:Z487,Z487)-1,"")</f>
        <v/>
      </c>
      <c r="AB487" s="533">
        <f>IF(AA487&lt;=AB$362,1,0)</f>
        <v>0</v>
      </c>
      <c r="AC487" s="533">
        <f t="shared" si="94"/>
        <v>0</v>
      </c>
      <c r="AD487" s="533"/>
      <c r="AE487" s="533"/>
      <c r="AF487" s="533"/>
      <c r="AG487" s="533"/>
      <c r="AH487" s="533"/>
      <c r="AI487" s="533"/>
      <c r="AJ487" s="533"/>
      <c r="AK487" s="533"/>
      <c r="AL487" s="533"/>
      <c r="AM487" s="533"/>
      <c r="AN487" s="533"/>
      <c r="AO487" s="533"/>
      <c r="AP487" s="533"/>
      <c r="AQ487" s="533"/>
      <c r="AR487" s="533"/>
      <c r="AS487" s="533"/>
      <c r="AT487" s="533"/>
      <c r="AU487" s="533"/>
    </row>
    <row r="488" spans="1:47" ht="12.75" customHeight="1" x14ac:dyDescent="0.25">
      <c r="A488" s="111">
        <f>SUM(A362:A487)</f>
        <v>0</v>
      </c>
      <c r="B488" s="588" t="s">
        <v>510</v>
      </c>
      <c r="C488" s="57" t="s">
        <v>681</v>
      </c>
      <c r="D488" s="644"/>
      <c r="E488" s="863"/>
      <c r="F488" s="58"/>
      <c r="G488" s="58"/>
      <c r="H488" s="58"/>
      <c r="I488" s="58"/>
      <c r="J488" s="58"/>
      <c r="K488" s="58"/>
      <c r="L488" s="123"/>
      <c r="M488" s="58"/>
      <c r="N488" s="56"/>
      <c r="O488" s="1070"/>
      <c r="P488" s="533" t="s">
        <v>1249</v>
      </c>
      <c r="Q488" s="533" t="str">
        <f>IF(S488=0,"",COUNTIF(Q$12:Q487,"&gt;0")+1)</f>
        <v/>
      </c>
      <c r="R488" s="533"/>
      <c r="S488" s="533">
        <f>SUM(S363:S487)</f>
        <v>0</v>
      </c>
      <c r="T488" s="533"/>
      <c r="U488" s="533"/>
      <c r="V488" s="533"/>
      <c r="W488" s="533" t="str">
        <f t="shared" si="98"/>
        <v/>
      </c>
      <c r="X488" s="533">
        <f>IF(V488&lt;&gt;"",COUNTIF(V$46:V488,V488)-1,0)</f>
        <v>0</v>
      </c>
      <c r="Y488" s="533"/>
      <c r="Z488" s="533"/>
      <c r="AA488" s="533"/>
      <c r="AB488" s="533"/>
      <c r="AC488" s="533"/>
      <c r="AD488" s="533"/>
      <c r="AE488" s="533"/>
      <c r="AF488" s="533"/>
      <c r="AG488" s="533"/>
      <c r="AH488" s="533"/>
      <c r="AI488" s="533"/>
      <c r="AJ488" s="533"/>
      <c r="AK488" s="533"/>
      <c r="AL488" s="533"/>
      <c r="AM488" s="533"/>
      <c r="AN488" s="533"/>
      <c r="AO488" s="533"/>
      <c r="AP488" s="533"/>
      <c r="AQ488" s="533"/>
      <c r="AR488" s="533"/>
      <c r="AS488" s="533"/>
      <c r="AT488" s="533"/>
      <c r="AU488" s="533"/>
    </row>
    <row r="489" spans="1:47" ht="12" customHeight="1" thickBot="1" x14ac:dyDescent="0.3">
      <c r="A489" s="23"/>
      <c r="B489" s="601"/>
      <c r="C489" s="96"/>
      <c r="L489" s="3"/>
      <c r="M489" s="2"/>
      <c r="N489" s="23"/>
      <c r="O489" s="1070"/>
      <c r="P489" s="533"/>
      <c r="Q489" s="533" t="str">
        <f>IF(S489=0,"",COUNTIF(Q$12:Q488,"&gt;0")+1)</f>
        <v/>
      </c>
      <c r="R489" s="533" t="str">
        <f>IF(S489=0,"",COUNTIF(R$12:R488,"&gt;0")+1)</f>
        <v/>
      </c>
      <c r="S489" s="533"/>
      <c r="T489" s="533"/>
      <c r="U489" s="533"/>
      <c r="V489" s="533"/>
      <c r="W489" s="533" t="str">
        <f t="shared" si="98"/>
        <v/>
      </c>
      <c r="X489" s="533">
        <f>IF(V489&lt;&gt;"",COUNTIF(V$46:V489,V489)-1,0)</f>
        <v>0</v>
      </c>
      <c r="Y489" s="533"/>
      <c r="Z489" s="533"/>
      <c r="AA489" s="533"/>
      <c r="AB489" s="533"/>
      <c r="AC489" s="533"/>
      <c r="AD489" s="533"/>
      <c r="AE489" s="533"/>
      <c r="AF489" s="533"/>
      <c r="AG489" s="533"/>
      <c r="AH489" s="533"/>
      <c r="AI489" s="533"/>
      <c r="AJ489" s="533"/>
      <c r="AK489" s="533"/>
      <c r="AL489" s="533"/>
      <c r="AM489" s="533"/>
      <c r="AN489" s="533"/>
      <c r="AO489" s="533"/>
      <c r="AP489" s="533"/>
      <c r="AQ489" s="533"/>
      <c r="AR489" s="533"/>
      <c r="AS489" s="533"/>
      <c r="AT489" s="533"/>
      <c r="AU489" s="533"/>
    </row>
    <row r="490" spans="1:47" ht="12" customHeight="1" x14ac:dyDescent="0.25">
      <c r="A490" s="1118" t="s">
        <v>11</v>
      </c>
      <c r="B490" s="1119"/>
      <c r="C490" s="1198" t="s">
        <v>1852</v>
      </c>
      <c r="D490" s="1199"/>
      <c r="E490" s="1199"/>
      <c r="F490" s="1199"/>
      <c r="G490" s="1199"/>
      <c r="H490" s="277" t="s">
        <v>975</v>
      </c>
      <c r="I490" s="277"/>
      <c r="J490" s="277"/>
      <c r="K490" s="277"/>
      <c r="L490" s="277"/>
      <c r="M490" s="277"/>
      <c r="N490" s="278"/>
      <c r="O490" s="1070"/>
      <c r="P490" s="533"/>
      <c r="Q490" s="533" t="str">
        <f>IF(S490=0,"",COUNTIF(Q$12:Q489,"&gt;0")+1)</f>
        <v/>
      </c>
      <c r="R490" s="533" t="str">
        <f>IF(S490=0,"",COUNTIF(R$12:R489,"&gt;0")+1)</f>
        <v/>
      </c>
      <c r="S490" s="533"/>
      <c r="T490" s="533"/>
      <c r="U490" s="533"/>
      <c r="V490" s="533"/>
      <c r="W490" s="533" t="str">
        <f t="shared" si="98"/>
        <v/>
      </c>
      <c r="X490" s="533">
        <f>IF(V490&lt;&gt;"",COUNTIF(V$46:V490,V490)-1,0)</f>
        <v>0</v>
      </c>
      <c r="Y490" s="533"/>
      <c r="Z490" s="533"/>
      <c r="AA490" s="533"/>
      <c r="AB490" s="533"/>
      <c r="AC490" s="533"/>
      <c r="AD490" s="533"/>
      <c r="AE490" s="533"/>
      <c r="AF490" s="533"/>
      <c r="AG490" s="533"/>
      <c r="AH490" s="533"/>
      <c r="AI490" s="533"/>
      <c r="AJ490" s="533"/>
      <c r="AK490" s="533"/>
      <c r="AL490" s="533"/>
      <c r="AM490" s="533"/>
      <c r="AN490" s="533"/>
      <c r="AO490" s="533"/>
      <c r="AP490" s="533"/>
      <c r="AQ490" s="533"/>
      <c r="AR490" s="533"/>
      <c r="AS490" s="533"/>
      <c r="AT490" s="533"/>
      <c r="AU490" s="533"/>
    </row>
    <row r="491" spans="1:47" ht="12" customHeight="1" thickBot="1" x14ac:dyDescent="0.3">
      <c r="A491" s="1116" t="s">
        <v>1849</v>
      </c>
      <c r="B491" s="1117"/>
      <c r="C491" s="1200"/>
      <c r="D491" s="1201"/>
      <c r="E491" s="1201"/>
      <c r="F491" s="1201"/>
      <c r="G491" s="1201"/>
      <c r="H491" s="95"/>
      <c r="I491" s="96"/>
      <c r="J491" s="96"/>
      <c r="K491" s="96"/>
      <c r="L491" s="545"/>
      <c r="M491" s="96"/>
      <c r="N491" s="132" t="s">
        <v>16</v>
      </c>
      <c r="O491" s="1070"/>
      <c r="P491" s="533"/>
      <c r="Q491" s="533" t="str">
        <f>IF(S491=0,"",COUNTIF(Q$12:Q490,"&gt;0")+1)</f>
        <v/>
      </c>
      <c r="R491" s="533" t="str">
        <f>IF(S491=0,"",COUNTIF(R$12:R490,"&gt;0")+1)</f>
        <v/>
      </c>
      <c r="S491" s="533"/>
      <c r="T491" s="533"/>
      <c r="U491" s="533"/>
      <c r="V491" s="533"/>
      <c r="W491" s="533" t="str">
        <f t="shared" si="98"/>
        <v/>
      </c>
      <c r="X491" s="533">
        <f>IF(V491&lt;&gt;"",COUNTIF(V$46:V491,V491)-1,0)</f>
        <v>0</v>
      </c>
      <c r="Y491" s="533"/>
      <c r="Z491" s="533"/>
      <c r="AA491" s="533"/>
      <c r="AB491" s="533"/>
      <c r="AC491" s="533"/>
      <c r="AD491" s="533"/>
      <c r="AE491" s="533"/>
      <c r="AF491" s="533"/>
      <c r="AG491" s="533"/>
      <c r="AH491" s="533"/>
      <c r="AI491" s="533"/>
      <c r="AJ491" s="533"/>
      <c r="AK491" s="533"/>
      <c r="AL491" s="533"/>
      <c r="AM491" s="533"/>
      <c r="AN491" s="533"/>
      <c r="AO491" s="533"/>
      <c r="AP491" s="533"/>
      <c r="AQ491" s="533"/>
      <c r="AR491" s="533"/>
      <c r="AS491" s="533"/>
      <c r="AT491" s="533"/>
      <c r="AU491" s="533"/>
    </row>
    <row r="492" spans="1:47" ht="13.5" customHeight="1" thickBot="1" x14ac:dyDescent="0.3">
      <c r="A492" s="923"/>
      <c r="B492" s="924" t="s">
        <v>510</v>
      </c>
      <c r="C492" s="925" t="s">
        <v>960</v>
      </c>
      <c r="D492" s="926"/>
      <c r="E492" s="927"/>
      <c r="F492" s="928" t="s">
        <v>686</v>
      </c>
      <c r="G492" s="929" t="s">
        <v>1257</v>
      </c>
      <c r="H492" s="930"/>
      <c r="I492" s="931"/>
      <c r="J492" s="932">
        <f>IF(VLOOKUP(C492,A!A$1:H$669,4,FALSE)="y",1,0)</f>
        <v>1</v>
      </c>
      <c r="K492" s="932">
        <f>IF(VLOOKUP(C492,A!A$1:H$669,5,FALSE)="y",1,0)</f>
        <v>1</v>
      </c>
      <c r="L492" s="933"/>
      <c r="M492" s="930"/>
      <c r="N492" s="934"/>
      <c r="O492" s="533" t="str">
        <f>VLOOKUP(C492,A!A$1:O$669,2,FALSE)</f>
        <v>y</v>
      </c>
      <c r="P492" s="533" t="s">
        <v>977</v>
      </c>
      <c r="Q492" s="533" t="str">
        <f>IF(S492=0,"",COUNTIF(Q$12:Q491,"&gt;0")+1)</f>
        <v/>
      </c>
      <c r="R492" s="533" t="str">
        <f>IF(S492=0,"",COUNTIF(R$12:R491,"&gt;0")+1)</f>
        <v/>
      </c>
      <c r="S492" s="533">
        <f>A492+Y492</f>
        <v>0</v>
      </c>
      <c r="T492" s="533">
        <v>35</v>
      </c>
      <c r="U492" s="533">
        <v>0.2</v>
      </c>
      <c r="V492" s="533">
        <v>38</v>
      </c>
      <c r="W492" s="533" t="str">
        <f>IF(AND(V492&lt;&gt;"",O492=0),"Check",IF(AND(V492=0,O492="Y"),"Check",""))</f>
        <v/>
      </c>
      <c r="X492" s="533">
        <f>IF(V492&lt;&gt;"",COUNTIF(V$46:V492,V492)-1,0)</f>
        <v>0</v>
      </c>
      <c r="Y492" s="533">
        <f>A21*3+A23*5</f>
        <v>0</v>
      </c>
      <c r="Z492" s="533"/>
      <c r="AA492" s="533"/>
      <c r="AB492" s="533"/>
      <c r="AC492" s="533"/>
      <c r="AD492" s="533"/>
      <c r="AE492" s="533"/>
      <c r="AF492" s="533"/>
      <c r="AG492" s="533"/>
      <c r="AH492" s="533"/>
      <c r="AI492" s="533"/>
      <c r="AJ492" s="533"/>
      <c r="AK492" s="533"/>
      <c r="AL492" s="533"/>
      <c r="AM492" s="533"/>
      <c r="AN492" s="533"/>
      <c r="AO492" s="533"/>
      <c r="AP492" s="533"/>
      <c r="AQ492" s="533"/>
      <c r="AR492" s="533"/>
      <c r="AS492" s="533"/>
      <c r="AT492" s="533"/>
      <c r="AU492" s="533"/>
    </row>
    <row r="493" spans="1:47" x14ac:dyDescent="0.25">
      <c r="A493" s="23">
        <f>A492</f>
        <v>0</v>
      </c>
      <c r="B493" s="601" t="s">
        <v>510</v>
      </c>
      <c r="C493" s="96" t="s">
        <v>1150</v>
      </c>
      <c r="L493" s="3"/>
      <c r="M493" s="2"/>
      <c r="N493" s="134"/>
      <c r="O493" s="1070"/>
      <c r="P493" s="533" t="s">
        <v>977</v>
      </c>
      <c r="Q493" s="533" t="str">
        <f>IF(S493=0,"",COUNTIF(Q$12:Q492,"&gt;0")+1)</f>
        <v/>
      </c>
      <c r="R493" s="533"/>
      <c r="S493" s="533">
        <f>A493+Y492</f>
        <v>0</v>
      </c>
      <c r="T493" s="533"/>
      <c r="U493" s="533"/>
      <c r="V493" s="533"/>
      <c r="W493" s="533" t="str">
        <f t="shared" si="98"/>
        <v/>
      </c>
      <c r="X493" s="533">
        <f>IF(V493&lt;&gt;"",COUNTIF(V$46:V493,V493)-1,0)</f>
        <v>0</v>
      </c>
      <c r="Y493" s="533"/>
      <c r="Z493" s="533"/>
      <c r="AA493" s="533"/>
      <c r="AB493" s="533"/>
      <c r="AC493" s="533"/>
      <c r="AD493" s="533"/>
      <c r="AE493" s="533"/>
      <c r="AF493" s="533"/>
      <c r="AG493" s="533"/>
      <c r="AH493" s="533"/>
      <c r="AI493" s="533"/>
      <c r="AJ493" s="533"/>
      <c r="AK493" s="533"/>
      <c r="AL493" s="533"/>
      <c r="AM493" s="533"/>
      <c r="AN493" s="533"/>
      <c r="AO493" s="533"/>
      <c r="AP493" s="533"/>
      <c r="AQ493" s="533"/>
      <c r="AR493" s="533"/>
      <c r="AS493" s="533"/>
      <c r="AT493" s="533"/>
      <c r="AU493" s="533"/>
    </row>
    <row r="494" spans="1:47" ht="12" customHeight="1" thickBot="1" x14ac:dyDescent="0.3">
      <c r="A494" s="23"/>
      <c r="B494" s="601"/>
      <c r="C494" s="96"/>
      <c r="L494" s="3"/>
      <c r="M494" s="2"/>
      <c r="N494" s="134"/>
      <c r="O494" s="1070"/>
      <c r="P494" s="533"/>
      <c r="Q494" s="533" t="str">
        <f>IF(S494=0,"",COUNTIF(Q$12:Q493,"&gt;0")+1)</f>
        <v/>
      </c>
      <c r="R494" s="533" t="str">
        <f>IF(S494=0,"",COUNTIF(R$12:R493,"&gt;0")+1)</f>
        <v/>
      </c>
      <c r="S494" s="533"/>
      <c r="T494" s="533"/>
      <c r="U494" s="533"/>
      <c r="V494" s="533"/>
      <c r="W494" s="533" t="str">
        <f t="shared" si="98"/>
        <v/>
      </c>
      <c r="X494" s="533">
        <f>IF(V494&lt;&gt;"",COUNTIF(V$46:V494,V494)-1,0)</f>
        <v>0</v>
      </c>
      <c r="Y494" s="533"/>
      <c r="Z494" s="533"/>
      <c r="AA494" s="533"/>
      <c r="AB494" s="533"/>
      <c r="AC494" s="533"/>
      <c r="AD494" s="533"/>
      <c r="AE494" s="533"/>
      <c r="AF494" s="533"/>
      <c r="AG494" s="533"/>
      <c r="AH494" s="533"/>
      <c r="AI494" s="533"/>
      <c r="AJ494" s="533"/>
      <c r="AK494" s="533"/>
      <c r="AL494" s="533"/>
      <c r="AM494" s="533"/>
      <c r="AN494" s="533"/>
      <c r="AO494" s="533"/>
      <c r="AP494" s="533"/>
      <c r="AQ494" s="533"/>
      <c r="AR494" s="533"/>
      <c r="AS494" s="533"/>
      <c r="AT494" s="533"/>
      <c r="AU494" s="533"/>
    </row>
    <row r="495" spans="1:47" ht="10.5" customHeight="1" x14ac:dyDescent="0.25">
      <c r="A495" s="1118" t="s">
        <v>11</v>
      </c>
      <c r="B495" s="1173"/>
      <c r="C495" s="1188" t="s">
        <v>1760</v>
      </c>
      <c r="D495" s="1189"/>
      <c r="E495" s="1189"/>
      <c r="F495" s="1189"/>
      <c r="G495" s="1123" t="s">
        <v>856</v>
      </c>
      <c r="H495" s="29" t="s">
        <v>685</v>
      </c>
      <c r="I495" s="29"/>
      <c r="J495" s="29"/>
      <c r="K495" s="29"/>
      <c r="L495" s="29"/>
      <c r="M495" s="29"/>
      <c r="N495" s="30"/>
      <c r="P495" s="533"/>
      <c r="Q495" s="533" t="str">
        <f>IF(S495=0,"",COUNTIF(Q$12:Q494,"&gt;0")+1)</f>
        <v/>
      </c>
      <c r="R495" s="533" t="str">
        <f>IF(S495=0,"",COUNTIF(R$12:R494,"&gt;0")+1)</f>
        <v/>
      </c>
      <c r="S495" s="533"/>
      <c r="T495" s="533"/>
      <c r="U495" s="533"/>
      <c r="V495" s="533"/>
      <c r="W495" s="533"/>
      <c r="X495" s="533">
        <f>IF(V495&lt;&gt;"",COUNTIF(V$46:V495,V495)-1,0)</f>
        <v>0</v>
      </c>
      <c r="Y495" s="533"/>
      <c r="Z495" s="533"/>
      <c r="AA495" s="533"/>
      <c r="AB495" s="533"/>
      <c r="AC495" s="533"/>
      <c r="AD495" s="533"/>
      <c r="AE495" s="533"/>
      <c r="AF495" s="533"/>
      <c r="AG495" s="533"/>
      <c r="AH495" s="533"/>
      <c r="AI495" s="533"/>
      <c r="AJ495" s="533"/>
      <c r="AK495" s="533"/>
      <c r="AL495" s="533"/>
      <c r="AM495" s="533"/>
      <c r="AN495" s="533"/>
      <c r="AO495" s="533"/>
      <c r="AP495" s="533"/>
      <c r="AQ495" s="533"/>
      <c r="AR495" s="533"/>
      <c r="AS495" s="533"/>
      <c r="AT495" s="533"/>
      <c r="AU495" s="533"/>
    </row>
    <row r="496" spans="1:47" ht="10.5" customHeight="1" thickBot="1" x14ac:dyDescent="0.3">
      <c r="A496" s="1116" t="s">
        <v>1757</v>
      </c>
      <c r="B496" s="1150"/>
      <c r="C496" s="1190"/>
      <c r="D496" s="1191"/>
      <c r="E496" s="1191"/>
      <c r="F496" s="1191"/>
      <c r="G496" s="1124"/>
      <c r="H496" s="33" t="s">
        <v>15</v>
      </c>
      <c r="I496" s="32"/>
      <c r="J496" s="32"/>
      <c r="K496" s="32"/>
      <c r="L496" s="545"/>
      <c r="M496" s="32"/>
      <c r="N496" s="34" t="s">
        <v>16</v>
      </c>
      <c r="O496" s="1068"/>
      <c r="P496" s="533"/>
      <c r="Q496" s="533" t="str">
        <f>IF(S496=0,"",COUNTIF(Q$12:Q495,"&gt;0")+1)</f>
        <v/>
      </c>
      <c r="R496" s="533" t="str">
        <f>IF(S496=0,"",COUNTIF(R$12:R495,"&gt;0")+1)</f>
        <v/>
      </c>
      <c r="S496" s="533"/>
      <c r="T496" s="533"/>
      <c r="U496" s="533"/>
      <c r="V496" s="533"/>
      <c r="W496" s="533"/>
      <c r="X496" s="533">
        <f>IF(V496&lt;&gt;"",COUNTIF(V$46:V496,V496)-1,0)</f>
        <v>0</v>
      </c>
      <c r="Y496" s="533"/>
      <c r="Z496" s="533"/>
      <c r="AA496" s="533"/>
      <c r="AB496" s="533"/>
      <c r="AC496" s="533"/>
      <c r="AD496" s="533"/>
      <c r="AE496" s="533"/>
      <c r="AF496" s="533"/>
      <c r="AG496" s="533"/>
      <c r="AH496" s="533"/>
      <c r="AI496" s="533"/>
      <c r="AJ496" s="533"/>
      <c r="AK496" s="533"/>
      <c r="AL496" s="533"/>
      <c r="AM496" s="533"/>
      <c r="AN496" s="533"/>
      <c r="AO496" s="533"/>
      <c r="AP496" s="533"/>
      <c r="AQ496" s="533"/>
      <c r="AR496" s="533"/>
      <c r="AS496" s="533"/>
      <c r="AT496" s="533"/>
      <c r="AU496" s="533"/>
    </row>
    <row r="497" spans="1:47" ht="13.5" customHeight="1" x14ac:dyDescent="0.25">
      <c r="A497" s="35"/>
      <c r="B497" s="586" t="s">
        <v>1136</v>
      </c>
      <c r="C497" s="901" t="s">
        <v>19</v>
      </c>
      <c r="D497" s="641"/>
      <c r="E497" s="880"/>
      <c r="F497" s="692" t="s">
        <v>686</v>
      </c>
      <c r="G497" s="118" t="s">
        <v>26</v>
      </c>
      <c r="H497" s="538"/>
      <c r="I497" s="37"/>
      <c r="J497" s="38">
        <f>IF(VLOOKUP(C497,A!A$1:V$669,18,FALSE)="y",1,0)</f>
        <v>1</v>
      </c>
      <c r="K497" s="38">
        <f>IF(VLOOKUP(C497,A!A$1:V$669,19,FALSE)="y",1,0)</f>
        <v>1</v>
      </c>
      <c r="L497" s="39"/>
      <c r="M497" s="37">
        <f>VLOOKUP(C497,A!A$1:V$669,20,FALSE)</f>
        <v>0</v>
      </c>
      <c r="N497" s="40" t="s">
        <v>39</v>
      </c>
      <c r="O497" s="533" t="str">
        <f>VLOOKUP(C497,A!A$1:V$669,16,FALSE)</f>
        <v>y</v>
      </c>
      <c r="P497" s="533" t="s">
        <v>687</v>
      </c>
      <c r="Q497" s="533" t="str">
        <f>IF(S497=0,"",COUNTIF(Q$12:Q496,"&gt;0")+1)</f>
        <v/>
      </c>
      <c r="R497" s="533" t="str">
        <f>IF(S497=0,"",COUNTIF(R$12:R496,"&gt;0")+1)</f>
        <v/>
      </c>
      <c r="S497" s="533">
        <f t="shared" ref="S497:S572" si="100">A497</f>
        <v>0</v>
      </c>
      <c r="T497" s="533">
        <f>VLOOKUP(C497,A!A$1:AH$669,33,FALSE)</f>
        <v>45</v>
      </c>
      <c r="U497" s="533">
        <v>0.16</v>
      </c>
      <c r="V497" s="533">
        <v>101</v>
      </c>
      <c r="W497" s="533"/>
      <c r="X497" s="533"/>
      <c r="Y497" s="533"/>
      <c r="Z497" s="533"/>
      <c r="AA497" s="533"/>
      <c r="AB497" s="533"/>
      <c r="AC497" s="533"/>
      <c r="AD497" s="533"/>
      <c r="AE497" s="533"/>
      <c r="AF497" s="533"/>
      <c r="AG497" s="533"/>
      <c r="AH497" s="533"/>
      <c r="AI497" s="533"/>
      <c r="AJ497" s="533"/>
      <c r="AK497" s="533"/>
      <c r="AL497" s="533"/>
      <c r="AM497" s="533"/>
      <c r="AN497" s="533"/>
      <c r="AO497" s="533"/>
      <c r="AP497" s="533"/>
      <c r="AQ497" s="533"/>
      <c r="AR497" s="533"/>
      <c r="AS497" s="533"/>
      <c r="AT497" s="533"/>
      <c r="AU497" s="533"/>
    </row>
    <row r="498" spans="1:47" ht="13.5" customHeight="1" x14ac:dyDescent="0.25">
      <c r="A498" s="131"/>
      <c r="B498" s="209" t="s">
        <v>1136</v>
      </c>
      <c r="C498" s="695" t="s">
        <v>27</v>
      </c>
      <c r="D498" s="727"/>
      <c r="E498" s="828"/>
      <c r="F498" s="688" t="s">
        <v>629</v>
      </c>
      <c r="G498" s="26" t="s">
        <v>29</v>
      </c>
      <c r="H498" s="27">
        <f>VLOOKUP(C498,A!A$1:O$669,15,FALSE)</f>
        <v>2</v>
      </c>
      <c r="I498" s="27"/>
      <c r="J498" s="28">
        <f>IF(VLOOKUP(C498,A!A$1:O$669,11,FALSE)="y",1,0)</f>
        <v>0</v>
      </c>
      <c r="K498" s="28">
        <f>IF(VLOOKUP(C498,A!A$1:O$669,12,FALSE)="y",1,0)</f>
        <v>0</v>
      </c>
      <c r="L498" s="544"/>
      <c r="M498" s="27">
        <f>VLOOKUP(C498,A!A$1:O$669,13,FALSE)</f>
        <v>0</v>
      </c>
      <c r="N498" s="44">
        <v>2</v>
      </c>
      <c r="O498" s="533" t="str">
        <f>VLOOKUP(C498,A!A$1:V$669,16,FALSE)</f>
        <v>y</v>
      </c>
      <c r="P498" s="533" t="s">
        <v>687</v>
      </c>
      <c r="Q498" s="533" t="str">
        <f>IF(S498=0,"",COUNTIF(Q$12:Q497,"&gt;0")+1)</f>
        <v/>
      </c>
      <c r="R498" s="533" t="str">
        <f>IF(S498=0,"",COUNTIF(R$12:R497,"&gt;0")+1)</f>
        <v/>
      </c>
      <c r="S498" s="533">
        <f t="shared" si="100"/>
        <v>0</v>
      </c>
      <c r="T498" s="533">
        <f>VLOOKUP(C498,A!A$1:AH$669,33,FALSE)</f>
        <v>45</v>
      </c>
      <c r="U498" s="533">
        <v>0.16</v>
      </c>
      <c r="V498" s="533">
        <v>101</v>
      </c>
      <c r="W498" s="533"/>
      <c r="X498" s="533"/>
      <c r="Y498" s="533"/>
      <c r="Z498" s="533"/>
      <c r="AA498" s="533"/>
      <c r="AB498" s="533"/>
      <c r="AC498" s="533"/>
      <c r="AD498" s="533"/>
      <c r="AE498" s="533"/>
      <c r="AF498" s="533"/>
      <c r="AG498" s="533"/>
      <c r="AH498" s="533"/>
      <c r="AI498" s="533"/>
      <c r="AJ498" s="533"/>
      <c r="AK498" s="533"/>
      <c r="AL498" s="533"/>
      <c r="AM498" s="533"/>
      <c r="AN498" s="533"/>
      <c r="AO498" s="533"/>
      <c r="AP498" s="533"/>
      <c r="AQ498" s="533"/>
      <c r="AR498" s="533"/>
      <c r="AS498" s="533"/>
      <c r="AT498" s="533"/>
      <c r="AU498" s="533"/>
    </row>
    <row r="499" spans="1:47" ht="13.5" hidden="1" customHeight="1" x14ac:dyDescent="0.25">
      <c r="A499" s="131"/>
      <c r="B499" s="209" t="s">
        <v>1136</v>
      </c>
      <c r="C499" s="695" t="s">
        <v>33</v>
      </c>
      <c r="D499" s="727"/>
      <c r="E499" s="828"/>
      <c r="F499" s="688" t="s">
        <v>630</v>
      </c>
      <c r="G499" s="26" t="s">
        <v>35</v>
      </c>
      <c r="H499" s="27">
        <v>2</v>
      </c>
      <c r="I499" s="27"/>
      <c r="J499" s="28">
        <v>1</v>
      </c>
      <c r="K499" s="28">
        <v>0</v>
      </c>
      <c r="L499" s="544"/>
      <c r="M499" s="27">
        <v>0</v>
      </c>
      <c r="N499" s="44" t="s">
        <v>31</v>
      </c>
      <c r="O499" s="533">
        <f>VLOOKUP(C499,A!A$1:V$669,16,FALSE)</f>
        <v>0</v>
      </c>
      <c r="P499" s="533" t="s">
        <v>687</v>
      </c>
      <c r="Q499" s="533" t="str">
        <f>IF(S499=0,"",COUNTIF(Q$12:Q498,"&gt;0")+1)</f>
        <v/>
      </c>
      <c r="R499" s="533" t="str">
        <f>IF(S499=0,"",COUNTIF(R$12:R498,"&gt;0")+1)</f>
        <v/>
      </c>
      <c r="S499" s="533">
        <f t="shared" si="100"/>
        <v>0</v>
      </c>
      <c r="T499" s="533">
        <f>VLOOKUP(C499,A!A$1:AH$669,33,FALSE)</f>
        <v>0</v>
      </c>
      <c r="U499" s="533">
        <v>0.16</v>
      </c>
      <c r="V499" s="533"/>
      <c r="W499" s="533"/>
      <c r="X499" s="533"/>
      <c r="Y499" s="533"/>
      <c r="Z499" s="533"/>
      <c r="AA499" s="533"/>
      <c r="AB499" s="533"/>
      <c r="AC499" s="533"/>
      <c r="AD499" s="533"/>
      <c r="AE499" s="533"/>
      <c r="AF499" s="533"/>
      <c r="AG499" s="533"/>
      <c r="AH499" s="533"/>
      <c r="AI499" s="533"/>
      <c r="AJ499" s="533"/>
      <c r="AK499" s="533"/>
      <c r="AL499" s="533"/>
      <c r="AM499" s="533"/>
      <c r="AN499" s="533"/>
      <c r="AO499" s="533"/>
      <c r="AP499" s="533"/>
      <c r="AQ499" s="533"/>
      <c r="AR499" s="533"/>
      <c r="AS499" s="533"/>
      <c r="AT499" s="533"/>
      <c r="AU499" s="533"/>
    </row>
    <row r="500" spans="1:47" ht="11.25" hidden="1" customHeight="1" x14ac:dyDescent="0.25">
      <c r="A500" s="41"/>
      <c r="B500" s="104" t="s">
        <v>1136</v>
      </c>
      <c r="C500" s="695" t="s">
        <v>36</v>
      </c>
      <c r="D500" s="727"/>
      <c r="E500" s="869"/>
      <c r="F500" s="688" t="s">
        <v>688</v>
      </c>
      <c r="G500" s="26" t="s">
        <v>38</v>
      </c>
      <c r="H500" s="102">
        <f>VLOOKUP(C500,A!A$1:V$669,22,FALSE)</f>
        <v>0</v>
      </c>
      <c r="I500" s="27"/>
      <c r="J500" s="28">
        <f>IF(VLOOKUP(C500,A!A$1:O$669,11,FALSE)="y",1,0)</f>
        <v>0</v>
      </c>
      <c r="K500" s="28">
        <f>IF(VLOOKUP(C500,A!A$1:O$669,12,FALSE)="y",1,0)</f>
        <v>0</v>
      </c>
      <c r="L500" s="544"/>
      <c r="M500" s="27">
        <f>VLOOKUP(C500,A!A$1:V$669,20,FALSE)</f>
        <v>0</v>
      </c>
      <c r="N500" s="44" t="s">
        <v>39</v>
      </c>
      <c r="O500" s="533">
        <f>VLOOKUP(C500,A!A$1:V$669,16,FALSE)</f>
        <v>0</v>
      </c>
      <c r="P500" s="533" t="s">
        <v>687</v>
      </c>
      <c r="Q500" s="533" t="str">
        <f>IF(S500=0,"",COUNTIF(Q$12:Q499,"&gt;0")+1)</f>
        <v/>
      </c>
      <c r="R500" s="533" t="str">
        <f>IF(S500=0,"",COUNTIF(R$12:R499,"&gt;0")+1)</f>
        <v/>
      </c>
      <c r="S500" s="533">
        <f t="shared" si="100"/>
        <v>0</v>
      </c>
      <c r="T500" s="533">
        <f>VLOOKUP(C500,A!A$1:AH$669,33,FALSE)</f>
        <v>0</v>
      </c>
      <c r="U500" s="533">
        <v>0.16</v>
      </c>
      <c r="V500" s="533"/>
      <c r="W500" s="533"/>
      <c r="X500" s="533"/>
      <c r="Y500" s="533"/>
      <c r="Z500" s="533"/>
      <c r="AA500" s="533"/>
      <c r="AB500" s="533"/>
      <c r="AC500" s="533"/>
      <c r="AD500" s="533"/>
      <c r="AE500" s="533"/>
      <c r="AF500" s="533"/>
      <c r="AG500" s="533"/>
      <c r="AH500" s="533"/>
      <c r="AI500" s="533"/>
      <c r="AJ500" s="533"/>
      <c r="AK500" s="533"/>
      <c r="AL500" s="533"/>
      <c r="AM500" s="533"/>
      <c r="AN500" s="533"/>
      <c r="AO500" s="533"/>
      <c r="AP500" s="533"/>
      <c r="AQ500" s="533"/>
      <c r="AR500" s="533"/>
      <c r="AS500" s="533"/>
      <c r="AT500" s="533"/>
      <c r="AU500" s="533"/>
    </row>
    <row r="501" spans="1:47" ht="13.5" customHeight="1" x14ac:dyDescent="0.25">
      <c r="A501" s="41"/>
      <c r="B501" s="104" t="s">
        <v>1136</v>
      </c>
      <c r="C501" s="695" t="s">
        <v>689</v>
      </c>
      <c r="D501" s="727"/>
      <c r="E501" s="828"/>
      <c r="F501" s="688" t="s">
        <v>41</v>
      </c>
      <c r="G501" s="26" t="s">
        <v>42</v>
      </c>
      <c r="H501" s="27">
        <f>VLOOKUP(C501,A!A$1:V$669,22,FALSE)</f>
        <v>1</v>
      </c>
      <c r="I501" s="27"/>
      <c r="J501" s="28">
        <f>IF(VLOOKUP(C501,A!A$1:V$669,18,FALSE)="y",1,0)</f>
        <v>1</v>
      </c>
      <c r="K501" s="28">
        <f>IF(VLOOKUP(C501,A!A$1:O$669,12,FALSE)="y",1,0)</f>
        <v>1</v>
      </c>
      <c r="L501" s="544"/>
      <c r="M501" s="27">
        <f>VLOOKUP(C501,A!A$1:V$669,20,FALSE)</f>
        <v>0</v>
      </c>
      <c r="N501" s="44" t="s">
        <v>39</v>
      </c>
      <c r="O501" s="533" t="str">
        <f>VLOOKUP(C501,A!A$1:V$669,16,FALSE)</f>
        <v>y</v>
      </c>
      <c r="P501" s="533" t="s">
        <v>687</v>
      </c>
      <c r="Q501" s="533" t="str">
        <f>IF(S501=0,"",COUNTIF(Q$12:Q500,"&gt;0")+1)</f>
        <v/>
      </c>
      <c r="R501" s="533" t="str">
        <f>IF(S501=0,"",COUNTIF(R$12:R500,"&gt;0")+1)</f>
        <v/>
      </c>
      <c r="S501" s="533">
        <f t="shared" si="100"/>
        <v>0</v>
      </c>
      <c r="T501" s="533">
        <f>VLOOKUP(C501,A!A$1:AH$669,33,FALSE)</f>
        <v>45</v>
      </c>
      <c r="U501" s="533">
        <v>0.16</v>
      </c>
      <c r="V501" s="533">
        <v>101</v>
      </c>
      <c r="W501" s="533"/>
      <c r="X501" s="533"/>
      <c r="Y501" s="533"/>
      <c r="Z501" s="533"/>
      <c r="AA501" s="533"/>
      <c r="AB501" s="533"/>
      <c r="AC501" s="533"/>
      <c r="AD501" s="533"/>
      <c r="AE501" s="533"/>
      <c r="AF501" s="533"/>
      <c r="AG501" s="533"/>
      <c r="AH501" s="533"/>
      <c r="AI501" s="533"/>
      <c r="AJ501" s="533"/>
      <c r="AK501" s="533"/>
      <c r="AL501" s="533"/>
      <c r="AM501" s="533"/>
      <c r="AN501" s="533"/>
      <c r="AO501" s="533"/>
      <c r="AP501" s="533"/>
      <c r="AQ501" s="533"/>
      <c r="AR501" s="533"/>
      <c r="AS501" s="533"/>
      <c r="AT501" s="533"/>
      <c r="AU501" s="533"/>
    </row>
    <row r="502" spans="1:47" ht="13.5" hidden="1" customHeight="1" x14ac:dyDescent="0.25">
      <c r="A502" s="41"/>
      <c r="B502" s="104" t="s">
        <v>1136</v>
      </c>
      <c r="C502" s="695" t="s">
        <v>43</v>
      </c>
      <c r="D502" s="727"/>
      <c r="E502" s="828"/>
      <c r="F502" s="688" t="s">
        <v>44</v>
      </c>
      <c r="G502" s="26" t="s">
        <v>45</v>
      </c>
      <c r="H502" s="27">
        <f>VLOOKUP(C502,A!A$1:V$669,22,FALSE)</f>
        <v>2</v>
      </c>
      <c r="I502" s="27"/>
      <c r="J502" s="28">
        <f>IF(VLOOKUP(C502,A!A$1:V$669,18,FALSE)="y",1,0)</f>
        <v>0</v>
      </c>
      <c r="K502" s="28">
        <f>IF(VLOOKUP(C502,A!A$1:O$669,12,FALSE)="y",1,0)</f>
        <v>1</v>
      </c>
      <c r="L502" s="544"/>
      <c r="M502" s="27">
        <f>VLOOKUP(C502,A!A$1:V$669,20,FALSE)</f>
        <v>0</v>
      </c>
      <c r="N502" s="44" t="s">
        <v>39</v>
      </c>
      <c r="O502" s="533">
        <f>VLOOKUP(C502,A!A$1:V$669,16,FALSE)</f>
        <v>0</v>
      </c>
      <c r="P502" s="533" t="s">
        <v>687</v>
      </c>
      <c r="Q502" s="533" t="str">
        <f>IF(S502=0,"",COUNTIF(Q$12:Q501,"&gt;0")+1)</f>
        <v/>
      </c>
      <c r="R502" s="533" t="str">
        <f>IF(S502=0,"",COUNTIF(R$12:R501,"&gt;0")+1)</f>
        <v/>
      </c>
      <c r="S502" s="533">
        <f t="shared" si="100"/>
        <v>0</v>
      </c>
      <c r="T502" s="533">
        <f>VLOOKUP(C502,A!A$1:AH$669,33,FALSE)</f>
        <v>0</v>
      </c>
      <c r="U502" s="533">
        <v>0.16</v>
      </c>
      <c r="V502" s="533"/>
      <c r="W502" s="533"/>
      <c r="X502" s="533"/>
      <c r="Y502" s="533"/>
      <c r="Z502" s="533"/>
      <c r="AA502" s="533"/>
      <c r="AB502" s="533"/>
      <c r="AC502" s="533"/>
      <c r="AD502" s="533"/>
      <c r="AE502" s="533"/>
      <c r="AF502" s="533"/>
      <c r="AG502" s="533"/>
      <c r="AH502" s="533"/>
      <c r="AI502" s="533"/>
      <c r="AJ502" s="533"/>
      <c r="AK502" s="533"/>
      <c r="AL502" s="533"/>
      <c r="AM502" s="533"/>
      <c r="AN502" s="533"/>
      <c r="AO502" s="533"/>
      <c r="AP502" s="533"/>
      <c r="AQ502" s="533"/>
      <c r="AR502" s="533"/>
      <c r="AS502" s="533"/>
      <c r="AT502" s="533"/>
      <c r="AU502" s="533"/>
    </row>
    <row r="503" spans="1:47" ht="13.5" customHeight="1" x14ac:dyDescent="0.25">
      <c r="A503" s="41"/>
      <c r="B503" s="104" t="s">
        <v>1136</v>
      </c>
      <c r="C503" s="1056" t="s">
        <v>52</v>
      </c>
      <c r="D503" s="728"/>
      <c r="E503" s="711" t="s">
        <v>1867</v>
      </c>
      <c r="F503" s="688" t="s">
        <v>53</v>
      </c>
      <c r="G503" s="26" t="s">
        <v>54</v>
      </c>
      <c r="H503" s="27">
        <f>VLOOKUP(C503,A!A$1:V$669,22,FALSE)</f>
        <v>1</v>
      </c>
      <c r="I503" s="27" t="s">
        <v>30</v>
      </c>
      <c r="J503" s="28">
        <f>IF(VLOOKUP(C503,A!A$1:V$669,18,FALSE)="y",1,0)</f>
        <v>0</v>
      </c>
      <c r="K503" s="28">
        <f>IF(VLOOKUP(C503,A!A$1:O$669,12,FALSE)="y",1,0)</f>
        <v>0</v>
      </c>
      <c r="L503" s="544"/>
      <c r="M503" s="27">
        <v>0</v>
      </c>
      <c r="N503" s="44" t="s">
        <v>326</v>
      </c>
      <c r="O503" s="533" t="str">
        <f>VLOOKUP(C503,A!A$1:V$669,16,FALSE)</f>
        <v>y</v>
      </c>
      <c r="P503" s="533" t="s">
        <v>687</v>
      </c>
      <c r="Q503" s="533" t="str">
        <f>IF(S503=0,"",COUNTIF(Q$12:Q502,"&gt;0")+1)</f>
        <v/>
      </c>
      <c r="R503" s="533" t="str">
        <f>IF(S503=0,"",COUNTIF(R$12:R502,"&gt;0")+1)</f>
        <v/>
      </c>
      <c r="S503" s="533">
        <f t="shared" si="100"/>
        <v>0</v>
      </c>
      <c r="T503" s="533">
        <f>VLOOKUP(C503,A!A$1:AH$669,33,FALSE)</f>
        <v>0</v>
      </c>
      <c r="U503" s="533">
        <v>0.16</v>
      </c>
      <c r="V503" s="533">
        <v>101</v>
      </c>
      <c r="W503" s="533"/>
      <c r="X503" s="533"/>
      <c r="Y503" s="533"/>
      <c r="Z503" s="533"/>
      <c r="AA503" s="533"/>
      <c r="AB503" s="533"/>
      <c r="AC503" s="533"/>
      <c r="AD503" s="533"/>
      <c r="AE503" s="533"/>
      <c r="AF503" s="533"/>
      <c r="AG503" s="533"/>
      <c r="AH503" s="533"/>
      <c r="AI503" s="533"/>
      <c r="AJ503" s="533"/>
      <c r="AK503" s="533"/>
      <c r="AL503" s="533"/>
      <c r="AM503" s="533"/>
      <c r="AN503" s="533"/>
      <c r="AO503" s="533"/>
      <c r="AP503" s="533"/>
      <c r="AQ503" s="533"/>
      <c r="AR503" s="533"/>
      <c r="AS503" s="533"/>
      <c r="AT503" s="533"/>
      <c r="AU503" s="533"/>
    </row>
    <row r="504" spans="1:47" ht="13.5" hidden="1" customHeight="1" x14ac:dyDescent="0.25">
      <c r="A504" s="41"/>
      <c r="B504" s="104" t="s">
        <v>1136</v>
      </c>
      <c r="C504" s="695" t="s">
        <v>539</v>
      </c>
      <c r="D504" s="727"/>
      <c r="E504" s="828"/>
      <c r="F504" s="688" t="s">
        <v>537</v>
      </c>
      <c r="G504" s="26" t="s">
        <v>538</v>
      </c>
      <c r="H504" s="27">
        <v>2</v>
      </c>
      <c r="I504" s="27"/>
      <c r="J504" s="28">
        <f>IF(VLOOKUP(C504,A!A$1:V$669,18,FALSE)="y",1,0)</f>
        <v>0</v>
      </c>
      <c r="K504" s="28">
        <f>IF(VLOOKUP(C504,A!A$1:O$669,12,FALSE)="y",1,0)</f>
        <v>0</v>
      </c>
      <c r="L504" s="544"/>
      <c r="M504" s="27"/>
      <c r="N504" s="44" t="s">
        <v>31</v>
      </c>
      <c r="O504" s="533">
        <f>VLOOKUP(C504,A!A$1:V$669,16,FALSE)</f>
        <v>0</v>
      </c>
      <c r="P504" s="533" t="s">
        <v>687</v>
      </c>
      <c r="Q504" s="533" t="str">
        <f>IF(S504=0,"",COUNTIF(Q$12:Q503,"&gt;0")+1)</f>
        <v/>
      </c>
      <c r="R504" s="533" t="str">
        <f>IF(S504=0,"",COUNTIF(R$12:R503,"&gt;0")+1)</f>
        <v/>
      </c>
      <c r="S504" s="533">
        <f t="shared" si="100"/>
        <v>0</v>
      </c>
      <c r="T504" s="533">
        <v>40</v>
      </c>
      <c r="U504" s="533">
        <v>0.16</v>
      </c>
      <c r="V504" s="533"/>
      <c r="W504" s="533"/>
      <c r="X504" s="533"/>
      <c r="Y504" s="533"/>
      <c r="Z504" s="533"/>
      <c r="AA504" s="533"/>
      <c r="AB504" s="533"/>
      <c r="AC504" s="533"/>
      <c r="AD504" s="533"/>
      <c r="AE504" s="533"/>
      <c r="AF504" s="533"/>
      <c r="AG504" s="533"/>
      <c r="AH504" s="533"/>
      <c r="AI504" s="533"/>
      <c r="AJ504" s="533"/>
      <c r="AK504" s="533"/>
      <c r="AL504" s="533"/>
      <c r="AM504" s="533"/>
      <c r="AN504" s="533"/>
      <c r="AO504" s="533"/>
      <c r="AP504" s="533"/>
      <c r="AQ504" s="533"/>
      <c r="AR504" s="533"/>
      <c r="AS504" s="533"/>
      <c r="AT504" s="533"/>
      <c r="AU504" s="533"/>
    </row>
    <row r="505" spans="1:47" ht="13.5" hidden="1" customHeight="1" x14ac:dyDescent="0.25">
      <c r="A505" s="41"/>
      <c r="B505" s="104" t="s">
        <v>1136</v>
      </c>
      <c r="C505" s="695" t="s">
        <v>69</v>
      </c>
      <c r="D505" s="727"/>
      <c r="E505" s="828"/>
      <c r="F505" s="688" t="s">
        <v>70</v>
      </c>
      <c r="G505" s="26" t="s">
        <v>71</v>
      </c>
      <c r="H505" s="27">
        <f>VLOOKUP(C505,A!A$1:V$669,22,FALSE)</f>
        <v>1</v>
      </c>
      <c r="I505" s="27" t="s">
        <v>30</v>
      </c>
      <c r="J505" s="28">
        <f>IF(VLOOKUP(C505,A!A$1:V$669,18,FALSE)="y",1,0)</f>
        <v>0</v>
      </c>
      <c r="K505" s="28">
        <f>IF(VLOOKUP(C505,A!A$1:O$669,12,FALSE)="y",1,0)</f>
        <v>0</v>
      </c>
      <c r="L505" s="544"/>
      <c r="M505" s="27">
        <f>VLOOKUP(C505,A!A$1:V$669,20,FALSE)</f>
        <v>0</v>
      </c>
      <c r="N505" s="44" t="s">
        <v>31</v>
      </c>
      <c r="O505" s="533">
        <f>VLOOKUP(C505,A!A$1:V$669,16,FALSE)</f>
        <v>0</v>
      </c>
      <c r="P505" s="533" t="s">
        <v>687</v>
      </c>
      <c r="Q505" s="533" t="str">
        <f>IF(S505=0,"",COUNTIF(Q$12:Q504,"&gt;0")+1)</f>
        <v/>
      </c>
      <c r="R505" s="533" t="str">
        <f>IF(S505=0,"",COUNTIF(R$12:R504,"&gt;0")+1)</f>
        <v/>
      </c>
      <c r="S505" s="533">
        <f t="shared" si="100"/>
        <v>0</v>
      </c>
      <c r="T505" s="533">
        <f>VLOOKUP(C505,A!A$1:AH$669,33,FALSE)</f>
        <v>0</v>
      </c>
      <c r="U505" s="533">
        <v>0.16</v>
      </c>
      <c r="V505" s="533"/>
      <c r="W505" s="533"/>
      <c r="X505" s="533"/>
      <c r="Y505" s="533"/>
      <c r="Z505" s="533"/>
      <c r="AA505" s="533"/>
      <c r="AB505" s="533"/>
      <c r="AC505" s="533"/>
      <c r="AD505" s="533"/>
      <c r="AE505" s="533"/>
      <c r="AF505" s="533"/>
      <c r="AG505" s="533"/>
      <c r="AH505" s="533"/>
      <c r="AI505" s="533"/>
      <c r="AJ505" s="533"/>
      <c r="AK505" s="533"/>
      <c r="AL505" s="533"/>
      <c r="AM505" s="533"/>
      <c r="AN505" s="533"/>
      <c r="AO505" s="533"/>
      <c r="AP505" s="533"/>
      <c r="AQ505" s="533"/>
      <c r="AR505" s="533"/>
      <c r="AS505" s="533"/>
      <c r="AT505" s="533"/>
      <c r="AU505" s="533"/>
    </row>
    <row r="506" spans="1:47" ht="13.5" customHeight="1" x14ac:dyDescent="0.25">
      <c r="A506" s="41"/>
      <c r="B506" s="104" t="s">
        <v>1136</v>
      </c>
      <c r="C506" s="695" t="s">
        <v>75</v>
      </c>
      <c r="D506" s="636"/>
      <c r="E506" s="828"/>
      <c r="F506" s="688" t="s">
        <v>76</v>
      </c>
      <c r="G506" s="26" t="s">
        <v>77</v>
      </c>
      <c r="H506" s="27">
        <f>VLOOKUP(C506,A!A$1:V$669,22,FALSE)</f>
        <v>1</v>
      </c>
      <c r="I506" s="27" t="s">
        <v>30</v>
      </c>
      <c r="J506" s="28">
        <f>IF(VLOOKUP(C506,A!A$1:V$669,18,FALSE)="y",1,0)</f>
        <v>1</v>
      </c>
      <c r="K506" s="28">
        <f>IF(VLOOKUP(C506,A!A$1:O$669,12,FALSE)="y",1,0)</f>
        <v>0</v>
      </c>
      <c r="L506" s="544"/>
      <c r="M506" s="27" t="str">
        <f>VLOOKUP(C506,A!A$1:V$669,20,FALSE)</f>
        <v>y</v>
      </c>
      <c r="N506" s="44" t="s">
        <v>39</v>
      </c>
      <c r="O506" s="533" t="str">
        <f>VLOOKUP(C506,A!A$1:V$669,16,FALSE)</f>
        <v>y</v>
      </c>
      <c r="P506" s="533" t="s">
        <v>687</v>
      </c>
      <c r="Q506" s="533" t="str">
        <f>IF(S506=0,"",COUNTIF(Q$12:Q505,"&gt;0")+1)</f>
        <v/>
      </c>
      <c r="R506" s="533" t="str">
        <f>IF(S506=0,"",COUNTIF(R$12:R505,"&gt;0")+1)</f>
        <v/>
      </c>
      <c r="S506" s="533">
        <f t="shared" si="100"/>
        <v>0</v>
      </c>
      <c r="T506" s="533">
        <f>VLOOKUP(C506,A!A$1:AH$669,33,FALSE)</f>
        <v>45</v>
      </c>
      <c r="U506" s="533">
        <v>0.16</v>
      </c>
      <c r="V506" s="533">
        <v>101</v>
      </c>
      <c r="W506" s="533"/>
      <c r="X506" s="533"/>
      <c r="Y506" s="533"/>
      <c r="Z506" s="533"/>
      <c r="AA506" s="533"/>
      <c r="AB506" s="533"/>
      <c r="AC506" s="533"/>
      <c r="AD506" s="533"/>
      <c r="AE506" s="533"/>
      <c r="AF506" s="533"/>
      <c r="AG506" s="533"/>
      <c r="AH506" s="533"/>
      <c r="AI506" s="533"/>
      <c r="AJ506" s="533"/>
      <c r="AK506" s="533"/>
      <c r="AL506" s="533"/>
      <c r="AM506" s="533"/>
      <c r="AN506" s="533"/>
      <c r="AO506" s="533"/>
      <c r="AP506" s="533"/>
      <c r="AQ506" s="533"/>
      <c r="AR506" s="533"/>
      <c r="AS506" s="533"/>
      <c r="AT506" s="533"/>
      <c r="AU506" s="533"/>
    </row>
    <row r="507" spans="1:47" ht="13.5" hidden="1" customHeight="1" x14ac:dyDescent="0.25">
      <c r="A507" s="41"/>
      <c r="B507" s="104" t="s">
        <v>1136</v>
      </c>
      <c r="C507" s="695" t="s">
        <v>81</v>
      </c>
      <c r="D507" s="636"/>
      <c r="E507" s="828"/>
      <c r="F507" s="688" t="s">
        <v>82</v>
      </c>
      <c r="G507" s="26" t="s">
        <v>83</v>
      </c>
      <c r="H507" s="27">
        <f>VLOOKUP(C507,A!A$1:V$669,22,FALSE)</f>
        <v>2</v>
      </c>
      <c r="I507" s="27"/>
      <c r="J507" s="28">
        <f>IF(VLOOKUP(C507,A!A$1:V$669,18,FALSE)="y",1,0)</f>
        <v>0</v>
      </c>
      <c r="K507" s="28">
        <f>IF(VLOOKUP(C507,A!A$1:O$669,12,FALSE)="y",1,0)</f>
        <v>0</v>
      </c>
      <c r="L507" s="544"/>
      <c r="M507" s="27">
        <f>VLOOKUP(C507,A!A$1:V$669,20,FALSE)</f>
        <v>0</v>
      </c>
      <c r="N507" s="44" t="s">
        <v>39</v>
      </c>
      <c r="O507" s="533">
        <f>VLOOKUP(C507,A!A$1:V$669,16,FALSE)</f>
        <v>0</v>
      </c>
      <c r="P507" s="533" t="s">
        <v>687</v>
      </c>
      <c r="Q507" s="533" t="str">
        <f>IF(S507=0,"",COUNTIF(Q$12:Q506,"&gt;0")+1)</f>
        <v/>
      </c>
      <c r="R507" s="533" t="str">
        <f>IF(S507=0,"",COUNTIF(R$12:R506,"&gt;0")+1)</f>
        <v/>
      </c>
      <c r="S507" s="533">
        <f t="shared" si="100"/>
        <v>0</v>
      </c>
      <c r="T507" s="533">
        <f>VLOOKUP(C507,A!A$1:AH$669,33,FALSE)</f>
        <v>0</v>
      </c>
      <c r="U507" s="533">
        <v>0.16</v>
      </c>
      <c r="V507" s="533"/>
      <c r="W507" s="533"/>
      <c r="X507" s="533"/>
      <c r="Y507" s="533"/>
      <c r="Z507" s="533"/>
      <c r="AA507" s="533"/>
      <c r="AB507" s="533"/>
      <c r="AC507" s="533"/>
      <c r="AD507" s="533"/>
      <c r="AE507" s="533"/>
      <c r="AF507" s="533"/>
      <c r="AG507" s="533"/>
      <c r="AH507" s="533"/>
      <c r="AI507" s="533"/>
      <c r="AJ507" s="533"/>
      <c r="AK507" s="533"/>
      <c r="AL507" s="533"/>
      <c r="AM507" s="533"/>
      <c r="AN507" s="533"/>
      <c r="AO507" s="533"/>
      <c r="AP507" s="533"/>
      <c r="AQ507" s="533"/>
      <c r="AR507" s="533"/>
      <c r="AS507" s="533"/>
      <c r="AT507" s="533"/>
      <c r="AU507" s="533"/>
    </row>
    <row r="508" spans="1:47" ht="13.5" hidden="1" customHeight="1" x14ac:dyDescent="0.25">
      <c r="A508" s="41"/>
      <c r="B508" s="104" t="s">
        <v>1136</v>
      </c>
      <c r="C508" s="695" t="s">
        <v>84</v>
      </c>
      <c r="D508" s="636"/>
      <c r="E508" s="828"/>
      <c r="F508" s="688" t="s">
        <v>85</v>
      </c>
      <c r="G508" s="26" t="s">
        <v>86</v>
      </c>
      <c r="H508" s="27">
        <f>VLOOKUP(C508,A!A$1:V$669,22,FALSE)</f>
        <v>1</v>
      </c>
      <c r="I508" s="27"/>
      <c r="J508" s="28">
        <f>IF(VLOOKUP(C508,A!A$1:V$669,18,FALSE)="y",1,0)</f>
        <v>1</v>
      </c>
      <c r="K508" s="28">
        <f>IF(VLOOKUP(C508,A!A$1:O$669,12,FALSE)="y",1,0)</f>
        <v>0</v>
      </c>
      <c r="L508" s="544"/>
      <c r="M508" s="27">
        <f>VLOOKUP(C508,A!A$1:V$669,20,FALSE)</f>
        <v>0</v>
      </c>
      <c r="N508" s="44" t="s">
        <v>39</v>
      </c>
      <c r="O508" s="533">
        <f>VLOOKUP(C508,A!A$1:V$669,16,FALSE)</f>
        <v>0</v>
      </c>
      <c r="P508" s="533" t="s">
        <v>687</v>
      </c>
      <c r="Q508" s="533" t="str">
        <f>IF(S508=0,"",COUNTIF(Q$12:Q507,"&gt;0")+1)</f>
        <v/>
      </c>
      <c r="R508" s="533" t="str">
        <f>IF(S508=0,"",COUNTIF(R$12:R507,"&gt;0")+1)</f>
        <v/>
      </c>
      <c r="S508" s="533">
        <f t="shared" si="100"/>
        <v>0</v>
      </c>
      <c r="T508" s="533">
        <f>VLOOKUP(C508,A!A$1:AH$669,33,FALSE)</f>
        <v>0</v>
      </c>
      <c r="U508" s="533">
        <v>0.16</v>
      </c>
      <c r="V508" s="533"/>
      <c r="W508" s="533"/>
      <c r="X508" s="533"/>
      <c r="Y508" s="533"/>
      <c r="Z508" s="533"/>
      <c r="AA508" s="533"/>
      <c r="AB508" s="533"/>
      <c r="AC508" s="533"/>
      <c r="AD508" s="533"/>
      <c r="AE508" s="533"/>
      <c r="AF508" s="533"/>
      <c r="AG508" s="533"/>
      <c r="AH508" s="533"/>
      <c r="AI508" s="533"/>
      <c r="AJ508" s="533"/>
      <c r="AK508" s="533"/>
      <c r="AL508" s="533"/>
      <c r="AM508" s="533"/>
      <c r="AN508" s="533"/>
      <c r="AO508" s="533"/>
      <c r="AP508" s="533"/>
      <c r="AQ508" s="533"/>
      <c r="AR508" s="533"/>
      <c r="AS508" s="533"/>
      <c r="AT508" s="533"/>
      <c r="AU508" s="533"/>
    </row>
    <row r="509" spans="1:47" ht="13.5" hidden="1" customHeight="1" x14ac:dyDescent="0.25">
      <c r="A509" s="41"/>
      <c r="B509" s="104" t="s">
        <v>1136</v>
      </c>
      <c r="C509" s="695" t="s">
        <v>1050</v>
      </c>
      <c r="D509" s="636"/>
      <c r="E509" s="828"/>
      <c r="F509" s="686" t="s">
        <v>87</v>
      </c>
      <c r="G509" s="42" t="s">
        <v>543</v>
      </c>
      <c r="H509" s="27">
        <f>VLOOKUP(C509,A!A$1:V$669,22,FALSE)</f>
        <v>1</v>
      </c>
      <c r="I509" s="27"/>
      <c r="J509" s="28">
        <f>IF(VLOOKUP(C509,A!A$1:V$669,18,FALSE)="y",1,0)</f>
        <v>0</v>
      </c>
      <c r="K509" s="28">
        <f>IF(VLOOKUP(C509,A!A$1:O$669,12,FALSE)="y",1,0)</f>
        <v>0</v>
      </c>
      <c r="L509" s="544"/>
      <c r="M509" s="27">
        <f>VLOOKUP(C509,A!A$1:V$669,20,FALSE)</f>
        <v>0</v>
      </c>
      <c r="N509" s="44">
        <v>1</v>
      </c>
      <c r="O509" s="533">
        <f>VLOOKUP(C509,A!A$1:V$669,16,FALSE)</f>
        <v>0</v>
      </c>
      <c r="P509" s="533" t="s">
        <v>687</v>
      </c>
      <c r="Q509" s="533" t="str">
        <f>IF(S509=0,"",COUNTIF(Q$12:Q508,"&gt;0")+1)</f>
        <v/>
      </c>
      <c r="R509" s="533" t="str">
        <f>IF(S509=0,"",COUNTIF(R$12:R508,"&gt;0")+1)</f>
        <v/>
      </c>
      <c r="S509" s="533">
        <f t="shared" si="100"/>
        <v>0</v>
      </c>
      <c r="T509" s="533">
        <f>VLOOKUP(C509,A!A$1:AH$669,33,FALSE)</f>
        <v>0</v>
      </c>
      <c r="U509" s="533">
        <v>0.16</v>
      </c>
      <c r="V509" s="533"/>
      <c r="W509" s="533"/>
      <c r="X509" s="533"/>
      <c r="Y509" s="533"/>
      <c r="Z509" s="533"/>
      <c r="AA509" s="533"/>
      <c r="AB509" s="533"/>
      <c r="AC509" s="533"/>
      <c r="AD509" s="533"/>
      <c r="AE509" s="533"/>
      <c r="AF509" s="533"/>
      <c r="AG509" s="533"/>
      <c r="AH509" s="533"/>
      <c r="AI509" s="533"/>
      <c r="AJ509" s="533"/>
      <c r="AK509" s="533"/>
      <c r="AL509" s="533"/>
      <c r="AM509" s="533"/>
      <c r="AN509" s="533"/>
      <c r="AO509" s="533"/>
      <c r="AP509" s="533"/>
      <c r="AQ509" s="533"/>
      <c r="AR509" s="533"/>
      <c r="AS509" s="533"/>
      <c r="AT509" s="533"/>
      <c r="AU509" s="533"/>
    </row>
    <row r="510" spans="1:47" ht="13.5" hidden="1" customHeight="1" x14ac:dyDescent="0.25">
      <c r="A510" s="41"/>
      <c r="B510" s="104" t="s">
        <v>1136</v>
      </c>
      <c r="C510" s="695" t="s">
        <v>1033</v>
      </c>
      <c r="D510" s="636"/>
      <c r="E510" s="828"/>
      <c r="F510" s="686" t="s">
        <v>87</v>
      </c>
      <c r="G510" s="42" t="s">
        <v>1065</v>
      </c>
      <c r="H510" s="27">
        <v>1</v>
      </c>
      <c r="I510" s="27"/>
      <c r="J510" s="28">
        <v>1</v>
      </c>
      <c r="K510" s="28">
        <v>1</v>
      </c>
      <c r="L510" s="544"/>
      <c r="M510" s="27"/>
      <c r="N510" s="44">
        <v>1</v>
      </c>
      <c r="O510" s="533">
        <f>VLOOKUP(C510,A!A$1:V$669,16,FALSE)</f>
        <v>0</v>
      </c>
      <c r="P510" s="533" t="s">
        <v>687</v>
      </c>
      <c r="Q510" s="533" t="str">
        <f>IF(S510=0,"",COUNTIF(Q$12:Q509,"&gt;0")+1)</f>
        <v/>
      </c>
      <c r="R510" s="533" t="str">
        <f>IF(S510=0,"",COUNTIF(R$12:R509,"&gt;0")+1)</f>
        <v/>
      </c>
      <c r="S510" s="533">
        <f t="shared" si="100"/>
        <v>0</v>
      </c>
      <c r="T510" s="533">
        <f>VLOOKUP(C510,A!A$1:AH$669,33,FALSE)</f>
        <v>0</v>
      </c>
      <c r="U510" s="533">
        <v>0.16</v>
      </c>
      <c r="V510" s="533"/>
      <c r="W510" s="533"/>
      <c r="X510" s="533"/>
      <c r="Y510" s="533"/>
      <c r="Z510" s="533"/>
      <c r="AA510" s="533"/>
      <c r="AB510" s="533"/>
      <c r="AC510" s="533"/>
      <c r="AD510" s="533"/>
      <c r="AE510" s="533"/>
      <c r="AF510" s="533"/>
      <c r="AG510" s="533"/>
      <c r="AH510" s="533"/>
      <c r="AI510" s="533"/>
      <c r="AJ510" s="533"/>
      <c r="AK510" s="533"/>
      <c r="AL510" s="533"/>
      <c r="AM510" s="533"/>
      <c r="AN510" s="533"/>
      <c r="AO510" s="533"/>
      <c r="AP510" s="533"/>
      <c r="AQ510" s="533"/>
      <c r="AR510" s="533"/>
      <c r="AS510" s="533"/>
      <c r="AT510" s="533"/>
      <c r="AU510" s="533"/>
    </row>
    <row r="511" spans="1:47" ht="13.5" hidden="1" customHeight="1" x14ac:dyDescent="0.25">
      <c r="A511" s="41"/>
      <c r="B511" s="104" t="s">
        <v>1136</v>
      </c>
      <c r="C511" s="695" t="s">
        <v>1034</v>
      </c>
      <c r="D511" s="636"/>
      <c r="E511" s="828"/>
      <c r="F511" s="686" t="s">
        <v>87</v>
      </c>
      <c r="G511" s="42" t="s">
        <v>1044</v>
      </c>
      <c r="H511" s="27">
        <v>1</v>
      </c>
      <c r="I511" s="27"/>
      <c r="J511" s="28">
        <v>1</v>
      </c>
      <c r="K511" s="28">
        <v>1</v>
      </c>
      <c r="L511" s="544"/>
      <c r="M511" s="27"/>
      <c r="N511" s="44">
        <v>1</v>
      </c>
      <c r="O511" s="533">
        <f>VLOOKUP(C511,A!A$1:V$669,16,FALSE)</f>
        <v>0</v>
      </c>
      <c r="P511" s="533" t="s">
        <v>687</v>
      </c>
      <c r="Q511" s="533" t="str">
        <f>IF(S511=0,"",COUNTIF(Q$12:Q510,"&gt;0")+1)</f>
        <v/>
      </c>
      <c r="R511" s="533" t="str">
        <f>IF(S511=0,"",COUNTIF(R$12:R510,"&gt;0")+1)</f>
        <v/>
      </c>
      <c r="S511" s="533">
        <f t="shared" si="100"/>
        <v>0</v>
      </c>
      <c r="T511" s="533">
        <f>VLOOKUP(C511,A!A$1:AH$669,33,FALSE)</f>
        <v>0</v>
      </c>
      <c r="U511" s="533">
        <v>0.16</v>
      </c>
      <c r="V511" s="533"/>
      <c r="W511" s="533"/>
      <c r="X511" s="533"/>
      <c r="Y511" s="533"/>
      <c r="Z511" s="533"/>
      <c r="AA511" s="533"/>
      <c r="AB511" s="533"/>
      <c r="AC511" s="533"/>
      <c r="AD511" s="533"/>
      <c r="AE511" s="533"/>
      <c r="AF511" s="533"/>
      <c r="AG511" s="533"/>
      <c r="AH511" s="533"/>
      <c r="AI511" s="533"/>
      <c r="AJ511" s="533"/>
      <c r="AK511" s="533"/>
      <c r="AL511" s="533"/>
      <c r="AM511" s="533"/>
      <c r="AN511" s="533"/>
      <c r="AO511" s="533"/>
      <c r="AP511" s="533"/>
      <c r="AQ511" s="533"/>
      <c r="AR511" s="533"/>
      <c r="AS511" s="533"/>
      <c r="AT511" s="533"/>
      <c r="AU511" s="533"/>
    </row>
    <row r="512" spans="1:47" ht="11.25" hidden="1" customHeight="1" x14ac:dyDescent="0.25">
      <c r="A512" s="41"/>
      <c r="B512" s="104" t="s">
        <v>1136</v>
      </c>
      <c r="C512" s="695" t="s">
        <v>1253</v>
      </c>
      <c r="D512" s="636"/>
      <c r="E512" s="828"/>
      <c r="F512" s="686" t="s">
        <v>87</v>
      </c>
      <c r="G512" s="355" t="s">
        <v>1066</v>
      </c>
      <c r="H512" s="27">
        <v>1</v>
      </c>
      <c r="I512" s="27"/>
      <c r="J512" s="28">
        <v>1</v>
      </c>
      <c r="K512" s="28">
        <v>1</v>
      </c>
      <c r="L512" s="544"/>
      <c r="M512" s="27"/>
      <c r="N512" s="44">
        <v>1</v>
      </c>
      <c r="O512" s="533">
        <f>VLOOKUP(C512,A!A$1:V$669,16,FALSE)</f>
        <v>0</v>
      </c>
      <c r="P512" s="533" t="s">
        <v>687</v>
      </c>
      <c r="Q512" s="533" t="str">
        <f>IF(S512=0,"",COUNTIF(Q$12:Q511,"&gt;0")+1)</f>
        <v/>
      </c>
      <c r="R512" s="533" t="str">
        <f>IF(S512=0,"",COUNTIF(R$12:R511,"&gt;0")+1)</f>
        <v/>
      </c>
      <c r="S512" s="533">
        <f t="shared" si="100"/>
        <v>0</v>
      </c>
      <c r="T512" s="533">
        <f>VLOOKUP(C512,A!A$1:AH$669,33,FALSE)</f>
        <v>0</v>
      </c>
      <c r="U512" s="533">
        <v>0.16</v>
      </c>
      <c r="V512" s="533"/>
      <c r="W512" s="533"/>
      <c r="X512" s="533"/>
      <c r="Y512" s="533"/>
      <c r="Z512" s="533"/>
      <c r="AA512" s="533"/>
      <c r="AB512" s="533"/>
      <c r="AC512" s="533"/>
      <c r="AD512" s="533"/>
      <c r="AE512" s="533"/>
      <c r="AF512" s="533"/>
      <c r="AG512" s="533"/>
      <c r="AH512" s="533"/>
      <c r="AI512" s="533"/>
      <c r="AJ512" s="533"/>
      <c r="AK512" s="533"/>
      <c r="AL512" s="533"/>
      <c r="AM512" s="533"/>
      <c r="AN512" s="533"/>
      <c r="AO512" s="533"/>
      <c r="AP512" s="533"/>
      <c r="AQ512" s="533"/>
      <c r="AR512" s="533"/>
      <c r="AS512" s="533"/>
      <c r="AT512" s="533"/>
      <c r="AU512" s="533"/>
    </row>
    <row r="513" spans="1:47" ht="13.5" hidden="1" customHeight="1" x14ac:dyDescent="0.25">
      <c r="A513" s="41"/>
      <c r="B513" s="104" t="s">
        <v>1136</v>
      </c>
      <c r="C513" s="695" t="s">
        <v>1064</v>
      </c>
      <c r="D513" s="636"/>
      <c r="E513" s="828"/>
      <c r="F513" s="686" t="s">
        <v>87</v>
      </c>
      <c r="G513" s="352" t="s">
        <v>1068</v>
      </c>
      <c r="H513" s="27">
        <v>1</v>
      </c>
      <c r="I513" s="27"/>
      <c r="J513" s="28">
        <v>1</v>
      </c>
      <c r="K513" s="28">
        <v>1</v>
      </c>
      <c r="L513" s="544"/>
      <c r="M513" s="27"/>
      <c r="N513" s="44">
        <v>1</v>
      </c>
      <c r="O513" s="533">
        <f>VLOOKUP(C513,A!A$1:V$669,16,FALSE)</f>
        <v>0</v>
      </c>
      <c r="P513" s="533" t="s">
        <v>687</v>
      </c>
      <c r="Q513" s="533" t="str">
        <f>IF(S513=0,"",COUNTIF(Q$12:Q512,"&gt;0")+1)</f>
        <v/>
      </c>
      <c r="R513" s="533" t="str">
        <f>IF(S513=0,"",COUNTIF(R$12:R512,"&gt;0")+1)</f>
        <v/>
      </c>
      <c r="S513" s="533">
        <f t="shared" si="100"/>
        <v>0</v>
      </c>
      <c r="T513" s="533">
        <f>VLOOKUP(C513,A!A$1:AH$669,33,FALSE)</f>
        <v>0</v>
      </c>
      <c r="U513" s="533">
        <v>0.16</v>
      </c>
      <c r="V513" s="533"/>
      <c r="W513" s="533"/>
      <c r="X513" s="533"/>
      <c r="Y513" s="533"/>
      <c r="Z513" s="533"/>
      <c r="AA513" s="533"/>
      <c r="AB513" s="533"/>
      <c r="AC513" s="533"/>
      <c r="AD513" s="533"/>
      <c r="AE513" s="533"/>
      <c r="AF513" s="533"/>
      <c r="AG513" s="533"/>
      <c r="AH513" s="533"/>
      <c r="AI513" s="533"/>
      <c r="AJ513" s="533"/>
      <c r="AK513" s="533"/>
      <c r="AL513" s="533"/>
      <c r="AM513" s="533"/>
      <c r="AN513" s="533"/>
      <c r="AO513" s="533"/>
      <c r="AP513" s="533"/>
      <c r="AQ513" s="533"/>
      <c r="AR513" s="533"/>
      <c r="AS513" s="533"/>
      <c r="AT513" s="533"/>
      <c r="AU513" s="533"/>
    </row>
    <row r="514" spans="1:47" ht="13.5" hidden="1" customHeight="1" x14ac:dyDescent="0.25">
      <c r="A514" s="41"/>
      <c r="B514" s="104" t="s">
        <v>1136</v>
      </c>
      <c r="C514" s="695" t="s">
        <v>1063</v>
      </c>
      <c r="D514" s="636"/>
      <c r="E514" s="828"/>
      <c r="F514" s="686" t="s">
        <v>87</v>
      </c>
      <c r="G514" s="352" t="s">
        <v>1252</v>
      </c>
      <c r="H514" s="27">
        <v>1</v>
      </c>
      <c r="I514" s="27"/>
      <c r="J514" s="28">
        <v>1</v>
      </c>
      <c r="K514" s="28">
        <v>1</v>
      </c>
      <c r="L514" s="544"/>
      <c r="M514" s="27"/>
      <c r="N514" s="44">
        <v>1</v>
      </c>
      <c r="O514" s="533">
        <f>VLOOKUP(C514,A!A$1:V$669,16,FALSE)</f>
        <v>0</v>
      </c>
      <c r="P514" s="533" t="s">
        <v>687</v>
      </c>
      <c r="Q514" s="533" t="str">
        <f>IF(S514=0,"",COUNTIF(Q$12:Q513,"&gt;0")+1)</f>
        <v/>
      </c>
      <c r="R514" s="533" t="str">
        <f>IF(S514=0,"",COUNTIF(R$12:R513,"&gt;0")+1)</f>
        <v/>
      </c>
      <c r="S514" s="533">
        <f t="shared" si="100"/>
        <v>0</v>
      </c>
      <c r="T514" s="533">
        <f>VLOOKUP(C514,A!A$1:AH$669,33,FALSE)</f>
        <v>0</v>
      </c>
      <c r="U514" s="533">
        <v>0.16</v>
      </c>
      <c r="V514" s="533"/>
      <c r="W514" s="533"/>
      <c r="X514" s="533"/>
      <c r="Y514" s="533"/>
      <c r="Z514" s="533"/>
      <c r="AA514" s="533"/>
      <c r="AB514" s="533"/>
      <c r="AC514" s="533"/>
      <c r="AD514" s="533"/>
      <c r="AE514" s="533"/>
      <c r="AF514" s="533"/>
      <c r="AG514" s="533"/>
      <c r="AH514" s="533"/>
      <c r="AI514" s="533"/>
      <c r="AJ514" s="533"/>
      <c r="AK514" s="533"/>
      <c r="AL514" s="533"/>
      <c r="AM514" s="533"/>
      <c r="AN514" s="533"/>
      <c r="AO514" s="533"/>
      <c r="AP514" s="533"/>
      <c r="AQ514" s="533"/>
      <c r="AR514" s="533"/>
      <c r="AS514" s="533"/>
      <c r="AT514" s="533"/>
      <c r="AU514" s="533"/>
    </row>
    <row r="515" spans="1:47" ht="14.25" hidden="1" customHeight="1" x14ac:dyDescent="0.25">
      <c r="A515" s="41"/>
      <c r="B515" s="104" t="s">
        <v>1136</v>
      </c>
      <c r="C515" s="695" t="s">
        <v>1036</v>
      </c>
      <c r="D515" s="636"/>
      <c r="E515" s="828"/>
      <c r="F515" s="686" t="s">
        <v>87</v>
      </c>
      <c r="G515" s="352" t="s">
        <v>1037</v>
      </c>
      <c r="H515" s="27">
        <v>1</v>
      </c>
      <c r="I515" s="27"/>
      <c r="J515" s="28">
        <v>1</v>
      </c>
      <c r="K515" s="28">
        <v>1</v>
      </c>
      <c r="L515" s="544"/>
      <c r="M515" s="27"/>
      <c r="N515" s="44">
        <v>1</v>
      </c>
      <c r="O515" s="533">
        <f>VLOOKUP(C515,A!A$1:V$669,16,FALSE)</f>
        <v>0</v>
      </c>
      <c r="P515" s="533" t="s">
        <v>687</v>
      </c>
      <c r="Q515" s="533" t="str">
        <f>IF(S515=0,"",COUNTIF(Q$12:Q514,"&gt;0")+1)</f>
        <v/>
      </c>
      <c r="R515" s="533" t="str">
        <f>IF(S515=0,"",COUNTIF(R$12:R514,"&gt;0")+1)</f>
        <v/>
      </c>
      <c r="S515" s="533">
        <f t="shared" si="100"/>
        <v>0</v>
      </c>
      <c r="T515" s="533">
        <f>VLOOKUP(C515,A!A$1:AH$669,33,FALSE)</f>
        <v>0</v>
      </c>
      <c r="U515" s="533">
        <v>0.16</v>
      </c>
      <c r="V515" s="533"/>
      <c r="W515" s="533"/>
      <c r="X515" s="533"/>
      <c r="Y515" s="533"/>
      <c r="Z515" s="533"/>
      <c r="AA515" s="533"/>
      <c r="AB515" s="533"/>
      <c r="AC515" s="533"/>
      <c r="AD515" s="533"/>
      <c r="AE515" s="533"/>
      <c r="AF515" s="533"/>
      <c r="AG515" s="533"/>
      <c r="AH515" s="533"/>
      <c r="AI515" s="533"/>
      <c r="AJ515" s="533"/>
      <c r="AK515" s="533"/>
      <c r="AL515" s="533"/>
      <c r="AM515" s="533"/>
      <c r="AN515" s="533"/>
      <c r="AO515" s="533"/>
      <c r="AP515" s="533"/>
      <c r="AQ515" s="533"/>
      <c r="AR515" s="533"/>
      <c r="AS515" s="533"/>
      <c r="AT515" s="533"/>
      <c r="AU515" s="533"/>
    </row>
    <row r="516" spans="1:47" ht="11.25" hidden="1" customHeight="1" x14ac:dyDescent="0.25">
      <c r="A516" s="41"/>
      <c r="B516" s="104" t="s">
        <v>1136</v>
      </c>
      <c r="C516" s="837" t="s">
        <v>89</v>
      </c>
      <c r="D516" s="636"/>
      <c r="E516" s="828"/>
      <c r="F516" s="686" t="s">
        <v>87</v>
      </c>
      <c r="G516" s="42" t="s">
        <v>90</v>
      </c>
      <c r="H516" s="27">
        <f>VLOOKUP(C516,A!A$1:H$669,8,FALSE)</f>
        <v>1</v>
      </c>
      <c r="I516" s="27"/>
      <c r="J516" s="28">
        <f>IF(VLOOKUP(C516,A!A$1:H$669,4,FALSE)="y",1,0)</f>
        <v>0</v>
      </c>
      <c r="K516" s="28">
        <v>1</v>
      </c>
      <c r="L516" s="544"/>
      <c r="M516" s="27">
        <f>VLOOKUP(C516,A!A$1:H$669,6,FALSE)</f>
        <v>0</v>
      </c>
      <c r="N516" s="44">
        <v>1</v>
      </c>
      <c r="O516" s="533">
        <f>VLOOKUP(C516,A!A$1:V$669,16,FALSE)</f>
        <v>0</v>
      </c>
      <c r="P516" s="533" t="s">
        <v>687</v>
      </c>
      <c r="Q516" s="533" t="str">
        <f>IF(S516=0,"",COUNTIF(Q$12:Q515,"&gt;0")+1)</f>
        <v/>
      </c>
      <c r="R516" s="533" t="str">
        <f>IF(S516=0,"",COUNTIF(R$12:R515,"&gt;0")+1)</f>
        <v/>
      </c>
      <c r="S516" s="533">
        <f t="shared" si="100"/>
        <v>0</v>
      </c>
      <c r="T516" s="533">
        <f>VLOOKUP(C516,A!A$1:AH$669,33,FALSE)</f>
        <v>0</v>
      </c>
      <c r="U516" s="533">
        <v>0.16</v>
      </c>
      <c r="V516" s="533"/>
      <c r="W516" s="533"/>
      <c r="X516" s="533"/>
      <c r="Y516" s="533"/>
      <c r="Z516" s="533"/>
      <c r="AA516" s="533"/>
      <c r="AB516" s="533"/>
      <c r="AC516" s="533"/>
      <c r="AD516" s="533"/>
      <c r="AE516" s="533"/>
      <c r="AF516" s="533"/>
      <c r="AG516" s="533"/>
      <c r="AH516" s="533"/>
      <c r="AI516" s="533"/>
      <c r="AJ516" s="533"/>
      <c r="AK516" s="533"/>
      <c r="AL516" s="533"/>
      <c r="AM516" s="533"/>
      <c r="AN516" s="533"/>
      <c r="AO516" s="533"/>
      <c r="AP516" s="533"/>
      <c r="AQ516" s="533"/>
      <c r="AR516" s="533"/>
      <c r="AS516" s="533"/>
      <c r="AT516" s="533"/>
      <c r="AU516" s="533"/>
    </row>
    <row r="517" spans="1:47" ht="11.25" hidden="1" customHeight="1" x14ac:dyDescent="0.25">
      <c r="A517" s="41"/>
      <c r="B517" s="104" t="s">
        <v>1136</v>
      </c>
      <c r="C517" s="837" t="s">
        <v>91</v>
      </c>
      <c r="D517" s="636"/>
      <c r="E517" s="828"/>
      <c r="F517" s="686" t="s">
        <v>87</v>
      </c>
      <c r="G517" s="42" t="s">
        <v>92</v>
      </c>
      <c r="H517" s="27">
        <f>VLOOKUP(C517,A!A$1:H$669,8,FALSE)</f>
        <v>1</v>
      </c>
      <c r="I517" s="27"/>
      <c r="J517" s="28">
        <f>IF(VLOOKUP(C517,A!A$1:H$669,4,FALSE)="y",1,0)</f>
        <v>0</v>
      </c>
      <c r="K517" s="28">
        <v>1</v>
      </c>
      <c r="L517" s="544"/>
      <c r="M517" s="27">
        <f>VLOOKUP(C517,A!A$1:H$669,6,FALSE)</f>
        <v>0</v>
      </c>
      <c r="N517" s="44">
        <v>1</v>
      </c>
      <c r="O517" s="533">
        <f>VLOOKUP(C517,A!A$1:V$669,16,FALSE)</f>
        <v>0</v>
      </c>
      <c r="P517" s="533" t="s">
        <v>687</v>
      </c>
      <c r="Q517" s="533" t="str">
        <f>IF(S517=0,"",COUNTIF(Q$12:Q516,"&gt;0")+1)</f>
        <v/>
      </c>
      <c r="R517" s="533" t="str">
        <f>IF(S517=0,"",COUNTIF(R$12:R516,"&gt;0")+1)</f>
        <v/>
      </c>
      <c r="S517" s="533">
        <f t="shared" si="100"/>
        <v>0</v>
      </c>
      <c r="T517" s="533">
        <f>VLOOKUP(C517,A!A$1:AH$669,33,FALSE)</f>
        <v>0</v>
      </c>
      <c r="U517" s="533">
        <v>0.16</v>
      </c>
      <c r="V517" s="533"/>
      <c r="W517" s="533"/>
      <c r="X517" s="533"/>
      <c r="Y517" s="533"/>
      <c r="Z517" s="533"/>
      <c r="AA517" s="533"/>
      <c r="AB517" s="533"/>
      <c r="AC517" s="533"/>
      <c r="AD517" s="533"/>
      <c r="AE517" s="533"/>
      <c r="AF517" s="533"/>
      <c r="AG517" s="533"/>
      <c r="AH517" s="533"/>
      <c r="AI517" s="533"/>
      <c r="AJ517" s="533"/>
      <c r="AK517" s="533"/>
      <c r="AL517" s="533"/>
      <c r="AM517" s="533"/>
      <c r="AN517" s="533"/>
      <c r="AO517" s="533"/>
      <c r="AP517" s="533"/>
      <c r="AQ517" s="533"/>
      <c r="AR517" s="533"/>
      <c r="AS517" s="533"/>
      <c r="AT517" s="533"/>
      <c r="AU517" s="533"/>
    </row>
    <row r="518" spans="1:47" ht="11.25" hidden="1" customHeight="1" x14ac:dyDescent="0.25">
      <c r="A518" s="41"/>
      <c r="B518" s="104" t="s">
        <v>1136</v>
      </c>
      <c r="C518" s="837" t="s">
        <v>1235</v>
      </c>
      <c r="D518" s="636"/>
      <c r="E518" s="828"/>
      <c r="F518" s="686" t="s">
        <v>87</v>
      </c>
      <c r="G518" s="42" t="s">
        <v>1236</v>
      </c>
      <c r="H518" s="27">
        <f>VLOOKUP(C518,A!A$1:H$669,8,FALSE)</f>
        <v>2</v>
      </c>
      <c r="I518" s="27"/>
      <c r="J518" s="28">
        <f>IF(VLOOKUP(C518,A!A$1:H$669,4,FALSE)="y",1,0)</f>
        <v>0</v>
      </c>
      <c r="K518" s="28">
        <v>1</v>
      </c>
      <c r="L518" s="544"/>
      <c r="M518" s="27">
        <f>VLOOKUP(C518,A!A$1:H$669,6,FALSE)</f>
        <v>0</v>
      </c>
      <c r="N518" s="44">
        <v>1</v>
      </c>
      <c r="O518" s="533">
        <f>VLOOKUP(C518,A!A$1:V$669,16,FALSE)</f>
        <v>0</v>
      </c>
      <c r="P518" s="533" t="s">
        <v>687</v>
      </c>
      <c r="Q518" s="533" t="str">
        <f>IF(S518=0,"",COUNTIF(Q$12:Q517,"&gt;0")+1)</f>
        <v/>
      </c>
      <c r="R518" s="533" t="str">
        <f>IF(S518=0,"",COUNTIF(R$12:R517,"&gt;0")+1)</f>
        <v/>
      </c>
      <c r="S518" s="533">
        <f t="shared" si="100"/>
        <v>0</v>
      </c>
      <c r="T518" s="533">
        <f>VLOOKUP(C518,A!A$1:AH$669,33,FALSE)</f>
        <v>0</v>
      </c>
      <c r="U518" s="533">
        <v>0.16</v>
      </c>
      <c r="V518" s="533"/>
      <c r="W518" s="533"/>
      <c r="X518" s="533"/>
      <c r="Y518" s="533"/>
      <c r="Z518" s="533"/>
      <c r="AA518" s="533"/>
      <c r="AB518" s="533"/>
      <c r="AC518" s="533"/>
      <c r="AD518" s="533"/>
      <c r="AE518" s="533"/>
      <c r="AF518" s="533"/>
      <c r="AG518" s="533"/>
      <c r="AH518" s="533"/>
      <c r="AI518" s="533"/>
      <c r="AJ518" s="533"/>
      <c r="AK518" s="533"/>
      <c r="AL518" s="533"/>
      <c r="AM518" s="533"/>
      <c r="AN518" s="533"/>
      <c r="AO518" s="533"/>
      <c r="AP518" s="533"/>
      <c r="AQ518" s="533"/>
      <c r="AR518" s="533"/>
      <c r="AS518" s="533"/>
      <c r="AT518" s="533"/>
      <c r="AU518" s="533"/>
    </row>
    <row r="519" spans="1:47" ht="11.25" hidden="1" customHeight="1" x14ac:dyDescent="0.25">
      <c r="A519" s="41"/>
      <c r="B519" s="104" t="s">
        <v>1136</v>
      </c>
      <c r="C519" s="695" t="s">
        <v>551</v>
      </c>
      <c r="D519" s="636"/>
      <c r="E519" s="828"/>
      <c r="F519" s="688" t="s">
        <v>87</v>
      </c>
      <c r="G519" s="26" t="s">
        <v>552</v>
      </c>
      <c r="H519" s="27">
        <f>VLOOKUP(C519,A!A$1:V$669,22,FALSE)</f>
        <v>0</v>
      </c>
      <c r="I519" s="27"/>
      <c r="J519" s="28">
        <f>IF(VLOOKUP(C519,A!A$1:V$669,18,FALSE)="y",1,0)</f>
        <v>0</v>
      </c>
      <c r="K519" s="28">
        <v>1</v>
      </c>
      <c r="L519" s="544"/>
      <c r="M519" s="27">
        <f>VLOOKUP(C519,A!A$1:V$669,20,FALSE)</f>
        <v>0</v>
      </c>
      <c r="N519" s="44">
        <v>1</v>
      </c>
      <c r="O519" s="533">
        <f>VLOOKUP(C519,A!A$1:V$669,16,FALSE)</f>
        <v>0</v>
      </c>
      <c r="P519" s="533" t="s">
        <v>687</v>
      </c>
      <c r="Q519" s="533" t="str">
        <f>IF(S519=0,"",COUNTIF(Q$12:Q518,"&gt;0")+1)</f>
        <v/>
      </c>
      <c r="R519" s="533" t="str">
        <f>IF(S519=0,"",COUNTIF(R$12:R518,"&gt;0")+1)</f>
        <v/>
      </c>
      <c r="S519" s="533">
        <f t="shared" si="100"/>
        <v>0</v>
      </c>
      <c r="T519" s="533">
        <f>VLOOKUP(C519,A!A$1:AH$669,33,FALSE)</f>
        <v>0</v>
      </c>
      <c r="U519" s="533">
        <v>0.16</v>
      </c>
      <c r="V519" s="533"/>
      <c r="W519" s="533"/>
      <c r="X519" s="533"/>
      <c r="Y519" s="533"/>
      <c r="Z519" s="533"/>
      <c r="AA519" s="533"/>
      <c r="AB519" s="533"/>
      <c r="AC519" s="533"/>
      <c r="AD519" s="533"/>
      <c r="AE519" s="533"/>
      <c r="AF519" s="533"/>
      <c r="AG519" s="533"/>
      <c r="AH519" s="533"/>
      <c r="AI519" s="533"/>
      <c r="AJ519" s="533"/>
      <c r="AK519" s="533"/>
      <c r="AL519" s="533"/>
      <c r="AM519" s="533"/>
      <c r="AN519" s="533"/>
      <c r="AO519" s="533"/>
      <c r="AP519" s="533"/>
      <c r="AQ519" s="533"/>
      <c r="AR519" s="533"/>
      <c r="AS519" s="533"/>
      <c r="AT519" s="533"/>
      <c r="AU519" s="533"/>
    </row>
    <row r="520" spans="1:47" ht="11.25" hidden="1" customHeight="1" x14ac:dyDescent="0.25">
      <c r="A520" s="41"/>
      <c r="B520" s="104" t="s">
        <v>1136</v>
      </c>
      <c r="C520" s="695" t="s">
        <v>91</v>
      </c>
      <c r="D520" s="636"/>
      <c r="E520" s="828"/>
      <c r="F520" s="688" t="s">
        <v>87</v>
      </c>
      <c r="G520" s="26" t="s">
        <v>92</v>
      </c>
      <c r="H520" s="27">
        <f>VLOOKUP(C520,A!A$1:V$669,22,FALSE)</f>
        <v>0</v>
      </c>
      <c r="I520" s="27"/>
      <c r="J520" s="28">
        <f>IF(VLOOKUP(C520,A!A$1:V$669,18,FALSE)="y",1,0)</f>
        <v>0</v>
      </c>
      <c r="K520" s="28">
        <v>1</v>
      </c>
      <c r="L520" s="544"/>
      <c r="M520" s="27">
        <f>VLOOKUP(C520,A!A$1:V$669,20,FALSE)</f>
        <v>0</v>
      </c>
      <c r="N520" s="44">
        <v>1</v>
      </c>
      <c r="O520" s="533">
        <f>VLOOKUP(C520,A!A$1:V$669,16,FALSE)</f>
        <v>0</v>
      </c>
      <c r="P520" s="533" t="s">
        <v>687</v>
      </c>
      <c r="Q520" s="533" t="str">
        <f>IF(S520=0,"",COUNTIF(Q$12:Q519,"&gt;0")+1)</f>
        <v/>
      </c>
      <c r="R520" s="533" t="str">
        <f>IF(S520=0,"",COUNTIF(R$12:R519,"&gt;0")+1)</f>
        <v/>
      </c>
      <c r="S520" s="533">
        <f t="shared" si="100"/>
        <v>0</v>
      </c>
      <c r="T520" s="533">
        <f>VLOOKUP(C520,A!A$1:AH$669,33,FALSE)</f>
        <v>0</v>
      </c>
      <c r="U520" s="533">
        <v>0.16</v>
      </c>
      <c r="V520" s="533"/>
      <c r="W520" s="533"/>
      <c r="X520" s="533"/>
      <c r="Y520" s="533"/>
      <c r="Z520" s="533"/>
      <c r="AA520" s="533"/>
      <c r="AB520" s="533"/>
      <c r="AC520" s="533"/>
      <c r="AD520" s="533"/>
      <c r="AE520" s="533"/>
      <c r="AF520" s="533"/>
      <c r="AG520" s="533"/>
      <c r="AH520" s="533"/>
      <c r="AI520" s="533"/>
      <c r="AJ520" s="533"/>
      <c r="AK520" s="533"/>
      <c r="AL520" s="533"/>
      <c r="AM520" s="533"/>
      <c r="AN520" s="533"/>
      <c r="AO520" s="533"/>
      <c r="AP520" s="533"/>
      <c r="AQ520" s="533"/>
      <c r="AR520" s="533"/>
      <c r="AS520" s="533"/>
      <c r="AT520" s="533"/>
      <c r="AU520" s="533"/>
    </row>
    <row r="521" spans="1:47" ht="11.25" hidden="1" customHeight="1" x14ac:dyDescent="0.25">
      <c r="A521" s="41"/>
      <c r="B521" s="104" t="s">
        <v>1136</v>
      </c>
      <c r="C521" s="695" t="s">
        <v>553</v>
      </c>
      <c r="D521" s="636"/>
      <c r="E521" s="828"/>
      <c r="F521" s="688" t="s">
        <v>87</v>
      </c>
      <c r="G521" s="26" t="s">
        <v>554</v>
      </c>
      <c r="H521" s="27">
        <f>VLOOKUP(C521,A!A$1:V$669,22,FALSE)</f>
        <v>1</v>
      </c>
      <c r="I521" s="27"/>
      <c r="J521" s="28">
        <f>IF(VLOOKUP(C521,A!A$1:V$669,18,FALSE)="y",1,0)</f>
        <v>0</v>
      </c>
      <c r="K521" s="28">
        <v>1</v>
      </c>
      <c r="L521" s="544"/>
      <c r="M521" s="27">
        <f>VLOOKUP(C521,A!A$1:V$669,20,FALSE)</f>
        <v>0</v>
      </c>
      <c r="N521" s="44">
        <v>1</v>
      </c>
      <c r="O521" s="533">
        <f>VLOOKUP(C521,A!A$1:V$669,16,FALSE)</f>
        <v>0</v>
      </c>
      <c r="P521" s="533" t="s">
        <v>687</v>
      </c>
      <c r="Q521" s="533" t="str">
        <f>IF(S521=0,"",COUNTIF(Q$12:Q520,"&gt;0")+1)</f>
        <v/>
      </c>
      <c r="R521" s="533" t="str">
        <f>IF(S521=0,"",COUNTIF(R$12:R520,"&gt;0")+1)</f>
        <v/>
      </c>
      <c r="S521" s="533">
        <f t="shared" si="100"/>
        <v>0</v>
      </c>
      <c r="T521" s="533">
        <f>VLOOKUP(C521,A!A$1:AH$669,33,FALSE)</f>
        <v>0</v>
      </c>
      <c r="U521" s="533">
        <v>0.16</v>
      </c>
      <c r="V521" s="533"/>
      <c r="W521" s="533"/>
      <c r="X521" s="533"/>
      <c r="Y521" s="533"/>
      <c r="Z521" s="533"/>
      <c r="AA521" s="533"/>
      <c r="AB521" s="533"/>
      <c r="AC521" s="533"/>
      <c r="AD521" s="533"/>
      <c r="AE521" s="533"/>
      <c r="AF521" s="533"/>
      <c r="AG521" s="533"/>
      <c r="AH521" s="533"/>
      <c r="AI521" s="533"/>
      <c r="AJ521" s="533"/>
      <c r="AK521" s="533"/>
      <c r="AL521" s="533"/>
      <c r="AM521" s="533"/>
      <c r="AN521" s="533"/>
      <c r="AO521" s="533"/>
      <c r="AP521" s="533"/>
      <c r="AQ521" s="533"/>
      <c r="AR521" s="533"/>
      <c r="AS521" s="533"/>
      <c r="AT521" s="533"/>
      <c r="AU521" s="533"/>
    </row>
    <row r="522" spans="1:47" ht="11.25" hidden="1" customHeight="1" x14ac:dyDescent="0.25">
      <c r="A522" s="41"/>
      <c r="B522" s="104" t="s">
        <v>1136</v>
      </c>
      <c r="C522" s="695" t="s">
        <v>690</v>
      </c>
      <c r="D522" s="636"/>
      <c r="E522" s="828"/>
      <c r="F522" s="688" t="s">
        <v>103</v>
      </c>
      <c r="G522" s="26" t="s">
        <v>104</v>
      </c>
      <c r="H522" s="27">
        <f>VLOOKUP(C522,A!A$1:V$669,22,FALSE)</f>
        <v>0</v>
      </c>
      <c r="I522" s="27"/>
      <c r="J522" s="28">
        <f>IF(VLOOKUP(C522,A!A$1:V$669,18,FALSE)="y",1,0)</f>
        <v>0</v>
      </c>
      <c r="K522" s="28">
        <v>1</v>
      </c>
      <c r="L522" s="544"/>
      <c r="M522" s="27">
        <f>VLOOKUP(C522,A!A$1:V$669,20,FALSE)</f>
        <v>0</v>
      </c>
      <c r="N522" s="44" t="s">
        <v>39</v>
      </c>
      <c r="O522" s="533">
        <f>VLOOKUP(C522,A!A$1:V$669,16,FALSE)</f>
        <v>0</v>
      </c>
      <c r="P522" s="533" t="s">
        <v>687</v>
      </c>
      <c r="Q522" s="533" t="str">
        <f>IF(S522=0,"",COUNTIF(Q$12:Q521,"&gt;0")+1)</f>
        <v/>
      </c>
      <c r="R522" s="533" t="str">
        <f>IF(S522=0,"",COUNTIF(R$12:R521,"&gt;0")+1)</f>
        <v/>
      </c>
      <c r="S522" s="533">
        <f t="shared" si="100"/>
        <v>0</v>
      </c>
      <c r="T522" s="533">
        <f>VLOOKUP(C522,A!A$1:AH$669,33,FALSE)</f>
        <v>0</v>
      </c>
      <c r="U522" s="533">
        <v>0.16</v>
      </c>
      <c r="V522" s="533"/>
      <c r="W522" s="533"/>
      <c r="X522" s="533"/>
      <c r="Y522" s="533"/>
      <c r="Z522" s="533"/>
      <c r="AA522" s="533"/>
      <c r="AB522" s="533"/>
      <c r="AC522" s="533"/>
      <c r="AD522" s="533"/>
      <c r="AE522" s="533"/>
      <c r="AF522" s="533"/>
      <c r="AG522" s="533"/>
      <c r="AH522" s="533"/>
      <c r="AI522" s="533"/>
      <c r="AJ522" s="533"/>
      <c r="AK522" s="533"/>
      <c r="AL522" s="533"/>
      <c r="AM522" s="533"/>
      <c r="AN522" s="533"/>
      <c r="AO522" s="533"/>
      <c r="AP522" s="533"/>
      <c r="AQ522" s="533"/>
      <c r="AR522" s="533"/>
      <c r="AS522" s="533"/>
      <c r="AT522" s="533"/>
      <c r="AU522" s="533"/>
    </row>
    <row r="523" spans="1:47" ht="11.25" hidden="1" customHeight="1" x14ac:dyDescent="0.25">
      <c r="A523" s="41"/>
      <c r="B523" s="104" t="s">
        <v>1136</v>
      </c>
      <c r="C523" s="695" t="s">
        <v>107</v>
      </c>
      <c r="D523" s="636"/>
      <c r="E523" s="828"/>
      <c r="F523" s="688" t="s">
        <v>108</v>
      </c>
      <c r="G523" s="26" t="s">
        <v>109</v>
      </c>
      <c r="H523" s="27">
        <f>VLOOKUP(C523,A!A$1:V$669,22,FALSE)</f>
        <v>1</v>
      </c>
      <c r="I523" s="27"/>
      <c r="J523" s="28">
        <f>IF(VLOOKUP(C523,A!A$1:V$669,18,FALSE)="y",1,0)</f>
        <v>0</v>
      </c>
      <c r="K523" s="28">
        <v>1</v>
      </c>
      <c r="L523" s="544"/>
      <c r="M523" s="27">
        <f>VLOOKUP(C523,A!A$1:V$669,20,FALSE)</f>
        <v>0</v>
      </c>
      <c r="N523" s="44" t="s">
        <v>39</v>
      </c>
      <c r="O523" s="533">
        <f>VLOOKUP(C523,A!A$1:V$669,16,FALSE)</f>
        <v>0</v>
      </c>
      <c r="P523" s="533" t="s">
        <v>687</v>
      </c>
      <c r="Q523" s="533" t="str">
        <f>IF(S523=0,"",COUNTIF(Q$12:Q522,"&gt;0")+1)</f>
        <v/>
      </c>
      <c r="R523" s="533" t="str">
        <f>IF(S523=0,"",COUNTIF(R$12:R522,"&gt;0")+1)</f>
        <v/>
      </c>
      <c r="S523" s="533">
        <f t="shared" si="100"/>
        <v>0</v>
      </c>
      <c r="T523" s="533">
        <f>VLOOKUP(C523,A!A$1:AH$669,33,FALSE)</f>
        <v>0</v>
      </c>
      <c r="U523" s="533">
        <v>0.16</v>
      </c>
      <c r="V523" s="533"/>
      <c r="W523" s="533"/>
      <c r="X523" s="533"/>
      <c r="Y523" s="533"/>
      <c r="Z523" s="533"/>
      <c r="AA523" s="533"/>
      <c r="AB523" s="533"/>
      <c r="AC523" s="533"/>
      <c r="AD523" s="533"/>
      <c r="AE523" s="533"/>
      <c r="AF523" s="533"/>
      <c r="AG523" s="533"/>
      <c r="AH523" s="533"/>
      <c r="AI523" s="533"/>
      <c r="AJ523" s="533"/>
      <c r="AK523" s="533"/>
      <c r="AL523" s="533"/>
      <c r="AM523" s="533"/>
      <c r="AN523" s="533"/>
      <c r="AO523" s="533"/>
      <c r="AP523" s="533"/>
      <c r="AQ523" s="533"/>
      <c r="AR523" s="533"/>
      <c r="AS523" s="533"/>
      <c r="AT523" s="533"/>
      <c r="AU523" s="533"/>
    </row>
    <row r="524" spans="1:47" ht="13.5" hidden="1" customHeight="1" x14ac:dyDescent="0.25">
      <c r="A524" s="41"/>
      <c r="B524" s="104" t="s">
        <v>1136</v>
      </c>
      <c r="C524" s="695" t="s">
        <v>1799</v>
      </c>
      <c r="D524" s="727"/>
      <c r="E524" s="828"/>
      <c r="F524" s="740" t="s">
        <v>1810</v>
      </c>
      <c r="G524" s="26" t="s">
        <v>1809</v>
      </c>
      <c r="H524" s="27">
        <f>VLOOKUP(C524,A!A$1:O$669,15,FALSE)</f>
        <v>2</v>
      </c>
      <c r="I524" s="27"/>
      <c r="J524" s="28">
        <f>IF(VLOOKUP(C524,A!A$1:O$669,11,FALSE)="y",1,0)</f>
        <v>0</v>
      </c>
      <c r="K524" s="28">
        <f>IF(VLOOKUP(C524,A!A$1:O$669,12,FALSE)="y",1,0)</f>
        <v>0</v>
      </c>
      <c r="L524" s="544"/>
      <c r="M524" s="27"/>
      <c r="N524" s="44" t="s">
        <v>31</v>
      </c>
      <c r="O524" s="533">
        <f>VLOOKUP(C524,A!A$1:V$669,16,FALSE)</f>
        <v>0</v>
      </c>
      <c r="P524" s="533" t="s">
        <v>687</v>
      </c>
      <c r="Q524" s="533" t="str">
        <f>IF(S524=0,"",COUNTIF(Q$12:Q523,"&gt;0")+1)</f>
        <v/>
      </c>
      <c r="R524" s="533" t="str">
        <f>IF(S524=0,"",COUNTIF(R$12:R523,"&gt;0")+1)</f>
        <v/>
      </c>
      <c r="S524" s="533">
        <f t="shared" si="100"/>
        <v>0</v>
      </c>
      <c r="T524" s="533">
        <v>60</v>
      </c>
      <c r="U524" s="533">
        <v>0.16</v>
      </c>
      <c r="V524" s="533"/>
      <c r="W524" s="533"/>
      <c r="X524" s="533"/>
      <c r="Y524" s="533"/>
      <c r="Z524" s="533"/>
      <c r="AA524" s="533"/>
      <c r="AB524" s="533"/>
      <c r="AC524" s="533"/>
      <c r="AD524" s="533"/>
      <c r="AE524" s="533"/>
      <c r="AF524" s="533"/>
      <c r="AG524" s="533"/>
      <c r="AH524" s="533"/>
      <c r="AI524" s="533"/>
      <c r="AJ524" s="533"/>
      <c r="AK524" s="533"/>
      <c r="AL524" s="533"/>
      <c r="AM524" s="533"/>
      <c r="AN524" s="533"/>
      <c r="AO524" s="533"/>
      <c r="AP524" s="533"/>
      <c r="AQ524" s="533"/>
      <c r="AR524" s="533"/>
      <c r="AS524" s="533"/>
      <c r="AT524" s="533"/>
      <c r="AU524" s="533"/>
    </row>
    <row r="525" spans="1:47" ht="13.5" hidden="1" customHeight="1" x14ac:dyDescent="0.25">
      <c r="A525" s="41"/>
      <c r="B525" s="104" t="s">
        <v>1136</v>
      </c>
      <c r="C525" s="695" t="s">
        <v>1795</v>
      </c>
      <c r="D525" s="727"/>
      <c r="E525" s="828"/>
      <c r="F525" s="740" t="s">
        <v>1811</v>
      </c>
      <c r="G525" s="26" t="s">
        <v>1808</v>
      </c>
      <c r="H525" s="27">
        <f>VLOOKUP(C525,A!A$1:O$669,15,FALSE)</f>
        <v>2</v>
      </c>
      <c r="I525" s="27"/>
      <c r="J525" s="28">
        <f>IF(VLOOKUP(C525,A!A$1:O$669,11,FALSE)="y",1,0)</f>
        <v>0</v>
      </c>
      <c r="K525" s="28">
        <f>IF(VLOOKUP(C525,A!A$1:O$669,12,FALSE)="y",1,0)</f>
        <v>0</v>
      </c>
      <c r="L525" s="544"/>
      <c r="M525" s="27"/>
      <c r="N525" s="44" t="s">
        <v>31</v>
      </c>
      <c r="O525" s="533">
        <f>VLOOKUP(C525,A!A$1:V$669,16,FALSE)</f>
        <v>0</v>
      </c>
      <c r="P525" s="533" t="s">
        <v>687</v>
      </c>
      <c r="Q525" s="533" t="str">
        <f>IF(S525=0,"",COUNTIF(Q$12:Q524,"&gt;0")+1)</f>
        <v/>
      </c>
      <c r="R525" s="533" t="str">
        <f>IF(S525=0,"",COUNTIF(R$12:R524,"&gt;0")+1)</f>
        <v/>
      </c>
      <c r="S525" s="533">
        <f t="shared" si="100"/>
        <v>0</v>
      </c>
      <c r="T525" s="533">
        <v>60</v>
      </c>
      <c r="U525" s="533">
        <v>0.16</v>
      </c>
      <c r="V525" s="533"/>
      <c r="W525" s="533"/>
      <c r="X525" s="533"/>
      <c r="Y525" s="533"/>
      <c r="Z525" s="533"/>
      <c r="AA525" s="533"/>
      <c r="AB525" s="533"/>
      <c r="AC525" s="533"/>
      <c r="AD525" s="533"/>
      <c r="AE525" s="533"/>
      <c r="AF525" s="533"/>
      <c r="AG525" s="533"/>
      <c r="AH525" s="533"/>
      <c r="AI525" s="533"/>
      <c r="AJ525" s="533"/>
      <c r="AK525" s="533"/>
      <c r="AL525" s="533"/>
      <c r="AM525" s="533"/>
      <c r="AN525" s="533"/>
      <c r="AO525" s="533"/>
      <c r="AP525" s="533"/>
      <c r="AQ525" s="533"/>
      <c r="AR525" s="533"/>
      <c r="AS525" s="533"/>
      <c r="AT525" s="533"/>
      <c r="AU525" s="533"/>
    </row>
    <row r="526" spans="1:47" ht="11.25" hidden="1" customHeight="1" x14ac:dyDescent="0.25">
      <c r="A526" s="41"/>
      <c r="B526" s="104" t="s">
        <v>1136</v>
      </c>
      <c r="C526" s="695" t="s">
        <v>110</v>
      </c>
      <c r="D526" s="636"/>
      <c r="E526" s="828"/>
      <c r="F526" s="688" t="s">
        <v>111</v>
      </c>
      <c r="G526" s="26" t="s">
        <v>112</v>
      </c>
      <c r="H526" s="27">
        <f>VLOOKUP(C526,A!A$1:V$669,22,FALSE)</f>
        <v>0</v>
      </c>
      <c r="I526" s="27"/>
      <c r="J526" s="28">
        <f>IF(VLOOKUP(C526,A!A$1:O$669,11,FALSE)="y",1,0)</f>
        <v>0</v>
      </c>
      <c r="K526" s="28">
        <f>IF(VLOOKUP(C526,A!A$1:O$669,12,FALSE)="y",1,0)</f>
        <v>0</v>
      </c>
      <c r="L526" s="544"/>
      <c r="M526" s="27">
        <f>VLOOKUP(C526,A!A$1:V$669,20,FALSE)</f>
        <v>0</v>
      </c>
      <c r="N526" s="44" t="s">
        <v>31</v>
      </c>
      <c r="O526" s="533">
        <f>VLOOKUP(C526,A!A$1:V$669,16,FALSE)</f>
        <v>0</v>
      </c>
      <c r="P526" s="533" t="s">
        <v>687</v>
      </c>
      <c r="Q526" s="533" t="str">
        <f>IF(S526=0,"",COUNTIF(Q$12:Q525,"&gt;0")+1)</f>
        <v/>
      </c>
      <c r="R526" s="533" t="str">
        <f>IF(S526=0,"",COUNTIF(R$12:R525,"&gt;0")+1)</f>
        <v/>
      </c>
      <c r="S526" s="533">
        <f t="shared" si="100"/>
        <v>0</v>
      </c>
      <c r="T526" s="533">
        <v>60</v>
      </c>
      <c r="U526" s="533">
        <v>0.16</v>
      </c>
      <c r="V526" s="533"/>
      <c r="W526" s="533"/>
      <c r="X526" s="533"/>
      <c r="Y526" s="533"/>
      <c r="Z526" s="533"/>
      <c r="AA526" s="533"/>
      <c r="AB526" s="533"/>
      <c r="AC526" s="533"/>
      <c r="AD526" s="533"/>
      <c r="AE526" s="533"/>
      <c r="AF526" s="533"/>
      <c r="AG526" s="533"/>
      <c r="AH526" s="533"/>
      <c r="AI526" s="533"/>
      <c r="AJ526" s="533"/>
      <c r="AK526" s="533"/>
      <c r="AL526" s="533"/>
      <c r="AM526" s="533"/>
      <c r="AN526" s="533"/>
      <c r="AO526" s="533"/>
      <c r="AP526" s="533"/>
      <c r="AQ526" s="533"/>
      <c r="AR526" s="533"/>
      <c r="AS526" s="533"/>
      <c r="AT526" s="533"/>
      <c r="AU526" s="533"/>
    </row>
    <row r="527" spans="1:47" ht="13.5" hidden="1" customHeight="1" x14ac:dyDescent="0.25">
      <c r="A527" s="41"/>
      <c r="B527" s="104" t="s">
        <v>1136</v>
      </c>
      <c r="C527" s="695" t="s">
        <v>116</v>
      </c>
      <c r="D527" s="636"/>
      <c r="E527" s="828"/>
      <c r="F527" s="688" t="s">
        <v>117</v>
      </c>
      <c r="G527" s="26" t="s">
        <v>118</v>
      </c>
      <c r="H527" s="27">
        <v>2</v>
      </c>
      <c r="I527" s="27"/>
      <c r="J527" s="28">
        <f>IF(VLOOKUP(C527,A!A$1:O$669,11,FALSE)="y",1,0)</f>
        <v>0</v>
      </c>
      <c r="K527" s="28">
        <f>IF(VLOOKUP(C527,A!A$1:O$669,12,FALSE)="y",1,0)</f>
        <v>0</v>
      </c>
      <c r="L527" s="544"/>
      <c r="M527" s="27">
        <v>0</v>
      </c>
      <c r="N527" s="44" t="s">
        <v>31</v>
      </c>
      <c r="O527" s="533">
        <f>VLOOKUP(C527,A!A$1:V$669,16,FALSE)</f>
        <v>0</v>
      </c>
      <c r="P527" s="533" t="s">
        <v>687</v>
      </c>
      <c r="Q527" s="533" t="str">
        <f>IF(S527=0,"",COUNTIF(Q$12:Q526,"&gt;0")+1)</f>
        <v/>
      </c>
      <c r="R527" s="533" t="str">
        <f>IF(S527=0,"",COUNTIF(R$12:R526,"&gt;0")+1)</f>
        <v/>
      </c>
      <c r="S527" s="533">
        <f t="shared" si="100"/>
        <v>0</v>
      </c>
      <c r="T527" s="533">
        <v>60</v>
      </c>
      <c r="U527" s="533">
        <v>0.16</v>
      </c>
      <c r="V527" s="533"/>
      <c r="W527" s="533"/>
      <c r="X527" s="533"/>
      <c r="Y527" s="533"/>
      <c r="Z527" s="533"/>
      <c r="AA527" s="533"/>
      <c r="AB527" s="533"/>
      <c r="AC527" s="533"/>
      <c r="AD527" s="533"/>
      <c r="AE527" s="533"/>
      <c r="AF527" s="533"/>
      <c r="AG527" s="533"/>
      <c r="AH527" s="533"/>
      <c r="AI527" s="533"/>
      <c r="AJ527" s="533"/>
      <c r="AK527" s="533"/>
      <c r="AL527" s="533"/>
      <c r="AM527" s="533"/>
      <c r="AN527" s="533"/>
      <c r="AO527" s="533"/>
      <c r="AP527" s="533"/>
      <c r="AQ527" s="533"/>
      <c r="AR527" s="533"/>
      <c r="AS527" s="533"/>
      <c r="AT527" s="533"/>
      <c r="AU527" s="533"/>
    </row>
    <row r="528" spans="1:47" ht="13.5" hidden="1" customHeight="1" x14ac:dyDescent="0.25">
      <c r="A528" s="41"/>
      <c r="B528" s="104" t="s">
        <v>1136</v>
      </c>
      <c r="C528" s="695" t="s">
        <v>119</v>
      </c>
      <c r="D528" s="720"/>
      <c r="E528" s="1067"/>
      <c r="F528" s="688" t="s">
        <v>120</v>
      </c>
      <c r="G528" s="26" t="s">
        <v>121</v>
      </c>
      <c r="H528" s="27">
        <f>VLOOKUP(C528,A!A$1:V$669,22,FALSE)</f>
        <v>1</v>
      </c>
      <c r="I528" s="27"/>
      <c r="J528" s="28">
        <f>IF(VLOOKUP(C528,A!A$1:V$669,18,FALSE)="y",1,0)</f>
        <v>0</v>
      </c>
      <c r="K528" s="28">
        <v>1</v>
      </c>
      <c r="L528" s="544"/>
      <c r="M528" s="27">
        <f>VLOOKUP(C528,A!A$1:V$669,20,FALSE)</f>
        <v>0</v>
      </c>
      <c r="N528" s="44" t="s">
        <v>31</v>
      </c>
      <c r="O528" s="533">
        <f>VLOOKUP(C528,A!A$1:V$669,16,FALSE)</f>
        <v>0</v>
      </c>
      <c r="P528" s="533" t="s">
        <v>687</v>
      </c>
      <c r="Q528" s="533" t="str">
        <f>IF(S528=0,"",COUNTIF(Q$12:Q527,"&gt;0")+1)</f>
        <v/>
      </c>
      <c r="R528" s="533" t="str">
        <f>IF(S528=0,"",COUNTIF(R$12:R527,"&gt;0")+1)</f>
        <v/>
      </c>
      <c r="S528" s="533">
        <f t="shared" si="100"/>
        <v>0</v>
      </c>
      <c r="T528" s="533">
        <f>VLOOKUP(C528,A!A$1:AH$669,33,FALSE)</f>
        <v>0</v>
      </c>
      <c r="U528" s="533">
        <v>0.16</v>
      </c>
      <c r="V528" s="533"/>
      <c r="W528" s="533"/>
      <c r="X528" s="533"/>
      <c r="Y528" s="533"/>
      <c r="Z528" s="533"/>
      <c r="AA528" s="533"/>
      <c r="AB528" s="533"/>
      <c r="AC528" s="533"/>
      <c r="AD528" s="533"/>
      <c r="AE528" s="533"/>
      <c r="AF528" s="533"/>
      <c r="AG528" s="533"/>
      <c r="AH528" s="533"/>
      <c r="AI528" s="533"/>
      <c r="AJ528" s="533"/>
      <c r="AK528" s="533"/>
      <c r="AL528" s="533"/>
      <c r="AM528" s="533"/>
      <c r="AN528" s="533"/>
      <c r="AO528" s="533"/>
      <c r="AP528" s="533"/>
      <c r="AQ528" s="533"/>
      <c r="AR528" s="533"/>
      <c r="AS528" s="533"/>
      <c r="AT528" s="533"/>
      <c r="AU528" s="533"/>
    </row>
    <row r="529" spans="1:47" ht="13.5" hidden="1" customHeight="1" x14ac:dyDescent="0.25">
      <c r="A529" s="41"/>
      <c r="B529" s="104" t="s">
        <v>1136</v>
      </c>
      <c r="C529" s="695" t="s">
        <v>1787</v>
      </c>
      <c r="D529" s="720"/>
      <c r="E529" s="1067"/>
      <c r="F529" s="688" t="s">
        <v>1785</v>
      </c>
      <c r="G529" s="26" t="s">
        <v>1786</v>
      </c>
      <c r="H529" s="27">
        <v>1</v>
      </c>
      <c r="I529" s="27"/>
      <c r="J529" s="28">
        <v>1</v>
      </c>
      <c r="K529" s="28">
        <v>1</v>
      </c>
      <c r="L529" s="544"/>
      <c r="M529" s="27" t="s">
        <v>32</v>
      </c>
      <c r="N529" s="44" t="s">
        <v>494</v>
      </c>
      <c r="O529" s="533">
        <f>VLOOKUP(C529,A!A$1:V$669,16,FALSE)</f>
        <v>0</v>
      </c>
      <c r="P529" s="533" t="s">
        <v>687</v>
      </c>
      <c r="Q529" s="533" t="str">
        <f>IF(S529=0,"",COUNTIF(Q$12:Q528,"&gt;0")+1)</f>
        <v/>
      </c>
      <c r="R529" s="533" t="str">
        <f>IF(S529=0,"",COUNTIF(R$12:R528,"&gt;0")+1)</f>
        <v/>
      </c>
      <c r="S529" s="533">
        <f t="shared" si="100"/>
        <v>0</v>
      </c>
      <c r="T529" s="533">
        <f>VLOOKUP(C529,A!A$1:AH$669,33,FALSE)</f>
        <v>0</v>
      </c>
      <c r="U529" s="533">
        <v>0.16</v>
      </c>
      <c r="V529" s="533"/>
      <c r="W529" s="533"/>
      <c r="X529" s="533"/>
      <c r="Y529" s="533"/>
      <c r="Z529" s="533"/>
      <c r="AA529" s="533"/>
      <c r="AB529" s="533"/>
      <c r="AC529" s="533"/>
      <c r="AD529" s="533"/>
      <c r="AE529" s="533"/>
      <c r="AF529" s="533"/>
      <c r="AG529" s="533"/>
      <c r="AH529" s="533"/>
      <c r="AI529" s="533"/>
      <c r="AJ529" s="533"/>
      <c r="AK529" s="533"/>
      <c r="AL529" s="533"/>
      <c r="AM529" s="533"/>
      <c r="AN529" s="533"/>
      <c r="AO529" s="533"/>
      <c r="AP529" s="533"/>
      <c r="AQ529" s="533"/>
      <c r="AR529" s="533"/>
      <c r="AS529" s="533"/>
      <c r="AT529" s="533"/>
      <c r="AU529" s="533"/>
    </row>
    <row r="530" spans="1:47" ht="13.5" hidden="1" customHeight="1" x14ac:dyDescent="0.25">
      <c r="A530" s="41"/>
      <c r="B530" s="104" t="s">
        <v>1136</v>
      </c>
      <c r="C530" s="695" t="s">
        <v>1813</v>
      </c>
      <c r="D530" s="720"/>
      <c r="E530" s="1067"/>
      <c r="F530" s="688" t="s">
        <v>1818</v>
      </c>
      <c r="G530" s="26" t="s">
        <v>1822</v>
      </c>
      <c r="H530" s="27">
        <v>2</v>
      </c>
      <c r="I530" s="27"/>
      <c r="J530" s="28">
        <v>1</v>
      </c>
      <c r="K530" s="28">
        <v>1</v>
      </c>
      <c r="L530" s="544"/>
      <c r="M530" s="27"/>
      <c r="N530" s="44">
        <v>1</v>
      </c>
      <c r="O530" s="533">
        <f>VLOOKUP(C530,A!A$1:V$669,16,FALSE)</f>
        <v>0</v>
      </c>
      <c r="P530" s="533" t="s">
        <v>687</v>
      </c>
      <c r="Q530" s="533" t="str">
        <f>IF(S530=0,"",COUNTIF(Q$12:Q529,"&gt;0")+1)</f>
        <v/>
      </c>
      <c r="R530" s="533" t="str">
        <f>IF(S530=0,"",COUNTIF(R$12:R529,"&gt;0")+1)</f>
        <v/>
      </c>
      <c r="S530" s="533">
        <f t="shared" si="100"/>
        <v>0</v>
      </c>
      <c r="T530" s="533">
        <v>40</v>
      </c>
      <c r="U530" s="533">
        <v>0.16</v>
      </c>
      <c r="V530" s="533"/>
      <c r="W530" s="533"/>
      <c r="X530" s="533"/>
      <c r="Y530" s="533"/>
      <c r="Z530" s="533"/>
      <c r="AA530" s="533"/>
      <c r="AB530" s="533"/>
      <c r="AC530" s="533"/>
      <c r="AD530" s="533"/>
      <c r="AE530" s="533"/>
      <c r="AF530" s="533"/>
      <c r="AG530" s="533"/>
      <c r="AH530" s="533"/>
      <c r="AI530" s="533"/>
      <c r="AJ530" s="533"/>
      <c r="AK530" s="533"/>
      <c r="AL530" s="533"/>
      <c r="AM530" s="533"/>
      <c r="AN530" s="533"/>
      <c r="AO530" s="533"/>
      <c r="AP530" s="533"/>
      <c r="AQ530" s="533"/>
      <c r="AR530" s="533"/>
      <c r="AS530" s="533"/>
      <c r="AT530" s="533"/>
      <c r="AU530" s="533"/>
    </row>
    <row r="531" spans="1:47" ht="13.5" hidden="1" customHeight="1" x14ac:dyDescent="0.25">
      <c r="A531" s="41"/>
      <c r="B531" s="104" t="s">
        <v>1136</v>
      </c>
      <c r="C531" s="695" t="s">
        <v>1815</v>
      </c>
      <c r="D531" s="720"/>
      <c r="E531" s="1067"/>
      <c r="F531" s="688" t="s">
        <v>1819</v>
      </c>
      <c r="G531" s="26" t="s">
        <v>1823</v>
      </c>
      <c r="H531" s="27">
        <v>2</v>
      </c>
      <c r="I531" s="27"/>
      <c r="J531" s="28">
        <v>1</v>
      </c>
      <c r="K531" s="28">
        <v>1</v>
      </c>
      <c r="L531" s="544"/>
      <c r="M531" s="27"/>
      <c r="N531" s="44">
        <v>1</v>
      </c>
      <c r="O531" s="533">
        <f>VLOOKUP(C531,A!A$1:V$669,16,FALSE)</f>
        <v>0</v>
      </c>
      <c r="P531" s="533" t="s">
        <v>687</v>
      </c>
      <c r="Q531" s="533" t="str">
        <f>IF(S531=0,"",COUNTIF(Q$12:Q530,"&gt;0")+1)</f>
        <v/>
      </c>
      <c r="R531" s="533" t="str">
        <f>IF(S531=0,"",COUNTIF(R$12:R530,"&gt;0")+1)</f>
        <v/>
      </c>
      <c r="S531" s="533">
        <f t="shared" si="100"/>
        <v>0</v>
      </c>
      <c r="T531" s="533">
        <v>40</v>
      </c>
      <c r="U531" s="533">
        <v>0.16</v>
      </c>
      <c r="V531" s="533"/>
      <c r="W531" s="533"/>
      <c r="X531" s="533"/>
      <c r="Y531" s="533"/>
      <c r="Z531" s="533"/>
      <c r="AA531" s="533"/>
      <c r="AB531" s="533"/>
      <c r="AC531" s="533"/>
      <c r="AD531" s="533"/>
      <c r="AE531" s="533"/>
      <c r="AF531" s="533"/>
      <c r="AG531" s="533"/>
      <c r="AH531" s="533"/>
      <c r="AI531" s="533"/>
      <c r="AJ531" s="533"/>
      <c r="AK531" s="533"/>
      <c r="AL531" s="533"/>
      <c r="AM531" s="533"/>
      <c r="AN531" s="533"/>
      <c r="AO531" s="533"/>
      <c r="AP531" s="533"/>
      <c r="AQ531" s="533"/>
      <c r="AR531" s="533"/>
      <c r="AS531" s="533"/>
      <c r="AT531" s="533"/>
      <c r="AU531" s="533"/>
    </row>
    <row r="532" spans="1:47" ht="13.5" hidden="1" customHeight="1" x14ac:dyDescent="0.25">
      <c r="A532" s="41"/>
      <c r="B532" s="104" t="s">
        <v>1136</v>
      </c>
      <c r="C532" s="695" t="s">
        <v>122</v>
      </c>
      <c r="D532" s="720"/>
      <c r="E532" s="1067"/>
      <c r="F532" s="688" t="s">
        <v>558</v>
      </c>
      <c r="G532" s="26" t="s">
        <v>559</v>
      </c>
      <c r="H532" s="27">
        <v>2</v>
      </c>
      <c r="I532" s="27"/>
      <c r="J532" s="28">
        <v>1</v>
      </c>
      <c r="K532" s="28">
        <v>1</v>
      </c>
      <c r="L532" s="544"/>
      <c r="M532" s="27"/>
      <c r="N532" s="44">
        <v>1</v>
      </c>
      <c r="O532" s="533">
        <f>VLOOKUP(C532,A!A$1:V$669,16,FALSE)</f>
        <v>0</v>
      </c>
      <c r="P532" s="533" t="s">
        <v>687</v>
      </c>
      <c r="Q532" s="533" t="str">
        <f>IF(S532=0,"",COUNTIF(Q$12:Q531,"&gt;0")+1)</f>
        <v/>
      </c>
      <c r="R532" s="533" t="str">
        <f>IF(S532=0,"",COUNTIF(R$12:R531,"&gt;0")+1)</f>
        <v/>
      </c>
      <c r="S532" s="533">
        <f t="shared" si="100"/>
        <v>0</v>
      </c>
      <c r="T532" s="533">
        <v>40</v>
      </c>
      <c r="U532" s="533">
        <v>0.16</v>
      </c>
      <c r="V532" s="533"/>
      <c r="W532" s="533"/>
      <c r="X532" s="533"/>
      <c r="Y532" s="533"/>
      <c r="Z532" s="533"/>
      <c r="AA532" s="533"/>
      <c r="AB532" s="533"/>
      <c r="AC532" s="533"/>
      <c r="AD532" s="533"/>
      <c r="AE532" s="533"/>
      <c r="AF532" s="533"/>
      <c r="AG532" s="533"/>
      <c r="AH532" s="533"/>
      <c r="AI532" s="533"/>
      <c r="AJ532" s="533"/>
      <c r="AK532" s="533"/>
      <c r="AL532" s="533"/>
      <c r="AM532" s="533"/>
      <c r="AN532" s="533"/>
      <c r="AO532" s="533"/>
      <c r="AP532" s="533"/>
      <c r="AQ532" s="533"/>
      <c r="AR532" s="533"/>
      <c r="AS532" s="533"/>
      <c r="AT532" s="533"/>
      <c r="AU532" s="533"/>
    </row>
    <row r="533" spans="1:47" ht="13.5" hidden="1" customHeight="1" x14ac:dyDescent="0.25">
      <c r="A533" s="41"/>
      <c r="B533" s="104" t="s">
        <v>1136</v>
      </c>
      <c r="C533" s="695" t="s">
        <v>1814</v>
      </c>
      <c r="D533" s="720"/>
      <c r="E533" s="1067"/>
      <c r="F533" s="688" t="s">
        <v>1820</v>
      </c>
      <c r="G533" s="26" t="s">
        <v>1824</v>
      </c>
      <c r="H533" s="27">
        <v>2</v>
      </c>
      <c r="I533" s="27"/>
      <c r="J533" s="28">
        <v>1</v>
      </c>
      <c r="K533" s="28">
        <v>1</v>
      </c>
      <c r="L533" s="544"/>
      <c r="M533" s="27"/>
      <c r="N533" s="44">
        <v>1</v>
      </c>
      <c r="O533" s="533">
        <f>VLOOKUP(C533,A!A$1:V$669,16,FALSE)</f>
        <v>0</v>
      </c>
      <c r="P533" s="533" t="s">
        <v>687</v>
      </c>
      <c r="Q533" s="533" t="str">
        <f>IF(S533=0,"",COUNTIF(Q$12:Q532,"&gt;0")+1)</f>
        <v/>
      </c>
      <c r="R533" s="533" t="str">
        <f>IF(S533=0,"",COUNTIF(R$12:R532,"&gt;0")+1)</f>
        <v/>
      </c>
      <c r="S533" s="533">
        <f t="shared" si="100"/>
        <v>0</v>
      </c>
      <c r="T533" s="533">
        <v>40</v>
      </c>
      <c r="U533" s="533">
        <v>0.16</v>
      </c>
      <c r="V533" s="533"/>
      <c r="W533" s="533"/>
      <c r="X533" s="533"/>
      <c r="Y533" s="533"/>
      <c r="Z533" s="533"/>
      <c r="AA533" s="533"/>
      <c r="AB533" s="533"/>
      <c r="AC533" s="533"/>
      <c r="AD533" s="533"/>
      <c r="AE533" s="533"/>
      <c r="AF533" s="533"/>
      <c r="AG533" s="533"/>
      <c r="AH533" s="533"/>
      <c r="AI533" s="533"/>
      <c r="AJ533" s="533"/>
      <c r="AK533" s="533"/>
      <c r="AL533" s="533"/>
      <c r="AM533" s="533"/>
      <c r="AN533" s="533"/>
      <c r="AO533" s="533"/>
      <c r="AP533" s="533"/>
      <c r="AQ533" s="533"/>
      <c r="AR533" s="533"/>
      <c r="AS533" s="533"/>
      <c r="AT533" s="533"/>
      <c r="AU533" s="533"/>
    </row>
    <row r="534" spans="1:47" ht="13.5" customHeight="1" x14ac:dyDescent="0.25">
      <c r="A534" s="41"/>
      <c r="B534" s="104" t="s">
        <v>1136</v>
      </c>
      <c r="C534" s="695" t="s">
        <v>125</v>
      </c>
      <c r="D534" s="636"/>
      <c r="E534" s="828"/>
      <c r="F534" s="688" t="s">
        <v>126</v>
      </c>
      <c r="G534" s="26" t="s">
        <v>127</v>
      </c>
      <c r="H534" s="27">
        <v>1</v>
      </c>
      <c r="I534" s="27"/>
      <c r="J534" s="28">
        <f>IF(VLOOKUP(C534,A!A$1:V$669,18,FALSE)="y",1,0)</f>
        <v>1</v>
      </c>
      <c r="K534" s="28">
        <f>IF(VLOOKUP(C534,A!A$1:O$669,12,FALSE)="y",1,0)</f>
        <v>0</v>
      </c>
      <c r="L534" s="544"/>
      <c r="M534" s="27">
        <f>VLOOKUP(C534,A!A$1:V$669,20,FALSE)</f>
        <v>0</v>
      </c>
      <c r="N534" s="44" t="s">
        <v>39</v>
      </c>
      <c r="O534" s="533" t="str">
        <f>VLOOKUP(C534,A!A$1:V$669,16,FALSE)</f>
        <v>y</v>
      </c>
      <c r="P534" s="533" t="s">
        <v>687</v>
      </c>
      <c r="Q534" s="533" t="str">
        <f>IF(S534=0,"",COUNTIF(Q$12:Q533,"&gt;0")+1)</f>
        <v/>
      </c>
      <c r="R534" s="533" t="str">
        <f>IF(S534=0,"",COUNTIF(R$12:R533,"&gt;0")+1)</f>
        <v/>
      </c>
      <c r="S534" s="533">
        <f t="shared" si="100"/>
        <v>0</v>
      </c>
      <c r="T534" s="533">
        <f>VLOOKUP(C534,A!A$1:AH$669,33,FALSE)</f>
        <v>45</v>
      </c>
      <c r="U534" s="533">
        <v>0.16</v>
      </c>
      <c r="V534" s="533">
        <v>101</v>
      </c>
      <c r="W534" s="533"/>
      <c r="X534" s="533"/>
      <c r="Y534" s="533"/>
      <c r="Z534" s="533"/>
      <c r="AA534" s="533"/>
      <c r="AB534" s="533"/>
      <c r="AC534" s="533"/>
      <c r="AD534" s="533"/>
      <c r="AE534" s="533"/>
      <c r="AF534" s="533"/>
      <c r="AG534" s="533"/>
      <c r="AH534" s="533"/>
      <c r="AI534" s="533"/>
      <c r="AJ534" s="533"/>
      <c r="AK534" s="533"/>
      <c r="AL534" s="533"/>
      <c r="AM534" s="533"/>
      <c r="AN534" s="533"/>
      <c r="AO534" s="533"/>
      <c r="AP534" s="533"/>
      <c r="AQ534" s="533"/>
      <c r="AR534" s="533"/>
      <c r="AS534" s="533"/>
      <c r="AT534" s="533"/>
      <c r="AU534" s="533"/>
    </row>
    <row r="535" spans="1:47" ht="11.25" hidden="1" customHeight="1" x14ac:dyDescent="0.25">
      <c r="A535" s="41"/>
      <c r="B535" s="104" t="s">
        <v>1136</v>
      </c>
      <c r="C535" s="695" t="s">
        <v>152</v>
      </c>
      <c r="D535" s="636"/>
      <c r="E535" s="828"/>
      <c r="F535" s="688" t="s">
        <v>153</v>
      </c>
      <c r="G535" s="26" t="s">
        <v>154</v>
      </c>
      <c r="H535" s="27">
        <f>VLOOKUP(C535,A!A$1:V$669,22,FALSE)</f>
        <v>0</v>
      </c>
      <c r="I535" s="27"/>
      <c r="J535" s="28">
        <f>IF(VLOOKUP(C535,A!A$1:V$669,18,FALSE)="y",1,0)</f>
        <v>0</v>
      </c>
      <c r="K535" s="28">
        <f>IF(VLOOKUP(C535,A!A$1:V$669,19,FALSE)="y",1,0)</f>
        <v>0</v>
      </c>
      <c r="L535" s="544"/>
      <c r="M535" s="27">
        <f>VLOOKUP(C535,A!A$1:V$669,20,FALSE)</f>
        <v>0</v>
      </c>
      <c r="N535" s="44">
        <v>2</v>
      </c>
      <c r="O535" s="533">
        <f>VLOOKUP(C535,A!A$1:V$669,16,FALSE)</f>
        <v>0</v>
      </c>
      <c r="P535" s="533" t="s">
        <v>687</v>
      </c>
      <c r="Q535" s="533" t="str">
        <f>IF(S535=0,"",COUNTIF(Q$12:Q534,"&gt;0")+1)</f>
        <v/>
      </c>
      <c r="R535" s="533" t="str">
        <f>IF(S535=0,"",COUNTIF(R$12:R534,"&gt;0")+1)</f>
        <v/>
      </c>
      <c r="S535" s="533">
        <f t="shared" si="100"/>
        <v>0</v>
      </c>
      <c r="T535" s="533">
        <f>VLOOKUP(C535,A!A$1:AH$669,33,FALSE)</f>
        <v>0</v>
      </c>
      <c r="U535" s="533">
        <v>0.16</v>
      </c>
      <c r="V535" s="533"/>
      <c r="W535" s="533"/>
      <c r="X535" s="533"/>
      <c r="Y535" s="533"/>
      <c r="Z535" s="533"/>
      <c r="AA535" s="533"/>
      <c r="AB535" s="533"/>
      <c r="AC535" s="533"/>
      <c r="AD535" s="533"/>
      <c r="AE535" s="533"/>
      <c r="AF535" s="533"/>
      <c r="AG535" s="533"/>
      <c r="AH535" s="533"/>
      <c r="AI535" s="533"/>
      <c r="AJ535" s="533"/>
      <c r="AK535" s="533"/>
      <c r="AL535" s="533"/>
      <c r="AM535" s="533"/>
      <c r="AN535" s="533"/>
      <c r="AO535" s="533"/>
      <c r="AP535" s="533"/>
      <c r="AQ535" s="533"/>
      <c r="AR535" s="533"/>
      <c r="AS535" s="533"/>
      <c r="AT535" s="533"/>
      <c r="AU535" s="533"/>
    </row>
    <row r="536" spans="1:47" ht="13.5" hidden="1" customHeight="1" x14ac:dyDescent="0.25">
      <c r="A536" s="303"/>
      <c r="B536" s="104" t="s">
        <v>1136</v>
      </c>
      <c r="C536" s="695" t="s">
        <v>155</v>
      </c>
      <c r="D536" s="636"/>
      <c r="E536" s="828"/>
      <c r="F536" s="688" t="s">
        <v>156</v>
      </c>
      <c r="G536" s="26" t="s">
        <v>157</v>
      </c>
      <c r="H536" s="27">
        <v>3</v>
      </c>
      <c r="I536" s="27"/>
      <c r="J536" s="28">
        <v>0</v>
      </c>
      <c r="K536" s="28">
        <v>0</v>
      </c>
      <c r="L536" s="544"/>
      <c r="M536" s="27">
        <v>0</v>
      </c>
      <c r="N536" s="44" t="s">
        <v>39</v>
      </c>
      <c r="O536" s="533">
        <f>VLOOKUP(C536,A!A$1:V$669,16,FALSE)</f>
        <v>0</v>
      </c>
      <c r="P536" s="533" t="s">
        <v>687</v>
      </c>
      <c r="Q536" s="533" t="str">
        <f>IF(S536=0,"",COUNTIF(Q$12:Q535,"&gt;0")+1)</f>
        <v/>
      </c>
      <c r="R536" s="533" t="str">
        <f>IF(S536=0,"",COUNTIF(R$12:R535,"&gt;0")+1)</f>
        <v/>
      </c>
      <c r="S536" s="533">
        <f t="shared" si="100"/>
        <v>0</v>
      </c>
      <c r="T536" s="533">
        <f>VLOOKUP(C536,A!A$1:AH$669,33,FALSE)</f>
        <v>0</v>
      </c>
      <c r="U536" s="533">
        <v>0.16</v>
      </c>
      <c r="V536" s="533"/>
      <c r="W536" s="533"/>
      <c r="X536" s="533"/>
      <c r="Y536" s="533"/>
      <c r="Z536" s="533"/>
      <c r="AA536" s="533"/>
      <c r="AB536" s="533"/>
      <c r="AC536" s="533"/>
      <c r="AD536" s="533"/>
      <c r="AE536" s="533"/>
      <c r="AF536" s="533"/>
      <c r="AG536" s="533"/>
      <c r="AH536" s="533"/>
      <c r="AI536" s="533"/>
      <c r="AJ536" s="533"/>
      <c r="AK536" s="533"/>
      <c r="AL536" s="533"/>
      <c r="AM536" s="533"/>
      <c r="AN536" s="533"/>
      <c r="AO536" s="533"/>
      <c r="AP536" s="533"/>
      <c r="AQ536" s="533"/>
      <c r="AR536" s="533"/>
      <c r="AS536" s="533"/>
      <c r="AT536" s="533"/>
      <c r="AU536" s="533"/>
    </row>
    <row r="537" spans="1:47" ht="13.5" hidden="1" customHeight="1" x14ac:dyDescent="0.25">
      <c r="A537" s="345"/>
      <c r="B537" s="104" t="s">
        <v>1136</v>
      </c>
      <c r="C537" s="695" t="s">
        <v>137</v>
      </c>
      <c r="D537" s="636"/>
      <c r="E537" s="828"/>
      <c r="F537" s="688" t="s">
        <v>160</v>
      </c>
      <c r="G537" s="26" t="s">
        <v>161</v>
      </c>
      <c r="H537" s="27">
        <v>1</v>
      </c>
      <c r="I537" s="27"/>
      <c r="J537" s="28">
        <f>IF(VLOOKUP(C537,A!A$1:V$669,18,FALSE)="y",1,0)</f>
        <v>0</v>
      </c>
      <c r="K537" s="28">
        <f>IF(VLOOKUP(C537,A!A$1:V$669,19,FALSE)="y",1,0)</f>
        <v>0</v>
      </c>
      <c r="L537" s="544"/>
      <c r="M537" s="27"/>
      <c r="N537" s="44">
        <v>1</v>
      </c>
      <c r="O537" s="533">
        <f>VLOOKUP(C537,A!A$1:V$669,16,FALSE)</f>
        <v>0</v>
      </c>
      <c r="P537" s="533" t="s">
        <v>687</v>
      </c>
      <c r="Q537" s="533" t="str">
        <f>IF(S537=0,"",COUNTIF(Q$12:Q536,"&gt;0")+1)</f>
        <v/>
      </c>
      <c r="R537" s="533" t="str">
        <f>IF(S537=0,"",COUNTIF(R$12:R536,"&gt;0")+1)</f>
        <v/>
      </c>
      <c r="S537" s="533">
        <f t="shared" si="100"/>
        <v>0</v>
      </c>
      <c r="T537" s="533">
        <f>VLOOKUP(C537,A!A$1:AH$669,33,FALSE)</f>
        <v>0</v>
      </c>
      <c r="U537" s="533">
        <v>0.16</v>
      </c>
      <c r="V537" s="533"/>
      <c r="W537" s="533"/>
      <c r="X537" s="533"/>
      <c r="Y537" s="533"/>
      <c r="Z537" s="533"/>
      <c r="AA537" s="533"/>
      <c r="AB537" s="533"/>
      <c r="AC537" s="533"/>
      <c r="AD537" s="533"/>
      <c r="AE537" s="533"/>
      <c r="AF537" s="533"/>
      <c r="AG537" s="533"/>
      <c r="AH537" s="533"/>
      <c r="AI537" s="533"/>
      <c r="AJ537" s="533"/>
      <c r="AK537" s="533"/>
      <c r="AL537" s="533"/>
      <c r="AM537" s="533"/>
      <c r="AN537" s="533"/>
      <c r="AO537" s="533"/>
      <c r="AP537" s="533"/>
      <c r="AQ537" s="533"/>
      <c r="AR537" s="533"/>
      <c r="AS537" s="533"/>
      <c r="AT537" s="533"/>
      <c r="AU537" s="533"/>
    </row>
    <row r="538" spans="1:47" ht="14.25" hidden="1" customHeight="1" x14ac:dyDescent="0.25">
      <c r="A538" s="131"/>
      <c r="B538" s="104" t="s">
        <v>1136</v>
      </c>
      <c r="C538" s="695" t="s">
        <v>159</v>
      </c>
      <c r="D538" s="636"/>
      <c r="E538" s="828"/>
      <c r="F538" s="688" t="s">
        <v>160</v>
      </c>
      <c r="G538" s="26" t="s">
        <v>161</v>
      </c>
      <c r="H538" s="27">
        <f>VLOOKUP(C538,A!A$1:V$669,22,FALSE)</f>
        <v>2</v>
      </c>
      <c r="I538" s="27"/>
      <c r="J538" s="28">
        <f>IF(VLOOKUP(C538,A!A$1:V$669,18,FALSE)="y",1,0)</f>
        <v>0</v>
      </c>
      <c r="K538" s="28">
        <f>IF(VLOOKUP(C538,A!A$1:V$669,19,FALSE)="y",1,0)</f>
        <v>0</v>
      </c>
      <c r="L538" s="544"/>
      <c r="M538" s="27">
        <f>VLOOKUP(C538,A!A$1:V$669,20,FALSE)</f>
        <v>0</v>
      </c>
      <c r="N538" s="44">
        <v>1</v>
      </c>
      <c r="O538" s="533">
        <f>VLOOKUP(C538,A!A$1:V$669,16,FALSE)</f>
        <v>0</v>
      </c>
      <c r="P538" s="533" t="s">
        <v>687</v>
      </c>
      <c r="Q538" s="533" t="str">
        <f>IF(S538=0,"",COUNTIF(Q$12:Q537,"&gt;0")+1)</f>
        <v/>
      </c>
      <c r="R538" s="533" t="str">
        <f>IF(S538=0,"",COUNTIF(R$12:R537,"&gt;0")+1)</f>
        <v/>
      </c>
      <c r="S538" s="533">
        <f t="shared" si="100"/>
        <v>0</v>
      </c>
      <c r="T538" s="533">
        <f>VLOOKUP(C538,A!A$1:AH$669,33,FALSE)</f>
        <v>0</v>
      </c>
      <c r="U538" s="533">
        <v>0.16</v>
      </c>
      <c r="V538" s="533"/>
      <c r="W538" s="533"/>
      <c r="X538" s="533"/>
      <c r="Y538" s="533"/>
      <c r="Z538" s="533"/>
      <c r="AA538" s="533"/>
      <c r="AB538" s="533"/>
      <c r="AC538" s="533"/>
      <c r="AD538" s="533"/>
      <c r="AE538" s="533"/>
      <c r="AF538" s="533"/>
      <c r="AG538" s="533"/>
      <c r="AH538" s="533"/>
      <c r="AI538" s="533"/>
      <c r="AJ538" s="533"/>
      <c r="AK538" s="533"/>
      <c r="AL538" s="533"/>
      <c r="AM538" s="533"/>
      <c r="AN538" s="533"/>
      <c r="AO538" s="533"/>
      <c r="AP538" s="533"/>
      <c r="AQ538" s="533"/>
      <c r="AR538" s="533"/>
      <c r="AS538" s="533"/>
      <c r="AT538" s="533"/>
      <c r="AU538" s="533"/>
    </row>
    <row r="539" spans="1:47" ht="11.25" hidden="1" customHeight="1" x14ac:dyDescent="0.25">
      <c r="A539" s="41"/>
      <c r="B539" s="104" t="s">
        <v>1136</v>
      </c>
      <c r="C539" s="695" t="s">
        <v>162</v>
      </c>
      <c r="D539" s="636"/>
      <c r="E539" s="828"/>
      <c r="F539" s="688" t="s">
        <v>163</v>
      </c>
      <c r="G539" s="26" t="s">
        <v>164</v>
      </c>
      <c r="H539" s="27">
        <f>VLOOKUP(C539,A!A$1:V$669,22,FALSE)</f>
        <v>1</v>
      </c>
      <c r="I539" s="27"/>
      <c r="J539" s="28">
        <f>IF(VLOOKUP(C539,A!A$1:V$669,18,FALSE)="y",1,0)</f>
        <v>0</v>
      </c>
      <c r="K539" s="28">
        <f>IF(VLOOKUP(C539,A!A$1:V$669,19,FALSE)="y",1,0)</f>
        <v>0</v>
      </c>
      <c r="L539" s="544"/>
      <c r="M539" s="27">
        <f>VLOOKUP(C539,A!A$1:V$669,20,FALSE)</f>
        <v>0</v>
      </c>
      <c r="N539" s="44" t="s">
        <v>39</v>
      </c>
      <c r="O539" s="533">
        <f>VLOOKUP(C539,A!A$1:V$669,16,FALSE)</f>
        <v>0</v>
      </c>
      <c r="P539" s="533" t="s">
        <v>687</v>
      </c>
      <c r="Q539" s="533" t="str">
        <f>IF(S539=0,"",COUNTIF(Q$12:Q538,"&gt;0")+1)</f>
        <v/>
      </c>
      <c r="R539" s="533" t="str">
        <f>IF(S539=0,"",COUNTIF(R$12:R538,"&gt;0")+1)</f>
        <v/>
      </c>
      <c r="S539" s="533">
        <f t="shared" si="100"/>
        <v>0</v>
      </c>
      <c r="T539" s="533">
        <f>VLOOKUP(C539,A!A$1:AH$669,33,FALSE)</f>
        <v>0</v>
      </c>
      <c r="U539" s="533">
        <v>0.16</v>
      </c>
      <c r="V539" s="533"/>
      <c r="W539" s="533"/>
      <c r="X539" s="533"/>
      <c r="Y539" s="533"/>
      <c r="Z539" s="533"/>
      <c r="AA539" s="533"/>
      <c r="AB539" s="533"/>
      <c r="AC539" s="533"/>
      <c r="AD539" s="533"/>
      <c r="AE539" s="533"/>
      <c r="AF539" s="533"/>
      <c r="AG539" s="533"/>
      <c r="AH539" s="533"/>
      <c r="AI539" s="533"/>
      <c r="AJ539" s="533"/>
      <c r="AK539" s="533"/>
      <c r="AL539" s="533"/>
      <c r="AM539" s="533"/>
      <c r="AN539" s="533"/>
      <c r="AO539" s="533"/>
      <c r="AP539" s="533"/>
      <c r="AQ539" s="533"/>
      <c r="AR539" s="533"/>
      <c r="AS539" s="533"/>
      <c r="AT539" s="533"/>
      <c r="AU539" s="533"/>
    </row>
    <row r="540" spans="1:47" ht="11.25" hidden="1" customHeight="1" x14ac:dyDescent="0.25">
      <c r="A540" s="41"/>
      <c r="B540" s="104" t="s">
        <v>1136</v>
      </c>
      <c r="C540" s="837" t="s">
        <v>167</v>
      </c>
      <c r="D540" s="636"/>
      <c r="E540" s="828"/>
      <c r="F540" s="686" t="s">
        <v>163</v>
      </c>
      <c r="G540" s="42" t="s">
        <v>168</v>
      </c>
      <c r="H540" s="27">
        <f>VLOOKUP(C540,A!A$1:V$669,22,FALSE)</f>
        <v>1</v>
      </c>
      <c r="I540" s="27"/>
      <c r="J540" s="28">
        <f>IF(VLOOKUP(C540,A!A$1:V$669,18,FALSE)="y",1,0)</f>
        <v>0</v>
      </c>
      <c r="K540" s="28">
        <f>IF(VLOOKUP(C540,A!A$1:V$669,19,FALSE)="y",1,0)</f>
        <v>0</v>
      </c>
      <c r="L540" s="544"/>
      <c r="M540" s="27">
        <f>VLOOKUP(C540,A!A$1:V$669,20,FALSE)</f>
        <v>0</v>
      </c>
      <c r="N540" s="44" t="s">
        <v>326</v>
      </c>
      <c r="O540" s="533">
        <f>VLOOKUP(C540,A!A$1:V$669,16,FALSE)</f>
        <v>0</v>
      </c>
      <c r="P540" s="533" t="s">
        <v>687</v>
      </c>
      <c r="Q540" s="533" t="str">
        <f>IF(S540=0,"",COUNTIF(Q$12:Q539,"&gt;0")+1)</f>
        <v/>
      </c>
      <c r="R540" s="533" t="str">
        <f>IF(S540=0,"",COUNTIF(R$12:R539,"&gt;0")+1)</f>
        <v/>
      </c>
      <c r="S540" s="533">
        <f t="shared" si="100"/>
        <v>0</v>
      </c>
      <c r="T540" s="533">
        <f>VLOOKUP(C540,A!A$1:AH$669,33,FALSE)</f>
        <v>0</v>
      </c>
      <c r="U540" s="533">
        <v>0.16</v>
      </c>
      <c r="V540" s="533"/>
      <c r="W540" s="533"/>
      <c r="X540" s="533"/>
      <c r="Y540" s="533"/>
      <c r="Z540" s="533"/>
      <c r="AA540" s="533"/>
      <c r="AB540" s="533"/>
      <c r="AC540" s="533"/>
      <c r="AD540" s="533"/>
      <c r="AE540" s="533"/>
      <c r="AF540" s="533"/>
      <c r="AG540" s="533"/>
      <c r="AH540" s="533"/>
      <c r="AI540" s="533"/>
      <c r="AJ540" s="533"/>
      <c r="AK540" s="533"/>
      <c r="AL540" s="533"/>
      <c r="AM540" s="533"/>
      <c r="AN540" s="533"/>
      <c r="AO540" s="533"/>
      <c r="AP540" s="533"/>
      <c r="AQ540" s="533"/>
      <c r="AR540" s="533"/>
      <c r="AS540" s="533"/>
      <c r="AT540" s="533"/>
      <c r="AU540" s="533"/>
    </row>
    <row r="541" spans="1:47" ht="11.25" hidden="1" customHeight="1" x14ac:dyDescent="0.25">
      <c r="A541" s="41"/>
      <c r="B541" s="104" t="s">
        <v>1136</v>
      </c>
      <c r="C541" s="695" t="s">
        <v>169</v>
      </c>
      <c r="D541" s="636"/>
      <c r="E541" s="828"/>
      <c r="F541" s="688" t="s">
        <v>163</v>
      </c>
      <c r="G541" s="26" t="s">
        <v>171</v>
      </c>
      <c r="H541" s="27">
        <f>VLOOKUP(C541,A!A$1:V$669,22,FALSE)</f>
        <v>1</v>
      </c>
      <c r="I541" s="27"/>
      <c r="J541" s="28">
        <f>IF(VLOOKUP(C541,A!A$1:V$669,18,FALSE)="y",1,0)</f>
        <v>0</v>
      </c>
      <c r="K541" s="28">
        <f>IF(VLOOKUP(C541,A!A$1:V$669,19,FALSE)="y",1,0)</f>
        <v>0</v>
      </c>
      <c r="L541" s="544"/>
      <c r="M541" s="27">
        <f>VLOOKUP(C541,A!A$1:V$669,20,FALSE)</f>
        <v>0</v>
      </c>
      <c r="N541" s="44" t="s">
        <v>39</v>
      </c>
      <c r="O541" s="533">
        <f>VLOOKUP(C541,A!A$1:V$669,16,FALSE)</f>
        <v>0</v>
      </c>
      <c r="P541" s="533" t="s">
        <v>687</v>
      </c>
      <c r="Q541" s="533" t="str">
        <f>IF(S541=0,"",COUNTIF(Q$12:Q540,"&gt;0")+1)</f>
        <v/>
      </c>
      <c r="R541" s="533" t="str">
        <f>IF(S541=0,"",COUNTIF(R$12:R540,"&gt;0")+1)</f>
        <v/>
      </c>
      <c r="S541" s="533">
        <f t="shared" si="100"/>
        <v>0</v>
      </c>
      <c r="T541" s="533">
        <f>VLOOKUP(C541,A!A$1:AH$669,33,FALSE)</f>
        <v>0</v>
      </c>
      <c r="U541" s="533">
        <v>0.16</v>
      </c>
      <c r="V541" s="533"/>
      <c r="W541" s="533"/>
      <c r="X541" s="533"/>
      <c r="Y541" s="533"/>
      <c r="Z541" s="533"/>
      <c r="AA541" s="533"/>
      <c r="AB541" s="533"/>
      <c r="AC541" s="533"/>
      <c r="AD541" s="533"/>
      <c r="AE541" s="533"/>
      <c r="AF541" s="533"/>
      <c r="AG541" s="533"/>
      <c r="AH541" s="533"/>
      <c r="AI541" s="533"/>
      <c r="AJ541" s="533"/>
      <c r="AK541" s="533"/>
      <c r="AL541" s="533"/>
      <c r="AM541" s="533"/>
      <c r="AN541" s="533"/>
      <c r="AO541" s="533"/>
      <c r="AP541" s="533"/>
      <c r="AQ541" s="533"/>
      <c r="AR541" s="533"/>
      <c r="AS541" s="533"/>
      <c r="AT541" s="533"/>
      <c r="AU541" s="533"/>
    </row>
    <row r="542" spans="1:47" ht="11.25" hidden="1" customHeight="1" x14ac:dyDescent="0.25">
      <c r="A542" s="41"/>
      <c r="B542" s="104" t="s">
        <v>1136</v>
      </c>
      <c r="C542" s="695" t="s">
        <v>691</v>
      </c>
      <c r="D542" s="636"/>
      <c r="E542" s="828"/>
      <c r="F542" s="688" t="s">
        <v>173</v>
      </c>
      <c r="G542" s="26" t="s">
        <v>174</v>
      </c>
      <c r="H542" s="27">
        <f>VLOOKUP(C542,A!A$1:V$669,22,FALSE)</f>
        <v>0</v>
      </c>
      <c r="I542" s="27" t="s">
        <v>30</v>
      </c>
      <c r="J542" s="28">
        <f>IF(VLOOKUP(C542,A!A$1:V$669,18,FALSE)="y",1,0)</f>
        <v>0</v>
      </c>
      <c r="K542" s="28">
        <f>IF(VLOOKUP(C542,A!A$1:V$669,19,FALSE)="y",1,0)</f>
        <v>0</v>
      </c>
      <c r="L542" s="544"/>
      <c r="M542" s="27">
        <f>VLOOKUP(C542,A!A$1:V$669,20,FALSE)</f>
        <v>0</v>
      </c>
      <c r="N542" s="44" t="s">
        <v>39</v>
      </c>
      <c r="O542" s="533">
        <f>VLOOKUP(C542,A!A$1:V$669,16,FALSE)</f>
        <v>0</v>
      </c>
      <c r="P542" s="533" t="s">
        <v>687</v>
      </c>
      <c r="Q542" s="533" t="str">
        <f>IF(S542=0,"",COUNTIF(Q$12:Q541,"&gt;0")+1)</f>
        <v/>
      </c>
      <c r="R542" s="533" t="str">
        <f>IF(S542=0,"",COUNTIF(R$12:R541,"&gt;0")+1)</f>
        <v/>
      </c>
      <c r="S542" s="533">
        <f t="shared" si="100"/>
        <v>0</v>
      </c>
      <c r="T542" s="533">
        <f>VLOOKUP(C542,A!A$1:AH$669,33,FALSE)</f>
        <v>0</v>
      </c>
      <c r="U542" s="533">
        <v>0.16</v>
      </c>
      <c r="V542" s="533"/>
      <c r="W542" s="533"/>
      <c r="X542" s="533"/>
      <c r="Y542" s="533"/>
      <c r="Z542" s="533"/>
      <c r="AA542" s="533"/>
      <c r="AB542" s="533"/>
      <c r="AC542" s="533"/>
      <c r="AD542" s="533"/>
      <c r="AE542" s="533"/>
      <c r="AF542" s="533"/>
      <c r="AG542" s="533"/>
      <c r="AH542" s="533"/>
      <c r="AI542" s="533"/>
      <c r="AJ542" s="533"/>
      <c r="AK542" s="533"/>
      <c r="AL542" s="533"/>
      <c r="AM542" s="533"/>
      <c r="AN542" s="533"/>
      <c r="AO542" s="533"/>
      <c r="AP542" s="533"/>
      <c r="AQ542" s="533"/>
      <c r="AR542" s="533"/>
      <c r="AS542" s="533"/>
      <c r="AT542" s="533"/>
      <c r="AU542" s="533"/>
    </row>
    <row r="543" spans="1:47" ht="11.25" hidden="1" customHeight="1" x14ac:dyDescent="0.25">
      <c r="A543" s="41"/>
      <c r="B543" s="104" t="s">
        <v>1136</v>
      </c>
      <c r="C543" s="695" t="s">
        <v>175</v>
      </c>
      <c r="D543" s="636"/>
      <c r="E543" s="828"/>
      <c r="F543" s="688" t="s">
        <v>176</v>
      </c>
      <c r="G543" s="26" t="s">
        <v>177</v>
      </c>
      <c r="H543" s="27">
        <f>VLOOKUP(C543,A!A$1:V$669,22,FALSE)</f>
        <v>1</v>
      </c>
      <c r="I543" s="27"/>
      <c r="J543" s="28">
        <f>IF(VLOOKUP(C543,A!A$1:V$669,18,FALSE)="y",1,0)</f>
        <v>0</v>
      </c>
      <c r="K543" s="28">
        <f>IF(VLOOKUP(C543,A!A$1:V$669,19,FALSE)="y",1,0)</f>
        <v>0</v>
      </c>
      <c r="L543" s="544"/>
      <c r="M543" s="27">
        <f>VLOOKUP(C543,A!A$1:V$669,20,FALSE)</f>
        <v>0</v>
      </c>
      <c r="N543" s="44" t="s">
        <v>39</v>
      </c>
      <c r="O543" s="533">
        <f>VLOOKUP(C543,A!A$1:V$669,16,FALSE)</f>
        <v>0</v>
      </c>
      <c r="P543" s="533" t="s">
        <v>687</v>
      </c>
      <c r="Q543" s="533" t="str">
        <f>IF(S543=0,"",COUNTIF(Q$12:Q542,"&gt;0")+1)</f>
        <v/>
      </c>
      <c r="R543" s="533" t="str">
        <f>IF(S543=0,"",COUNTIF(R$12:R542,"&gt;0")+1)</f>
        <v/>
      </c>
      <c r="S543" s="533">
        <f t="shared" si="100"/>
        <v>0</v>
      </c>
      <c r="T543" s="533">
        <f>VLOOKUP(C543,A!A$1:AH$669,33,FALSE)</f>
        <v>0</v>
      </c>
      <c r="U543" s="533">
        <v>0.16</v>
      </c>
      <c r="V543" s="533"/>
      <c r="W543" s="533"/>
      <c r="X543" s="533"/>
      <c r="Y543" s="533"/>
      <c r="Z543" s="533"/>
      <c r="AA543" s="533"/>
      <c r="AB543" s="533"/>
      <c r="AC543" s="533"/>
      <c r="AD543" s="533"/>
      <c r="AE543" s="533"/>
      <c r="AF543" s="533"/>
      <c r="AG543" s="533"/>
      <c r="AH543" s="533"/>
      <c r="AI543" s="533"/>
      <c r="AJ543" s="533"/>
      <c r="AK543" s="533"/>
      <c r="AL543" s="533"/>
      <c r="AM543" s="533"/>
      <c r="AN543" s="533"/>
      <c r="AO543" s="533"/>
      <c r="AP543" s="533"/>
      <c r="AQ543" s="533"/>
      <c r="AR543" s="533"/>
      <c r="AS543" s="533"/>
      <c r="AT543" s="533"/>
      <c r="AU543" s="533"/>
    </row>
    <row r="544" spans="1:47" ht="13.5" customHeight="1" x14ac:dyDescent="0.25">
      <c r="A544" s="41"/>
      <c r="B544" s="104" t="s">
        <v>1136</v>
      </c>
      <c r="C544" s="695" t="s">
        <v>181</v>
      </c>
      <c r="D544" s="636"/>
      <c r="E544" s="828"/>
      <c r="F544" s="688" t="s">
        <v>182</v>
      </c>
      <c r="G544" s="26" t="s">
        <v>183</v>
      </c>
      <c r="H544" s="27">
        <f>VLOOKUP(C544,A!A$1:V$669,22,FALSE)</f>
        <v>2</v>
      </c>
      <c r="I544" s="27"/>
      <c r="J544" s="28">
        <f>IF(VLOOKUP(C544,A!A$1:V$669,18,FALSE)="y",1,0)</f>
        <v>1</v>
      </c>
      <c r="K544" s="28">
        <f>IF(VLOOKUP(C544,A!A$1:V$669,19,FALSE)="y",1,0)</f>
        <v>1</v>
      </c>
      <c r="L544" s="544"/>
      <c r="M544" s="27">
        <f>VLOOKUP(C544,A!A$1:V$669,20,FALSE)</f>
        <v>0</v>
      </c>
      <c r="N544" s="44" t="s">
        <v>39</v>
      </c>
      <c r="O544" s="533" t="str">
        <f>VLOOKUP(C544,A!A$1:V$669,16,FALSE)</f>
        <v>y</v>
      </c>
      <c r="P544" s="533" t="s">
        <v>687</v>
      </c>
      <c r="Q544" s="533" t="str">
        <f>IF(S544=0,"",COUNTIF(Q$12:Q543,"&gt;0")+1)</f>
        <v/>
      </c>
      <c r="R544" s="533" t="str">
        <f>IF(S544=0,"",COUNTIF(R$12:R543,"&gt;0")+1)</f>
        <v/>
      </c>
      <c r="S544" s="533">
        <f t="shared" si="100"/>
        <v>0</v>
      </c>
      <c r="T544" s="533">
        <f>VLOOKUP(C544,A!A$1:AH$669,33,FALSE)</f>
        <v>45</v>
      </c>
      <c r="U544" s="533">
        <v>0.16</v>
      </c>
      <c r="V544" s="533">
        <v>101</v>
      </c>
      <c r="W544" s="533"/>
      <c r="X544" s="533"/>
      <c r="Y544" s="533"/>
      <c r="Z544" s="533"/>
      <c r="AA544" s="533"/>
      <c r="AB544" s="533"/>
      <c r="AC544" s="533"/>
      <c r="AD544" s="533"/>
      <c r="AE544" s="533"/>
      <c r="AF544" s="533"/>
      <c r="AG544" s="533"/>
      <c r="AH544" s="533"/>
      <c r="AI544" s="533"/>
      <c r="AJ544" s="533"/>
      <c r="AK544" s="533"/>
      <c r="AL544" s="533"/>
      <c r="AM544" s="533"/>
      <c r="AN544" s="533"/>
      <c r="AO544" s="533"/>
      <c r="AP544" s="533"/>
      <c r="AQ544" s="533"/>
      <c r="AR544" s="533"/>
      <c r="AS544" s="533"/>
      <c r="AT544" s="533"/>
      <c r="AU544" s="533"/>
    </row>
    <row r="545" spans="1:47" ht="13.5" hidden="1" customHeight="1" x14ac:dyDescent="0.25">
      <c r="A545" s="41"/>
      <c r="B545" s="104" t="s">
        <v>1136</v>
      </c>
      <c r="C545" s="695" t="s">
        <v>191</v>
      </c>
      <c r="D545" s="636"/>
      <c r="E545" s="828"/>
      <c r="F545" s="688" t="s">
        <v>182</v>
      </c>
      <c r="G545" s="26" t="s">
        <v>192</v>
      </c>
      <c r="H545" s="27">
        <v>1</v>
      </c>
      <c r="I545" s="27"/>
      <c r="J545" s="28">
        <v>1</v>
      </c>
      <c r="K545" s="28">
        <v>0</v>
      </c>
      <c r="L545" s="544"/>
      <c r="M545" s="27">
        <v>0</v>
      </c>
      <c r="N545" s="44" t="s">
        <v>39</v>
      </c>
      <c r="O545" s="533">
        <f>VLOOKUP(C545,A!A$1:V$669,16,FALSE)</f>
        <v>0</v>
      </c>
      <c r="P545" s="533" t="s">
        <v>687</v>
      </c>
      <c r="Q545" s="533" t="str">
        <f>IF(S545=0,"",COUNTIF(Q$12:Q544,"&gt;0")+1)</f>
        <v/>
      </c>
      <c r="R545" s="533" t="str">
        <f>IF(S545=0,"",COUNTIF(R$12:R544,"&gt;0")+1)</f>
        <v/>
      </c>
      <c r="S545" s="533">
        <f t="shared" si="100"/>
        <v>0</v>
      </c>
      <c r="T545" s="533">
        <f>VLOOKUP(C545,A!A$1:AH$669,33,FALSE)</f>
        <v>0</v>
      </c>
      <c r="U545" s="533">
        <v>0.16</v>
      </c>
      <c r="V545" s="533"/>
      <c r="W545" s="533"/>
      <c r="X545" s="533"/>
      <c r="Y545" s="533"/>
      <c r="Z545" s="533"/>
      <c r="AA545" s="533"/>
      <c r="AB545" s="533"/>
      <c r="AC545" s="533"/>
      <c r="AD545" s="533"/>
      <c r="AE545" s="533"/>
      <c r="AF545" s="533"/>
      <c r="AG545" s="533"/>
      <c r="AH545" s="533"/>
      <c r="AI545" s="533"/>
      <c r="AJ545" s="533"/>
      <c r="AK545" s="533"/>
      <c r="AL545" s="533"/>
      <c r="AM545" s="533"/>
      <c r="AN545" s="533"/>
      <c r="AO545" s="533"/>
      <c r="AP545" s="533"/>
      <c r="AQ545" s="533"/>
      <c r="AR545" s="533"/>
      <c r="AS545" s="533"/>
      <c r="AT545" s="533"/>
      <c r="AU545" s="533"/>
    </row>
    <row r="546" spans="1:47" ht="13.5" customHeight="1" x14ac:dyDescent="0.25">
      <c r="A546" s="41"/>
      <c r="B546" s="104" t="s">
        <v>1136</v>
      </c>
      <c r="C546" s="695" t="s">
        <v>193</v>
      </c>
      <c r="D546" s="727"/>
      <c r="E546" s="828"/>
      <c r="F546" s="688" t="s">
        <v>194</v>
      </c>
      <c r="G546" s="26" t="s">
        <v>195</v>
      </c>
      <c r="H546" s="27">
        <f>VLOOKUP(C546,A!A$1:V$669,22,FALSE)</f>
        <v>1</v>
      </c>
      <c r="I546" s="27" t="s">
        <v>30</v>
      </c>
      <c r="J546" s="28">
        <f>IF(VLOOKUP(C546,A!A$1:V$669,18,FALSE)="y",1,0)</f>
        <v>1</v>
      </c>
      <c r="K546" s="28">
        <f>IF(VLOOKUP(C546,A!A$1:V$669,19,FALSE)="y",1,0)</f>
        <v>0</v>
      </c>
      <c r="L546" s="544"/>
      <c r="M546" s="27">
        <f>VLOOKUP(C546,A!A$1:V$669,20,FALSE)</f>
        <v>0</v>
      </c>
      <c r="N546" s="44" t="s">
        <v>31</v>
      </c>
      <c r="O546" s="533" t="str">
        <f>VLOOKUP(C546,A!A$1:V$669,16,FALSE)</f>
        <v>y</v>
      </c>
      <c r="P546" s="533" t="s">
        <v>687</v>
      </c>
      <c r="Q546" s="533" t="str">
        <f>IF(S546=0,"",COUNTIF(Q$12:Q545,"&gt;0")+1)</f>
        <v/>
      </c>
      <c r="R546" s="533" t="str">
        <f>IF(S546=0,"",COUNTIF(R$12:R545,"&gt;0")+1)</f>
        <v/>
      </c>
      <c r="S546" s="533">
        <f t="shared" si="100"/>
        <v>0</v>
      </c>
      <c r="T546" s="533">
        <f>VLOOKUP(C546,A!A$1:AH$669,33,FALSE)</f>
        <v>45</v>
      </c>
      <c r="U546" s="533">
        <v>0.16</v>
      </c>
      <c r="V546" s="533">
        <v>101</v>
      </c>
      <c r="W546" s="533"/>
      <c r="X546" s="533"/>
      <c r="Y546" s="533"/>
      <c r="Z546" s="533"/>
      <c r="AA546" s="533"/>
      <c r="AB546" s="533"/>
      <c r="AC546" s="533"/>
      <c r="AD546" s="533"/>
      <c r="AE546" s="533"/>
      <c r="AF546" s="533"/>
      <c r="AG546" s="533"/>
      <c r="AH546" s="533"/>
      <c r="AI546" s="533"/>
      <c r="AJ546" s="533"/>
      <c r="AK546" s="533"/>
      <c r="AL546" s="533"/>
      <c r="AM546" s="533"/>
      <c r="AN546" s="533"/>
      <c r="AO546" s="533"/>
      <c r="AP546" s="533"/>
      <c r="AQ546" s="533"/>
      <c r="AR546" s="533"/>
      <c r="AS546" s="533"/>
      <c r="AT546" s="533"/>
      <c r="AU546" s="533"/>
    </row>
    <row r="547" spans="1:47" ht="11.25" hidden="1" customHeight="1" x14ac:dyDescent="0.25">
      <c r="A547" s="41"/>
      <c r="B547" s="104" t="s">
        <v>1136</v>
      </c>
      <c r="C547" s="695" t="s">
        <v>692</v>
      </c>
      <c r="D547" s="727"/>
      <c r="E547" s="828"/>
      <c r="F547" s="688" t="s">
        <v>197</v>
      </c>
      <c r="G547" s="26" t="s">
        <v>198</v>
      </c>
      <c r="H547" s="27">
        <f>VLOOKUP(C547,A!A$1:V$669,22,FALSE)</f>
        <v>1</v>
      </c>
      <c r="I547" s="27"/>
      <c r="J547" s="28">
        <f>IF(VLOOKUP(C547,A!A$1:V$669,18,FALSE)="y",1,0)</f>
        <v>0</v>
      </c>
      <c r="K547" s="28">
        <f>IF(VLOOKUP(C547,A!A$1:V$669,19,FALSE)="y",1,0)</f>
        <v>0</v>
      </c>
      <c r="L547" s="544"/>
      <c r="M547" s="27">
        <f>VLOOKUP(C547,A!A$1:V$669,20,FALSE)</f>
        <v>0</v>
      </c>
      <c r="N547" s="44" t="s">
        <v>31</v>
      </c>
      <c r="O547" s="533">
        <f>VLOOKUP(C547,A!A$1:V$669,16,FALSE)</f>
        <v>0</v>
      </c>
      <c r="P547" s="533" t="s">
        <v>687</v>
      </c>
      <c r="Q547" s="533" t="str">
        <f>IF(S547=0,"",COUNTIF(Q$12:Q546,"&gt;0")+1)</f>
        <v/>
      </c>
      <c r="R547" s="533" t="str">
        <f>IF(S547=0,"",COUNTIF(R$12:R546,"&gt;0")+1)</f>
        <v/>
      </c>
      <c r="S547" s="533">
        <f t="shared" si="100"/>
        <v>0</v>
      </c>
      <c r="T547" s="533">
        <f>VLOOKUP(C547,A!A$1:AH$669,33,FALSE)</f>
        <v>0</v>
      </c>
      <c r="U547" s="533">
        <v>0.16</v>
      </c>
      <c r="V547" s="533"/>
      <c r="W547" s="533"/>
      <c r="X547" s="533"/>
      <c r="Y547" s="533"/>
      <c r="Z547" s="533"/>
      <c r="AA547" s="533"/>
      <c r="AB547" s="533"/>
      <c r="AC547" s="533"/>
      <c r="AD547" s="533"/>
      <c r="AE547" s="533"/>
      <c r="AF547" s="533"/>
      <c r="AG547" s="533"/>
      <c r="AH547" s="533"/>
      <c r="AI547" s="533"/>
      <c r="AJ547" s="533"/>
      <c r="AK547" s="533"/>
      <c r="AL547" s="533"/>
      <c r="AM547" s="533"/>
      <c r="AN547" s="533"/>
      <c r="AO547" s="533"/>
      <c r="AP547" s="533"/>
      <c r="AQ547" s="533"/>
      <c r="AR547" s="533"/>
      <c r="AS547" s="533"/>
      <c r="AT547" s="533"/>
      <c r="AU547" s="533"/>
    </row>
    <row r="548" spans="1:47" ht="11.25" hidden="1" customHeight="1" x14ac:dyDescent="0.25">
      <c r="A548" s="131"/>
      <c r="B548" s="104" t="s">
        <v>1136</v>
      </c>
      <c r="C548" s="695" t="s">
        <v>203</v>
      </c>
      <c r="D548" s="727"/>
      <c r="E548" s="828"/>
      <c r="F548" s="688" t="s">
        <v>204</v>
      </c>
      <c r="G548" s="26" t="s">
        <v>599</v>
      </c>
      <c r="H548" s="27">
        <f>VLOOKUP(C548,A!A$1:V$669,22,FALSE)</f>
        <v>0</v>
      </c>
      <c r="I548" s="27"/>
      <c r="J548" s="28">
        <f>IF(VLOOKUP(C548,A!A$1:V$669,18,FALSE)="y",1,0)</f>
        <v>0</v>
      </c>
      <c r="K548" s="28">
        <f>IF(VLOOKUP(C548,A!A$1:V$669,19,FALSE)="y",1,0)</f>
        <v>0</v>
      </c>
      <c r="L548" s="544"/>
      <c r="M548" s="27">
        <f>VLOOKUP(C548,A!A$1:V$669,20,FALSE)</f>
        <v>0</v>
      </c>
      <c r="N548" s="44">
        <v>1</v>
      </c>
      <c r="O548" s="533">
        <f>VLOOKUP(C548,A!A$1:V$669,16,FALSE)</f>
        <v>0</v>
      </c>
      <c r="P548" s="533" t="s">
        <v>687</v>
      </c>
      <c r="Q548" s="533" t="str">
        <f>IF(S548=0,"",COUNTIF(Q$12:Q547,"&gt;0")+1)</f>
        <v/>
      </c>
      <c r="R548" s="533" t="str">
        <f>IF(S548=0,"",COUNTIF(R$12:R547,"&gt;0")+1)</f>
        <v/>
      </c>
      <c r="S548" s="533">
        <f t="shared" si="100"/>
        <v>0</v>
      </c>
      <c r="T548" s="533">
        <f>VLOOKUP(C548,A!A$1:AH$669,33,FALSE)</f>
        <v>0</v>
      </c>
      <c r="U548" s="533">
        <v>0.16</v>
      </c>
      <c r="V548" s="533"/>
      <c r="W548" s="533"/>
      <c r="X548" s="533"/>
      <c r="Y548" s="533"/>
      <c r="Z548" s="533"/>
      <c r="AA548" s="533"/>
      <c r="AB548" s="533"/>
      <c r="AC548" s="533"/>
      <c r="AD548" s="533"/>
      <c r="AE548" s="533"/>
      <c r="AF548" s="533"/>
      <c r="AG548" s="533"/>
      <c r="AH548" s="533"/>
      <c r="AI548" s="533"/>
      <c r="AJ548" s="533"/>
      <c r="AK548" s="533"/>
      <c r="AL548" s="533"/>
      <c r="AM548" s="533"/>
      <c r="AN548" s="533"/>
      <c r="AO548" s="533"/>
      <c r="AP548" s="533"/>
      <c r="AQ548" s="533"/>
      <c r="AR548" s="533"/>
      <c r="AS548" s="533"/>
      <c r="AT548" s="533"/>
      <c r="AU548" s="533"/>
    </row>
    <row r="549" spans="1:47" ht="10.5" hidden="1" customHeight="1" x14ac:dyDescent="0.25">
      <c r="A549" s="41"/>
      <c r="B549" s="104" t="s">
        <v>1136</v>
      </c>
      <c r="C549" s="695" t="s">
        <v>210</v>
      </c>
      <c r="D549" s="727"/>
      <c r="E549" s="828"/>
      <c r="F549" s="688" t="s">
        <v>693</v>
      </c>
      <c r="G549" s="26" t="s">
        <v>694</v>
      </c>
      <c r="H549" s="27">
        <f>VLOOKUP(C549,A!A$1:V$669,22,FALSE)</f>
        <v>1</v>
      </c>
      <c r="I549" s="27"/>
      <c r="J549" s="28">
        <f>IF(VLOOKUP(C549,A!A$1:V$669,18,FALSE)="y",1,0)</f>
        <v>0</v>
      </c>
      <c r="K549" s="28">
        <f>IF(VLOOKUP(C549,A!A$1:V$669,19,FALSE)="y",1,0)</f>
        <v>0</v>
      </c>
      <c r="L549" s="544"/>
      <c r="M549" s="27">
        <f>VLOOKUP(C549,A!A$1:V$669,20,FALSE)</f>
        <v>0</v>
      </c>
      <c r="N549" s="44">
        <v>1</v>
      </c>
      <c r="O549" s="533">
        <f>VLOOKUP(C549,A!A$1:V$669,16,FALSE)</f>
        <v>0</v>
      </c>
      <c r="P549" s="533" t="s">
        <v>687</v>
      </c>
      <c r="Q549" s="533" t="str">
        <f>IF(S549=0,"",COUNTIF(Q$12:Q548,"&gt;0")+1)</f>
        <v/>
      </c>
      <c r="R549" s="533" t="str">
        <f>IF(S549=0,"",COUNTIF(R$12:R548,"&gt;0")+1)</f>
        <v/>
      </c>
      <c r="S549" s="533">
        <f t="shared" si="100"/>
        <v>0</v>
      </c>
      <c r="T549" s="533">
        <f>VLOOKUP(C549,A!A$1:AH$669,33,FALSE)</f>
        <v>0</v>
      </c>
      <c r="U549" s="533">
        <v>0.16</v>
      </c>
      <c r="V549" s="533"/>
      <c r="W549" s="533"/>
      <c r="X549" s="533"/>
      <c r="Y549" s="533"/>
      <c r="Z549" s="533"/>
      <c r="AA549" s="533"/>
      <c r="AB549" s="533"/>
      <c r="AC549" s="533"/>
      <c r="AD549" s="533"/>
      <c r="AE549" s="533"/>
      <c r="AF549" s="533"/>
      <c r="AG549" s="533"/>
      <c r="AH549" s="533"/>
      <c r="AI549" s="533"/>
      <c r="AJ549" s="533"/>
      <c r="AK549" s="533"/>
      <c r="AL549" s="533"/>
      <c r="AM549" s="533"/>
      <c r="AN549" s="533"/>
      <c r="AO549" s="533"/>
      <c r="AP549" s="533"/>
      <c r="AQ549" s="533"/>
      <c r="AR549" s="533"/>
      <c r="AS549" s="533"/>
      <c r="AT549" s="533"/>
      <c r="AU549" s="533"/>
    </row>
    <row r="550" spans="1:47" ht="10.5" hidden="1" customHeight="1" x14ac:dyDescent="0.25">
      <c r="A550" s="41"/>
      <c r="B550" s="104" t="s">
        <v>1136</v>
      </c>
      <c r="C550" s="695" t="s">
        <v>213</v>
      </c>
      <c r="D550" s="727"/>
      <c r="E550" s="828"/>
      <c r="F550" s="688" t="s">
        <v>204</v>
      </c>
      <c r="G550" s="26" t="s">
        <v>214</v>
      </c>
      <c r="H550" s="27">
        <f>VLOOKUP(C550,A!A$1:V$669,22,FALSE)</f>
        <v>1</v>
      </c>
      <c r="I550" s="27"/>
      <c r="J550" s="28">
        <f>IF(VLOOKUP(C550,A!A$1:V$669,18,FALSE)="y",1,0)</f>
        <v>0</v>
      </c>
      <c r="K550" s="28">
        <f>IF(VLOOKUP(C550,A!A$1:V$669,19,FALSE)="y",1,0)</f>
        <v>0</v>
      </c>
      <c r="L550" s="544"/>
      <c r="M550" s="27">
        <f>VLOOKUP(C550,A!A$1:V$669,20,FALSE)</f>
        <v>0</v>
      </c>
      <c r="N550" s="44">
        <v>1</v>
      </c>
      <c r="O550" s="533">
        <f>VLOOKUP(C550,A!A$1:V$669,16,FALSE)</f>
        <v>0</v>
      </c>
      <c r="P550" s="533" t="s">
        <v>687</v>
      </c>
      <c r="Q550" s="533" t="str">
        <f>IF(S550=0,"",COUNTIF(Q$12:Q549,"&gt;0")+1)</f>
        <v/>
      </c>
      <c r="R550" s="533" t="str">
        <f>IF(S550=0,"",COUNTIF(R$12:R549,"&gt;0")+1)</f>
        <v/>
      </c>
      <c r="S550" s="533">
        <f t="shared" si="100"/>
        <v>0</v>
      </c>
      <c r="T550" s="533">
        <f>VLOOKUP(C550,A!A$1:AH$669,33,FALSE)</f>
        <v>0</v>
      </c>
      <c r="U550" s="533">
        <v>0.16</v>
      </c>
      <c r="V550" s="533"/>
      <c r="W550" s="533"/>
      <c r="X550" s="533"/>
      <c r="Y550" s="533"/>
      <c r="Z550" s="533"/>
      <c r="AA550" s="533"/>
      <c r="AB550" s="533"/>
      <c r="AC550" s="533"/>
      <c r="AD550" s="533"/>
      <c r="AE550" s="533"/>
      <c r="AF550" s="533"/>
      <c r="AG550" s="533"/>
      <c r="AH550" s="533"/>
      <c r="AI550" s="533"/>
      <c r="AJ550" s="533"/>
      <c r="AK550" s="533"/>
      <c r="AL550" s="533"/>
      <c r="AM550" s="533"/>
      <c r="AN550" s="533"/>
      <c r="AO550" s="533"/>
      <c r="AP550" s="533"/>
      <c r="AQ550" s="533"/>
      <c r="AR550" s="533"/>
      <c r="AS550" s="533"/>
      <c r="AT550" s="533"/>
      <c r="AU550" s="533"/>
    </row>
    <row r="551" spans="1:47" ht="11.25" hidden="1" customHeight="1" x14ac:dyDescent="0.25">
      <c r="A551" s="41"/>
      <c r="B551" s="104" t="s">
        <v>1136</v>
      </c>
      <c r="C551" s="695" t="s">
        <v>211</v>
      </c>
      <c r="D551" s="727"/>
      <c r="E551" s="828"/>
      <c r="F551" s="688" t="s">
        <v>204</v>
      </c>
      <c r="G551" s="26" t="s">
        <v>212</v>
      </c>
      <c r="H551" s="27">
        <f>VLOOKUP(C551,A!A$1:V$669,22,FALSE)</f>
        <v>1</v>
      </c>
      <c r="I551" s="27"/>
      <c r="J551" s="28">
        <f>IF(VLOOKUP(C551,A!A$1:V$669,18,FALSE)="y",1,0)</f>
        <v>0</v>
      </c>
      <c r="K551" s="28">
        <f>IF(VLOOKUP(C551,A!A$1:V$669,19,FALSE)="y",1,0)</f>
        <v>0</v>
      </c>
      <c r="L551" s="544"/>
      <c r="M551" s="27">
        <f>VLOOKUP(C551,A!A$1:V$669,20,FALSE)</f>
        <v>0</v>
      </c>
      <c r="N551" s="44">
        <v>1</v>
      </c>
      <c r="O551" s="533">
        <f>VLOOKUP(C551,A!A$1:V$669,16,FALSE)</f>
        <v>0</v>
      </c>
      <c r="P551" s="533" t="s">
        <v>687</v>
      </c>
      <c r="Q551" s="533" t="str">
        <f>IF(S551=0,"",COUNTIF(Q$12:Q550,"&gt;0")+1)</f>
        <v/>
      </c>
      <c r="R551" s="533" t="str">
        <f>IF(S551=0,"",COUNTIF(R$12:R550,"&gt;0")+1)</f>
        <v/>
      </c>
      <c r="S551" s="533">
        <f t="shared" si="100"/>
        <v>0</v>
      </c>
      <c r="T551" s="533">
        <f>VLOOKUP(C551,A!A$1:AH$669,33,FALSE)</f>
        <v>0</v>
      </c>
      <c r="U551" s="533">
        <v>0.16</v>
      </c>
      <c r="V551" s="533"/>
      <c r="W551" s="533"/>
      <c r="X551" s="533"/>
      <c r="Y551" s="533"/>
      <c r="Z551" s="533"/>
      <c r="AA551" s="533"/>
      <c r="AB551" s="533"/>
      <c r="AC551" s="533"/>
      <c r="AD551" s="533"/>
      <c r="AE551" s="533"/>
      <c r="AF551" s="533"/>
      <c r="AG551" s="533"/>
      <c r="AH551" s="533"/>
      <c r="AI551" s="533"/>
      <c r="AJ551" s="533"/>
      <c r="AK551" s="533"/>
      <c r="AL551" s="533"/>
      <c r="AM551" s="533"/>
      <c r="AN551" s="533"/>
      <c r="AO551" s="533"/>
      <c r="AP551" s="533"/>
      <c r="AQ551" s="533"/>
      <c r="AR551" s="533"/>
      <c r="AS551" s="533"/>
      <c r="AT551" s="533"/>
      <c r="AU551" s="533"/>
    </row>
    <row r="552" spans="1:47" ht="11.25" hidden="1" customHeight="1" x14ac:dyDescent="0.25">
      <c r="A552" s="41"/>
      <c r="B552" s="104" t="s">
        <v>1136</v>
      </c>
      <c r="C552" s="695" t="s">
        <v>219</v>
      </c>
      <c r="D552" s="727"/>
      <c r="E552" s="828"/>
      <c r="F552" s="688" t="s">
        <v>204</v>
      </c>
      <c r="G552" s="26" t="s">
        <v>695</v>
      </c>
      <c r="H552" s="27">
        <f>VLOOKUP(C552,A!A$1:V$669,22,FALSE)</f>
        <v>1</v>
      </c>
      <c r="I552" s="27"/>
      <c r="J552" s="28">
        <f>IF(VLOOKUP(C552,A!A$1:V$669,18,FALSE)="y",1,0)</f>
        <v>0</v>
      </c>
      <c r="K552" s="28">
        <f>IF(VLOOKUP(C552,A!A$1:V$669,19,FALSE)="y",1,0)</f>
        <v>0</v>
      </c>
      <c r="L552" s="544"/>
      <c r="M552" s="27">
        <f>VLOOKUP(C552,A!A$1:V$669,20,FALSE)</f>
        <v>0</v>
      </c>
      <c r="N552" s="44">
        <v>1</v>
      </c>
      <c r="O552" s="533">
        <f>VLOOKUP(C552,A!A$1:V$669,16,FALSE)</f>
        <v>0</v>
      </c>
      <c r="P552" s="533" t="s">
        <v>687</v>
      </c>
      <c r="Q552" s="533" t="str">
        <f>IF(S552=0,"",COUNTIF(Q$12:Q551,"&gt;0")+1)</f>
        <v/>
      </c>
      <c r="R552" s="533" t="str">
        <f>IF(S552=0,"",COUNTIF(R$12:R551,"&gt;0")+1)</f>
        <v/>
      </c>
      <c r="S552" s="533">
        <f t="shared" si="100"/>
        <v>0</v>
      </c>
      <c r="T552" s="533">
        <f>VLOOKUP(C552,A!A$1:AH$669,33,FALSE)</f>
        <v>0</v>
      </c>
      <c r="U552" s="533">
        <v>0.16</v>
      </c>
      <c r="V552" s="533"/>
      <c r="W552" s="533"/>
      <c r="X552" s="533"/>
      <c r="Y552" s="533"/>
      <c r="Z552" s="533"/>
      <c r="AA552" s="533"/>
      <c r="AB552" s="533"/>
      <c r="AC552" s="533"/>
      <c r="AD552" s="533"/>
      <c r="AE552" s="533"/>
      <c r="AF552" s="533"/>
      <c r="AG552" s="533"/>
      <c r="AH552" s="533"/>
      <c r="AI552" s="533"/>
      <c r="AJ552" s="533"/>
      <c r="AK552" s="533"/>
      <c r="AL552" s="533"/>
      <c r="AM552" s="533"/>
      <c r="AN552" s="533"/>
      <c r="AO552" s="533"/>
      <c r="AP552" s="533"/>
      <c r="AQ552" s="533"/>
      <c r="AR552" s="533"/>
      <c r="AS552" s="533"/>
      <c r="AT552" s="533"/>
      <c r="AU552" s="533"/>
    </row>
    <row r="553" spans="1:47" ht="13.5" customHeight="1" x14ac:dyDescent="0.25">
      <c r="A553" s="41"/>
      <c r="B553" s="104" t="s">
        <v>1136</v>
      </c>
      <c r="C553" s="695" t="s">
        <v>223</v>
      </c>
      <c r="D553" s="727"/>
      <c r="E553" s="828"/>
      <c r="F553" s="688" t="s">
        <v>221</v>
      </c>
      <c r="G553" s="26" t="s">
        <v>224</v>
      </c>
      <c r="H553" s="27">
        <f>VLOOKUP(C553,A!A$1:V$669,22,FALSE)</f>
        <v>1</v>
      </c>
      <c r="I553" s="27"/>
      <c r="J553" s="28">
        <f>IF(VLOOKUP(C553,A!A$1:V$669,18,FALSE)="y",1,0)</f>
        <v>1</v>
      </c>
      <c r="K553" s="28">
        <f>IF(VLOOKUP(C553,A!A$1:V$669,19,FALSE)="y",1,0)</f>
        <v>0</v>
      </c>
      <c r="L553" s="544"/>
      <c r="M553" s="27">
        <f>VLOOKUP(C553,A!A$1:V$669,20,FALSE)</f>
        <v>0</v>
      </c>
      <c r="N553" s="44">
        <v>2</v>
      </c>
      <c r="O553" s="533" t="str">
        <f>VLOOKUP(C553,A!A$1:V$669,16,FALSE)</f>
        <v>y</v>
      </c>
      <c r="P553" s="533" t="s">
        <v>687</v>
      </c>
      <c r="Q553" s="533" t="str">
        <f>IF(S553=0,"",COUNTIF(Q$12:Q552,"&gt;0")+1)</f>
        <v/>
      </c>
      <c r="R553" s="533" t="str">
        <f>IF(S553=0,"",COUNTIF(R$12:R552,"&gt;0")+1)</f>
        <v/>
      </c>
      <c r="S553" s="533">
        <f t="shared" si="100"/>
        <v>0</v>
      </c>
      <c r="T553" s="533">
        <f>VLOOKUP(C553,A!A$1:AH$669,33,FALSE)</f>
        <v>45</v>
      </c>
      <c r="U553" s="533">
        <v>0.16</v>
      </c>
      <c r="V553" s="533">
        <v>101</v>
      </c>
      <c r="W553" s="533"/>
      <c r="X553" s="533"/>
      <c r="Y553" s="533"/>
      <c r="Z553" s="533"/>
      <c r="AA553" s="533"/>
      <c r="AB553" s="533"/>
      <c r="AC553" s="533"/>
      <c r="AD553" s="533"/>
      <c r="AE553" s="533"/>
      <c r="AF553" s="533"/>
      <c r="AG553" s="533"/>
      <c r="AH553" s="533"/>
      <c r="AI553" s="533"/>
      <c r="AJ553" s="533"/>
      <c r="AK553" s="533"/>
      <c r="AL553" s="533"/>
      <c r="AM553" s="533"/>
      <c r="AN553" s="533"/>
      <c r="AO553" s="533"/>
      <c r="AP553" s="533"/>
      <c r="AQ553" s="533"/>
      <c r="AR553" s="533"/>
      <c r="AS553" s="533"/>
      <c r="AT553" s="533"/>
      <c r="AU553" s="533"/>
    </row>
    <row r="554" spans="1:47" ht="11.25" hidden="1" customHeight="1" x14ac:dyDescent="0.25">
      <c r="A554" s="41"/>
      <c r="B554" s="104" t="s">
        <v>1136</v>
      </c>
      <c r="C554" s="695" t="s">
        <v>232</v>
      </c>
      <c r="D554" s="727"/>
      <c r="E554" s="828"/>
      <c r="F554" s="688" t="s">
        <v>233</v>
      </c>
      <c r="G554" s="26" t="s">
        <v>234</v>
      </c>
      <c r="H554" s="27">
        <f>VLOOKUP(C554,A!A$1:V$669,22,FALSE)</f>
        <v>0</v>
      </c>
      <c r="I554" s="27"/>
      <c r="J554" s="28">
        <f>IF(VLOOKUP(C554,A!A$1:V$669,18,FALSE)="y",1,0)</f>
        <v>0</v>
      </c>
      <c r="K554" s="28">
        <f>IF(VLOOKUP(C554,A!A$1:V$669,19,FALSE)="y",1,0)</f>
        <v>0</v>
      </c>
      <c r="L554" s="544" t="str">
        <f t="shared" ref="L554:L585" si="101">IF(T554&lt;35,"Low",IF(T554&gt;40,"High","Med"))</f>
        <v>Low</v>
      </c>
      <c r="M554" s="27">
        <f>VLOOKUP(C554,A!A$1:V$669,20,FALSE)</f>
        <v>0</v>
      </c>
      <c r="N554" s="44">
        <v>2</v>
      </c>
      <c r="O554" s="533">
        <f>VLOOKUP(C554,A!A$1:V$669,16,FALSE)</f>
        <v>0</v>
      </c>
      <c r="P554" s="533" t="s">
        <v>687</v>
      </c>
      <c r="Q554" s="533" t="str">
        <f>IF(S554=0,"",COUNTIF(Q$12:Q553,"&gt;0")+1)</f>
        <v/>
      </c>
      <c r="R554" s="533" t="str">
        <f>IF(S554=0,"",COUNTIF(R$12:R553,"&gt;0")+1)</f>
        <v/>
      </c>
      <c r="S554" s="533">
        <f t="shared" si="100"/>
        <v>0</v>
      </c>
      <c r="T554" s="533">
        <f>VLOOKUP(C554,A!A$1:AH$669,33,FALSE)</f>
        <v>0</v>
      </c>
      <c r="U554" s="533">
        <v>0.16</v>
      </c>
      <c r="V554" s="533"/>
      <c r="W554" s="533"/>
      <c r="X554" s="533"/>
      <c r="Y554" s="533"/>
      <c r="Z554" s="533"/>
      <c r="AA554" s="533"/>
      <c r="AB554" s="533"/>
      <c r="AC554" s="533"/>
      <c r="AD554" s="533"/>
      <c r="AE554" s="533"/>
      <c r="AF554" s="533"/>
      <c r="AG554" s="533"/>
      <c r="AH554" s="533"/>
      <c r="AI554" s="533"/>
      <c r="AJ554" s="533"/>
      <c r="AK554" s="533"/>
      <c r="AL554" s="533"/>
      <c r="AM554" s="533"/>
      <c r="AN554" s="533"/>
      <c r="AO554" s="533"/>
      <c r="AP554" s="533"/>
      <c r="AQ554" s="533"/>
      <c r="AR554" s="533"/>
      <c r="AS554" s="533"/>
      <c r="AT554" s="533"/>
      <c r="AU554" s="533"/>
    </row>
    <row r="555" spans="1:47" ht="11.25" hidden="1" customHeight="1" x14ac:dyDescent="0.25">
      <c r="A555" s="41"/>
      <c r="B555" s="104" t="s">
        <v>1136</v>
      </c>
      <c r="C555" s="695" t="s">
        <v>238</v>
      </c>
      <c r="D555" s="727"/>
      <c r="E555" s="828"/>
      <c r="F555" s="688" t="s">
        <v>239</v>
      </c>
      <c r="G555" s="26" t="s">
        <v>240</v>
      </c>
      <c r="H555" s="27">
        <f>VLOOKUP(C555,A!A$1:V$669,22,FALSE)</f>
        <v>0</v>
      </c>
      <c r="I555" s="27"/>
      <c r="J555" s="28">
        <f>IF(VLOOKUP(C555,A!A$1:V$669,18,FALSE)="y",1,0)</f>
        <v>0</v>
      </c>
      <c r="K555" s="28">
        <f>IF(VLOOKUP(C555,A!A$1:V$669,19,FALSE)="y",1,0)</f>
        <v>0</v>
      </c>
      <c r="L555" s="544" t="str">
        <f t="shared" si="101"/>
        <v>Low</v>
      </c>
      <c r="M555" s="27">
        <f>VLOOKUP(C555,A!A$1:V$669,20,FALSE)</f>
        <v>0</v>
      </c>
      <c r="N555" s="44">
        <v>2</v>
      </c>
      <c r="O555" s="533">
        <f>VLOOKUP(C555,A!A$1:V$669,16,FALSE)</f>
        <v>0</v>
      </c>
      <c r="P555" s="533" t="s">
        <v>687</v>
      </c>
      <c r="Q555" s="533" t="str">
        <f>IF(S555=0,"",COUNTIF(Q$12:Q554,"&gt;0")+1)</f>
        <v/>
      </c>
      <c r="R555" s="533" t="str">
        <f>IF(S555=0,"",COUNTIF(R$12:R554,"&gt;0")+1)</f>
        <v/>
      </c>
      <c r="S555" s="533">
        <f t="shared" si="100"/>
        <v>0</v>
      </c>
      <c r="T555" s="533">
        <f>VLOOKUP(C555,A!A$1:AH$669,33,FALSE)</f>
        <v>0</v>
      </c>
      <c r="U555" s="533">
        <v>0.16</v>
      </c>
      <c r="V555" s="533"/>
      <c r="W555" s="533"/>
      <c r="X555" s="533"/>
      <c r="Y555" s="533"/>
      <c r="Z555" s="533"/>
      <c r="AA555" s="533"/>
      <c r="AB555" s="533"/>
      <c r="AC555" s="533"/>
      <c r="AD555" s="533"/>
      <c r="AE555" s="533"/>
      <c r="AF555" s="533"/>
      <c r="AG555" s="533"/>
      <c r="AH555" s="533"/>
      <c r="AI555" s="533"/>
      <c r="AJ555" s="533"/>
      <c r="AK555" s="533"/>
      <c r="AL555" s="533"/>
      <c r="AM555" s="533"/>
      <c r="AN555" s="533"/>
      <c r="AO555" s="533"/>
      <c r="AP555" s="533"/>
      <c r="AQ555" s="533"/>
      <c r="AR555" s="533"/>
      <c r="AS555" s="533"/>
      <c r="AT555" s="533"/>
      <c r="AU555" s="533"/>
    </row>
    <row r="556" spans="1:47" ht="13.5" hidden="1" customHeight="1" x14ac:dyDescent="0.25">
      <c r="A556" s="41"/>
      <c r="B556" s="104" t="s">
        <v>1136</v>
      </c>
      <c r="C556" s="695" t="s">
        <v>249</v>
      </c>
      <c r="D556" s="727"/>
      <c r="E556" s="828"/>
      <c r="F556" s="688" t="s">
        <v>245</v>
      </c>
      <c r="G556" s="26" t="s">
        <v>250</v>
      </c>
      <c r="H556" s="27">
        <f>VLOOKUP(C556,A!A$1:V$669,22,FALSE)</f>
        <v>2</v>
      </c>
      <c r="I556" s="27"/>
      <c r="J556" s="28">
        <f>IF(VLOOKUP(C556,A!A$1:V$669,18,FALSE)="y",1,0)</f>
        <v>0</v>
      </c>
      <c r="K556" s="28">
        <f>IF(VLOOKUP(C556,A!A$1:V$669,19,FALSE)="y",1,0)</f>
        <v>0</v>
      </c>
      <c r="L556" s="544" t="str">
        <f t="shared" si="101"/>
        <v>Low</v>
      </c>
      <c r="M556" s="27">
        <f>VLOOKUP(C556,A!A$1:V$669,20,FALSE)</f>
        <v>0</v>
      </c>
      <c r="N556" s="44">
        <v>2</v>
      </c>
      <c r="O556" s="533">
        <f>VLOOKUP(C556,A!A$1:V$669,16,FALSE)</f>
        <v>0</v>
      </c>
      <c r="P556" s="533" t="s">
        <v>687</v>
      </c>
      <c r="Q556" s="533" t="str">
        <f>IF(S556=0,"",COUNTIF(Q$12:Q555,"&gt;0")+1)</f>
        <v/>
      </c>
      <c r="R556" s="533" t="str">
        <f>IF(S556=0,"",COUNTIF(R$12:R555,"&gt;0")+1)</f>
        <v/>
      </c>
      <c r="S556" s="533">
        <f t="shared" si="100"/>
        <v>0</v>
      </c>
      <c r="T556" s="533">
        <f>VLOOKUP(C556,A!A$1:AH$669,33,FALSE)</f>
        <v>0</v>
      </c>
      <c r="U556" s="533">
        <v>0.16</v>
      </c>
      <c r="V556" s="533"/>
      <c r="W556" s="533"/>
      <c r="X556" s="533"/>
      <c r="Y556" s="533"/>
      <c r="Z556" s="533"/>
      <c r="AA556" s="533"/>
      <c r="AB556" s="533"/>
      <c r="AC556" s="533"/>
      <c r="AD556" s="533"/>
      <c r="AE556" s="533"/>
      <c r="AF556" s="533"/>
      <c r="AG556" s="533"/>
      <c r="AH556" s="533"/>
      <c r="AI556" s="533"/>
      <c r="AJ556" s="533"/>
      <c r="AK556" s="533"/>
      <c r="AL556" s="533"/>
      <c r="AM556" s="533"/>
      <c r="AN556" s="533"/>
      <c r="AO556" s="533"/>
      <c r="AP556" s="533"/>
      <c r="AQ556" s="533"/>
      <c r="AR556" s="533"/>
      <c r="AS556" s="533"/>
      <c r="AT556" s="533"/>
      <c r="AU556" s="533"/>
    </row>
    <row r="557" spans="1:47" ht="11.25" hidden="1" customHeight="1" x14ac:dyDescent="0.25">
      <c r="A557" s="41"/>
      <c r="B557" s="104" t="s">
        <v>1136</v>
      </c>
      <c r="C557" s="695" t="s">
        <v>276</v>
      </c>
      <c r="D557" s="727"/>
      <c r="E557" s="828"/>
      <c r="F557" s="688" t="s">
        <v>260</v>
      </c>
      <c r="G557" s="26" t="s">
        <v>277</v>
      </c>
      <c r="H557" s="27">
        <f>VLOOKUP(C557,A!A$1:V$669,22,FALSE)</f>
        <v>0</v>
      </c>
      <c r="I557" s="27"/>
      <c r="J557" s="28">
        <f>IF(VLOOKUP(C557,A!A$1:V$669,18,FALSE)="y",1,0)</f>
        <v>0</v>
      </c>
      <c r="K557" s="28">
        <f>IF(VLOOKUP(C557,A!A$1:V$669,19,FALSE)="y",1,0)</f>
        <v>0</v>
      </c>
      <c r="L557" s="544" t="str">
        <f t="shared" si="101"/>
        <v>Low</v>
      </c>
      <c r="M557" s="27">
        <f>VLOOKUP(C557,A!A$1:V$669,20,FALSE)</f>
        <v>0</v>
      </c>
      <c r="N557" s="44">
        <v>2</v>
      </c>
      <c r="O557" s="533">
        <f>VLOOKUP(C557,A!A$1:V$669,16,FALSE)</f>
        <v>0</v>
      </c>
      <c r="P557" s="533" t="s">
        <v>687</v>
      </c>
      <c r="Q557" s="533" t="str">
        <f>IF(S557=0,"",COUNTIF(Q$12:Q556,"&gt;0")+1)</f>
        <v/>
      </c>
      <c r="R557" s="533" t="str">
        <f>IF(S557=0,"",COUNTIF(R$12:R556,"&gt;0")+1)</f>
        <v/>
      </c>
      <c r="S557" s="533">
        <f t="shared" si="100"/>
        <v>0</v>
      </c>
      <c r="T557" s="533">
        <f>VLOOKUP(C557,A!A$1:AH$669,33,FALSE)</f>
        <v>0</v>
      </c>
      <c r="U557" s="533">
        <v>0.16</v>
      </c>
      <c r="V557" s="533"/>
      <c r="W557" s="533"/>
      <c r="X557" s="533"/>
      <c r="Y557" s="533"/>
      <c r="Z557" s="533"/>
      <c r="AA557" s="533"/>
      <c r="AB557" s="533"/>
      <c r="AC557" s="533"/>
      <c r="AD557" s="533"/>
      <c r="AE557" s="533"/>
      <c r="AF557" s="533"/>
      <c r="AG557" s="533"/>
      <c r="AH557" s="533"/>
      <c r="AI557" s="533"/>
      <c r="AJ557" s="533"/>
      <c r="AK557" s="533"/>
      <c r="AL557" s="533"/>
      <c r="AM557" s="533"/>
      <c r="AN557" s="533"/>
      <c r="AO557" s="533"/>
      <c r="AP557" s="533"/>
      <c r="AQ557" s="533"/>
      <c r="AR557" s="533"/>
      <c r="AS557" s="533"/>
      <c r="AT557" s="533"/>
      <c r="AU557" s="533"/>
    </row>
    <row r="558" spans="1:47" ht="13.5" hidden="1" customHeight="1" x14ac:dyDescent="0.25">
      <c r="A558" s="41"/>
      <c r="B558" s="104" t="s">
        <v>1136</v>
      </c>
      <c r="C558" s="695" t="s">
        <v>273</v>
      </c>
      <c r="D558" s="727"/>
      <c r="E558" s="828"/>
      <c r="F558" s="688" t="s">
        <v>274</v>
      </c>
      <c r="G558" s="26" t="s">
        <v>275</v>
      </c>
      <c r="H558" s="27">
        <f>VLOOKUP(C558,A!A$1:V$669,22,FALSE)</f>
        <v>1</v>
      </c>
      <c r="I558" s="27"/>
      <c r="J558" s="28">
        <f>IF(VLOOKUP(C558,A!A$1:V$669,18,FALSE)="y",1,0)</f>
        <v>0</v>
      </c>
      <c r="K558" s="28">
        <f>IF(VLOOKUP(C558,A!A$1:V$669,19,FALSE)="y",1,0)</f>
        <v>0</v>
      </c>
      <c r="L558" s="544" t="str">
        <f t="shared" si="101"/>
        <v>Low</v>
      </c>
      <c r="M558" s="27"/>
      <c r="N558" s="44">
        <v>2</v>
      </c>
      <c r="O558" s="533">
        <f>VLOOKUP(C558,A!A$1:V$669,16,FALSE)</f>
        <v>0</v>
      </c>
      <c r="P558" s="533" t="s">
        <v>687</v>
      </c>
      <c r="Q558" s="533" t="str">
        <f>IF(S558=0,"",COUNTIF(Q$12:Q557,"&gt;0")+1)</f>
        <v/>
      </c>
      <c r="R558" s="533" t="str">
        <f>IF(S558=0,"",COUNTIF(R$12:R557,"&gt;0")+1)</f>
        <v/>
      </c>
      <c r="S558" s="533">
        <f t="shared" si="100"/>
        <v>0</v>
      </c>
      <c r="T558" s="533">
        <f>VLOOKUP(C558,A!A$1:AH$669,33,FALSE)</f>
        <v>0</v>
      </c>
      <c r="U558" s="533">
        <v>0.16</v>
      </c>
      <c r="V558" s="533"/>
      <c r="W558" s="533"/>
      <c r="X558" s="533"/>
      <c r="Y558" s="533"/>
      <c r="Z558" s="533"/>
      <c r="AA558" s="533"/>
      <c r="AB558" s="533"/>
      <c r="AC558" s="533"/>
      <c r="AD558" s="533"/>
      <c r="AE558" s="533"/>
      <c r="AF558" s="533"/>
      <c r="AG558" s="533"/>
      <c r="AH558" s="533"/>
      <c r="AI558" s="533"/>
      <c r="AJ558" s="533"/>
      <c r="AK558" s="533"/>
      <c r="AL558" s="533"/>
      <c r="AM558" s="533"/>
      <c r="AN558" s="533"/>
      <c r="AO558" s="533"/>
      <c r="AP558" s="533"/>
      <c r="AQ558" s="533"/>
      <c r="AR558" s="533"/>
      <c r="AS558" s="533"/>
      <c r="AT558" s="533"/>
      <c r="AU558" s="533"/>
    </row>
    <row r="559" spans="1:47" ht="13.5" hidden="1" customHeight="1" x14ac:dyDescent="0.25">
      <c r="A559" s="41"/>
      <c r="B559" s="104" t="s">
        <v>1136</v>
      </c>
      <c r="C559" s="695" t="s">
        <v>1816</v>
      </c>
      <c r="D559" s="727"/>
      <c r="E559" s="828"/>
      <c r="F559" s="688" t="s">
        <v>1827</v>
      </c>
      <c r="G559" s="26" t="s">
        <v>1825</v>
      </c>
      <c r="H559" s="27">
        <v>2</v>
      </c>
      <c r="I559" s="27"/>
      <c r="J559" s="28">
        <f>IF(VLOOKUP(C559,A!A$1:V$669,18,FALSE)="y",1,0)</f>
        <v>0</v>
      </c>
      <c r="K559" s="28">
        <f>IF(VLOOKUP(C559,A!A$1:V$669,19,FALSE)="y",1,0)</f>
        <v>0</v>
      </c>
      <c r="L559" s="544" t="str">
        <f t="shared" si="101"/>
        <v>Med</v>
      </c>
      <c r="M559" s="27"/>
      <c r="N559" s="44">
        <v>2</v>
      </c>
      <c r="O559" s="533">
        <f>VLOOKUP(C559,A!A$1:V$669,16,FALSE)</f>
        <v>0</v>
      </c>
      <c r="P559" s="533" t="s">
        <v>687</v>
      </c>
      <c r="Q559" s="533" t="str">
        <f>IF(S559=0,"",COUNTIF(Q$12:Q558,"&gt;0")+1)</f>
        <v/>
      </c>
      <c r="R559" s="533" t="str">
        <f>IF(S559=0,"",COUNTIF(R$12:R558,"&gt;0")+1)</f>
        <v/>
      </c>
      <c r="S559" s="533">
        <f t="shared" si="100"/>
        <v>0</v>
      </c>
      <c r="T559" s="533">
        <v>40</v>
      </c>
      <c r="U559" s="533">
        <v>0.16</v>
      </c>
      <c r="V559" s="533"/>
      <c r="W559" s="533"/>
      <c r="X559" s="533"/>
      <c r="Y559" s="533"/>
      <c r="Z559" s="533"/>
      <c r="AA559" s="533"/>
      <c r="AB559" s="533"/>
      <c r="AC559" s="533"/>
      <c r="AD559" s="533"/>
      <c r="AE559" s="533"/>
      <c r="AF559" s="533"/>
      <c r="AG559" s="533"/>
      <c r="AH559" s="533"/>
      <c r="AI559" s="533"/>
      <c r="AJ559" s="533"/>
      <c r="AK559" s="533"/>
      <c r="AL559" s="533"/>
      <c r="AM559" s="533"/>
      <c r="AN559" s="533"/>
      <c r="AO559" s="533"/>
      <c r="AP559" s="533"/>
      <c r="AQ559" s="533"/>
      <c r="AR559" s="533"/>
      <c r="AS559" s="533"/>
      <c r="AT559" s="533"/>
      <c r="AU559" s="533"/>
    </row>
    <row r="560" spans="1:47" ht="13.5" hidden="1" customHeight="1" x14ac:dyDescent="0.25">
      <c r="A560" s="41"/>
      <c r="B560" s="104" t="s">
        <v>1136</v>
      </c>
      <c r="C560" s="695" t="s">
        <v>612</v>
      </c>
      <c r="D560" s="727"/>
      <c r="E560" s="828"/>
      <c r="F560" s="688" t="s">
        <v>613</v>
      </c>
      <c r="G560" s="26" t="s">
        <v>614</v>
      </c>
      <c r="H560" s="27">
        <v>2</v>
      </c>
      <c r="I560" s="27"/>
      <c r="J560" s="28">
        <f>IF(VLOOKUP(C560,A!A$1:V$669,18,FALSE)="y",1,0)</f>
        <v>0</v>
      </c>
      <c r="K560" s="28">
        <f>IF(VLOOKUP(C560,A!A$1:V$669,19,FALSE)="y",1,0)</f>
        <v>0</v>
      </c>
      <c r="L560" s="544" t="str">
        <f t="shared" si="101"/>
        <v>Med</v>
      </c>
      <c r="M560" s="27"/>
      <c r="N560" s="44">
        <v>2</v>
      </c>
      <c r="O560" s="533">
        <f>VLOOKUP(C560,A!A$1:V$669,16,FALSE)</f>
        <v>0</v>
      </c>
      <c r="P560" s="533" t="s">
        <v>687</v>
      </c>
      <c r="Q560" s="533" t="str">
        <f>IF(S560=0,"",COUNTIF(Q$12:Q559,"&gt;0")+1)</f>
        <v/>
      </c>
      <c r="R560" s="533" t="str">
        <f>IF(S560=0,"",COUNTIF(R$12:R559,"&gt;0")+1)</f>
        <v/>
      </c>
      <c r="S560" s="533">
        <f t="shared" si="100"/>
        <v>0</v>
      </c>
      <c r="T560" s="533">
        <v>40</v>
      </c>
      <c r="U560" s="533">
        <v>0.16</v>
      </c>
      <c r="V560" s="533"/>
      <c r="W560" s="533"/>
      <c r="X560" s="533"/>
      <c r="Y560" s="533"/>
      <c r="Z560" s="533"/>
      <c r="AA560" s="533"/>
      <c r="AB560" s="533"/>
      <c r="AC560" s="533"/>
      <c r="AD560" s="533"/>
      <c r="AE560" s="533"/>
      <c r="AF560" s="533"/>
      <c r="AG560" s="533"/>
      <c r="AH560" s="533"/>
      <c r="AI560" s="533"/>
      <c r="AJ560" s="533"/>
      <c r="AK560" s="533"/>
      <c r="AL560" s="533"/>
      <c r="AM560" s="533"/>
      <c r="AN560" s="533"/>
      <c r="AO560" s="533"/>
      <c r="AP560" s="533"/>
      <c r="AQ560" s="533"/>
      <c r="AR560" s="533"/>
      <c r="AS560" s="533"/>
      <c r="AT560" s="533"/>
      <c r="AU560" s="533"/>
    </row>
    <row r="561" spans="1:47" ht="13.5" hidden="1" customHeight="1" x14ac:dyDescent="0.25">
      <c r="A561" s="41"/>
      <c r="B561" s="104" t="s">
        <v>1136</v>
      </c>
      <c r="C561" s="695" t="s">
        <v>696</v>
      </c>
      <c r="D561" s="727"/>
      <c r="E561" s="828"/>
      <c r="F561" s="688" t="s">
        <v>297</v>
      </c>
      <c r="G561" s="26" t="s">
        <v>298</v>
      </c>
      <c r="H561" s="27">
        <f>VLOOKUP(C561,A!A$1:V$669,22,FALSE)</f>
        <v>2</v>
      </c>
      <c r="I561" s="27"/>
      <c r="J561" s="28">
        <f>IF(VLOOKUP(C561,A!A$1:V$669,18,FALSE)="y",1,0)</f>
        <v>0</v>
      </c>
      <c r="K561" s="28">
        <f>IF(VLOOKUP(C561,A!A$1:V$669,19,FALSE)="y",1,0)</f>
        <v>0</v>
      </c>
      <c r="L561" s="544" t="str">
        <f t="shared" si="101"/>
        <v>Low</v>
      </c>
      <c r="M561" s="27">
        <f>VLOOKUP(C561,A!A$1:V$669,20,FALSE)</f>
        <v>0</v>
      </c>
      <c r="N561" s="44" t="s">
        <v>39</v>
      </c>
      <c r="O561" s="533">
        <f>VLOOKUP(C561,A!A$1:V$669,16,FALSE)</f>
        <v>0</v>
      </c>
      <c r="P561" s="533" t="s">
        <v>687</v>
      </c>
      <c r="Q561" s="533" t="str">
        <f>IF(S561=0,"",COUNTIF(Q$12:Q560,"&gt;0")+1)</f>
        <v/>
      </c>
      <c r="R561" s="533" t="str">
        <f>IF(S561=0,"",COUNTIF(R$12:R560,"&gt;0")+1)</f>
        <v/>
      </c>
      <c r="S561" s="533">
        <f t="shared" si="100"/>
        <v>0</v>
      </c>
      <c r="T561" s="533">
        <f>VLOOKUP(C561,A!A$1:AH$669,33,FALSE)</f>
        <v>0</v>
      </c>
      <c r="U561" s="533">
        <v>0.16</v>
      </c>
      <c r="V561" s="533"/>
      <c r="W561" s="533"/>
      <c r="X561" s="533"/>
      <c r="Y561" s="533"/>
      <c r="Z561" s="533"/>
      <c r="AA561" s="533"/>
      <c r="AB561" s="533"/>
      <c r="AC561" s="533"/>
      <c r="AD561" s="533"/>
      <c r="AE561" s="533"/>
      <c r="AF561" s="533"/>
      <c r="AG561" s="533"/>
      <c r="AH561" s="533"/>
      <c r="AI561" s="533"/>
      <c r="AJ561" s="533"/>
      <c r="AK561" s="533"/>
      <c r="AL561" s="533"/>
      <c r="AM561" s="533"/>
      <c r="AN561" s="533"/>
      <c r="AO561" s="533"/>
      <c r="AP561" s="533"/>
      <c r="AQ561" s="533"/>
      <c r="AR561" s="533"/>
      <c r="AS561" s="533"/>
      <c r="AT561" s="533"/>
      <c r="AU561" s="533"/>
    </row>
    <row r="562" spans="1:47" ht="11.25" hidden="1" customHeight="1" x14ac:dyDescent="0.25">
      <c r="A562" s="41"/>
      <c r="B562" s="104" t="s">
        <v>1136</v>
      </c>
      <c r="C562" s="695" t="s">
        <v>697</v>
      </c>
      <c r="D562" s="727"/>
      <c r="E562" s="828"/>
      <c r="F562" s="688" t="s">
        <v>664</v>
      </c>
      <c r="G562" s="26" t="s">
        <v>289</v>
      </c>
      <c r="H562" s="102">
        <f>VLOOKUP(C562,A!A$1:V$669,22,FALSE)</f>
        <v>1</v>
      </c>
      <c r="I562" s="27" t="s">
        <v>30</v>
      </c>
      <c r="J562" s="28">
        <f>IF(VLOOKUP(C562,A!A$1:V$669,18,FALSE)="y",1,0)</f>
        <v>0</v>
      </c>
      <c r="K562" s="28">
        <f>IF(VLOOKUP(C562,A!A$1:V$669,19,FALSE)="y",1,0)</f>
        <v>0</v>
      </c>
      <c r="L562" s="544" t="str">
        <f t="shared" si="101"/>
        <v>Low</v>
      </c>
      <c r="M562" s="27">
        <f>VLOOKUP(C562,A!A$1:V$669,20,FALSE)</f>
        <v>0</v>
      </c>
      <c r="N562" s="44" t="s">
        <v>39</v>
      </c>
      <c r="O562" s="533">
        <f>VLOOKUP(C562,A!A$1:V$669,16,FALSE)</f>
        <v>0</v>
      </c>
      <c r="P562" s="533" t="s">
        <v>687</v>
      </c>
      <c r="Q562" s="533" t="str">
        <f>IF(S562=0,"",COUNTIF(Q$12:Q561,"&gt;0")+1)</f>
        <v/>
      </c>
      <c r="R562" s="533" t="str">
        <f>IF(S562=0,"",COUNTIF(R$12:R561,"&gt;0")+1)</f>
        <v/>
      </c>
      <c r="S562" s="533">
        <f t="shared" si="100"/>
        <v>0</v>
      </c>
      <c r="T562" s="533">
        <f>VLOOKUP(C562,A!A$1:AH$669,33,FALSE)</f>
        <v>0</v>
      </c>
      <c r="U562" s="533">
        <v>0.16</v>
      </c>
      <c r="V562" s="533"/>
      <c r="W562" s="533"/>
      <c r="X562" s="533"/>
      <c r="Y562" s="533"/>
      <c r="Z562" s="533"/>
      <c r="AA562" s="533"/>
      <c r="AB562" s="533"/>
      <c r="AC562" s="533"/>
      <c r="AD562" s="533"/>
      <c r="AE562" s="533"/>
      <c r="AF562" s="533"/>
      <c r="AG562" s="533"/>
      <c r="AH562" s="533"/>
      <c r="AI562" s="533"/>
      <c r="AJ562" s="533"/>
      <c r="AK562" s="533"/>
      <c r="AL562" s="533"/>
      <c r="AM562" s="533"/>
      <c r="AN562" s="533"/>
      <c r="AO562" s="533"/>
      <c r="AP562" s="533"/>
      <c r="AQ562" s="533"/>
      <c r="AR562" s="533"/>
      <c r="AS562" s="533"/>
      <c r="AT562" s="533"/>
      <c r="AU562" s="533"/>
    </row>
    <row r="563" spans="1:47" ht="11.25" hidden="1" customHeight="1" x14ac:dyDescent="0.25">
      <c r="A563" s="41"/>
      <c r="B563" s="104" t="s">
        <v>1136</v>
      </c>
      <c r="C563" s="837" t="s">
        <v>290</v>
      </c>
      <c r="D563" s="727"/>
      <c r="E563" s="828"/>
      <c r="F563" s="686" t="s">
        <v>291</v>
      </c>
      <c r="G563" s="42" t="s">
        <v>292</v>
      </c>
      <c r="H563" s="27">
        <f>VLOOKUP(C563,A!A$1:H$669,8,FALSE)</f>
        <v>2</v>
      </c>
      <c r="I563" s="27" t="s">
        <v>30</v>
      </c>
      <c r="J563" s="28">
        <f>IF(VLOOKUP(C563,A!A$1:H$669,4,FALSE)="y",1,0)</f>
        <v>0</v>
      </c>
      <c r="K563" s="28">
        <f>IF(VLOOKUP(C563,A!A$1:H$669,5,FALSE)="y",1,0)</f>
        <v>0</v>
      </c>
      <c r="L563" s="544" t="str">
        <f t="shared" si="101"/>
        <v>Low</v>
      </c>
      <c r="M563" s="27">
        <f>VLOOKUP(C563,A!A$1:H$669,6,FALSE)</f>
        <v>0</v>
      </c>
      <c r="N563" s="44" t="s">
        <v>31</v>
      </c>
      <c r="O563" s="533">
        <f>VLOOKUP(C563,A!A$1:V$669,16,FALSE)</f>
        <v>0</v>
      </c>
      <c r="P563" s="533" t="s">
        <v>687</v>
      </c>
      <c r="Q563" s="533" t="str">
        <f>IF(S563=0,"",COUNTIF(Q$12:Q562,"&gt;0")+1)</f>
        <v/>
      </c>
      <c r="R563" s="533" t="str">
        <f>IF(S563=0,"",COUNTIF(R$12:R562,"&gt;0")+1)</f>
        <v/>
      </c>
      <c r="S563" s="533">
        <f t="shared" si="100"/>
        <v>0</v>
      </c>
      <c r="T563" s="533"/>
      <c r="U563" s="533">
        <v>0.16</v>
      </c>
      <c r="V563" s="533"/>
      <c r="W563" s="533"/>
      <c r="X563" s="533"/>
      <c r="Y563" s="533"/>
      <c r="Z563" s="533"/>
      <c r="AA563" s="533"/>
      <c r="AB563" s="533"/>
      <c r="AC563" s="533"/>
      <c r="AD563" s="533"/>
      <c r="AE563" s="533"/>
      <c r="AF563" s="533"/>
      <c r="AG563" s="533"/>
      <c r="AH563" s="533"/>
      <c r="AI563" s="533"/>
      <c r="AJ563" s="533"/>
      <c r="AK563" s="533"/>
      <c r="AL563" s="533"/>
      <c r="AM563" s="533"/>
      <c r="AN563" s="533"/>
      <c r="AO563" s="533"/>
      <c r="AP563" s="533"/>
      <c r="AQ563" s="533"/>
      <c r="AR563" s="533"/>
      <c r="AS563" s="533"/>
      <c r="AT563" s="533"/>
      <c r="AU563" s="533"/>
    </row>
    <row r="564" spans="1:47" ht="11.25" hidden="1" customHeight="1" x14ac:dyDescent="0.25">
      <c r="A564" s="41"/>
      <c r="B564" s="104" t="s">
        <v>1136</v>
      </c>
      <c r="C564" s="695" t="s">
        <v>296</v>
      </c>
      <c r="D564" s="727"/>
      <c r="E564" s="828"/>
      <c r="F564" s="688" t="s">
        <v>297</v>
      </c>
      <c r="G564" s="26" t="s">
        <v>298</v>
      </c>
      <c r="H564" s="102">
        <f>VLOOKUP(C564,A!A$1:V$669,22,FALSE)</f>
        <v>0</v>
      </c>
      <c r="I564" s="27"/>
      <c r="J564" s="28">
        <f>IF(VLOOKUP(C564,A!A$1:V$669,18,FALSE)="y",1,0)</f>
        <v>0</v>
      </c>
      <c r="K564" s="28">
        <f>IF(VLOOKUP(C564,A!A$1:V$669,19,FALSE)="y",1,0)</f>
        <v>0</v>
      </c>
      <c r="L564" s="544" t="str">
        <f t="shared" si="101"/>
        <v>Low</v>
      </c>
      <c r="M564" s="27">
        <f>VLOOKUP(C564,A!A$1:V$669,20,FALSE)</f>
        <v>0</v>
      </c>
      <c r="N564" s="44" t="s">
        <v>39</v>
      </c>
      <c r="O564" s="533">
        <f>VLOOKUP(C564,A!A$1:V$669,16,FALSE)</f>
        <v>0</v>
      </c>
      <c r="P564" s="533" t="s">
        <v>687</v>
      </c>
      <c r="Q564" s="533" t="str">
        <f>IF(S564=0,"",COUNTIF(Q$12:Q563,"&gt;0")+1)</f>
        <v/>
      </c>
      <c r="R564" s="533" t="str">
        <f>IF(S564=0,"",COUNTIF(R$12:R563,"&gt;0")+1)</f>
        <v/>
      </c>
      <c r="S564" s="533">
        <f t="shared" si="100"/>
        <v>0</v>
      </c>
      <c r="T564" s="533">
        <f>VLOOKUP(C564,A!A$1:AH$669,33,FALSE)</f>
        <v>0</v>
      </c>
      <c r="U564" s="533">
        <v>0.16</v>
      </c>
      <c r="V564" s="533"/>
      <c r="W564" s="533"/>
      <c r="X564" s="533"/>
      <c r="Y564" s="533"/>
      <c r="Z564" s="533"/>
      <c r="AA564" s="533"/>
      <c r="AB564" s="533"/>
      <c r="AC564" s="533"/>
      <c r="AD564" s="533"/>
      <c r="AE564" s="533"/>
      <c r="AF564" s="533"/>
      <c r="AG564" s="533"/>
      <c r="AH564" s="533"/>
      <c r="AI564" s="533"/>
      <c r="AJ564" s="533"/>
      <c r="AK564" s="533"/>
      <c r="AL564" s="533"/>
      <c r="AM564" s="533"/>
      <c r="AN564" s="533"/>
      <c r="AO564" s="533"/>
      <c r="AP564" s="533"/>
      <c r="AQ564" s="533"/>
      <c r="AR564" s="533"/>
      <c r="AS564" s="533"/>
      <c r="AT564" s="533"/>
      <c r="AU564" s="533"/>
    </row>
    <row r="565" spans="1:47" ht="13.5" hidden="1" customHeight="1" x14ac:dyDescent="0.25">
      <c r="A565" s="41"/>
      <c r="B565" s="104" t="s">
        <v>1136</v>
      </c>
      <c r="C565" s="695" t="s">
        <v>305</v>
      </c>
      <c r="D565" s="727"/>
      <c r="E565" s="828"/>
      <c r="F565" s="688" t="s">
        <v>306</v>
      </c>
      <c r="G565" s="26" t="s">
        <v>307</v>
      </c>
      <c r="H565" s="27">
        <f>VLOOKUP(C565,A!A$1:V$669,22,FALSE)</f>
        <v>1</v>
      </c>
      <c r="I565" s="27" t="s">
        <v>30</v>
      </c>
      <c r="J565" s="28">
        <f>IF(VLOOKUP(C565,A!A$1:V$669,18,FALSE)="y",1,0)</f>
        <v>1</v>
      </c>
      <c r="K565" s="28">
        <f>IF(VLOOKUP(C565,A!A$1:V$669,19,FALSE)="y",1,0)</f>
        <v>0</v>
      </c>
      <c r="L565" s="544" t="str">
        <f t="shared" si="101"/>
        <v>Low</v>
      </c>
      <c r="M565" s="27">
        <f>VLOOKUP(C565,A!A$1:V$669,20,FALSE)</f>
        <v>0</v>
      </c>
      <c r="N565" s="44">
        <v>2</v>
      </c>
      <c r="O565" s="533">
        <f>VLOOKUP(C565,A!A$1:V$669,16,FALSE)</f>
        <v>0</v>
      </c>
      <c r="P565" s="533" t="s">
        <v>687</v>
      </c>
      <c r="Q565" s="533" t="str">
        <f>IF(S565=0,"",COUNTIF(Q$12:Q564,"&gt;0")+1)</f>
        <v/>
      </c>
      <c r="R565" s="533" t="str">
        <f>IF(S565=0,"",COUNTIF(R$12:R564,"&gt;0")+1)</f>
        <v/>
      </c>
      <c r="S565" s="533">
        <f t="shared" si="100"/>
        <v>0</v>
      </c>
      <c r="T565" s="533">
        <f>VLOOKUP(C565,A!A$1:AH$669,33,FALSE)</f>
        <v>0</v>
      </c>
      <c r="U565" s="533">
        <v>0.16</v>
      </c>
      <c r="V565" s="533"/>
      <c r="W565" s="533"/>
      <c r="X565" s="533"/>
      <c r="Y565" s="533"/>
      <c r="Z565" s="533"/>
      <c r="AA565" s="533"/>
      <c r="AB565" s="533"/>
      <c r="AC565" s="533"/>
      <c r="AD565" s="533"/>
      <c r="AE565" s="533"/>
      <c r="AF565" s="533"/>
      <c r="AG565" s="533"/>
      <c r="AH565" s="533"/>
      <c r="AI565" s="533"/>
      <c r="AJ565" s="533"/>
      <c r="AK565" s="533"/>
      <c r="AL565" s="533"/>
      <c r="AM565" s="533"/>
      <c r="AN565" s="533"/>
      <c r="AO565" s="533"/>
      <c r="AP565" s="533"/>
      <c r="AQ565" s="533"/>
      <c r="AR565" s="533"/>
      <c r="AS565" s="533"/>
      <c r="AT565" s="533"/>
      <c r="AU565" s="533"/>
    </row>
    <row r="566" spans="1:47" ht="11.25" hidden="1" customHeight="1" x14ac:dyDescent="0.25">
      <c r="A566" s="41"/>
      <c r="B566" s="104" t="s">
        <v>1136</v>
      </c>
      <c r="C566" s="695" t="s">
        <v>308</v>
      </c>
      <c r="D566" s="727"/>
      <c r="E566" s="828"/>
      <c r="F566" s="688" t="s">
        <v>309</v>
      </c>
      <c r="G566" s="26" t="s">
        <v>310</v>
      </c>
      <c r="H566" s="102">
        <f>VLOOKUP(C566,A!A$1:V$669,22,FALSE)</f>
        <v>0</v>
      </c>
      <c r="I566" s="27"/>
      <c r="J566" s="28">
        <f>IF(VLOOKUP(C566,A!A$1:V$669,18,FALSE)="y",1,0)</f>
        <v>0</v>
      </c>
      <c r="K566" s="28">
        <f>IF(VLOOKUP(C566,A!A$1:V$669,19,FALSE)="y",1,0)</f>
        <v>0</v>
      </c>
      <c r="L566" s="544" t="str">
        <f t="shared" si="101"/>
        <v>Low</v>
      </c>
      <c r="M566" s="27">
        <f>VLOOKUP(C566,A!A$1:V$669,20,FALSE)</f>
        <v>0</v>
      </c>
      <c r="N566" s="44">
        <v>2</v>
      </c>
      <c r="O566" s="533">
        <f>VLOOKUP(C566,A!A$1:V$669,16,FALSE)</f>
        <v>0</v>
      </c>
      <c r="P566" s="533" t="s">
        <v>687</v>
      </c>
      <c r="Q566" s="533" t="str">
        <f>IF(S566=0,"",COUNTIF(Q$12:Q565,"&gt;0")+1)</f>
        <v/>
      </c>
      <c r="R566" s="533" t="str">
        <f>IF(S566=0,"",COUNTIF(R$12:R565,"&gt;0")+1)</f>
        <v/>
      </c>
      <c r="S566" s="533">
        <f t="shared" si="100"/>
        <v>0</v>
      </c>
      <c r="T566" s="533">
        <f>VLOOKUP(C566,A!A$1:AH$669,33,FALSE)</f>
        <v>0</v>
      </c>
      <c r="U566" s="533">
        <v>0.16</v>
      </c>
      <c r="V566" s="533"/>
      <c r="W566" s="533"/>
      <c r="X566" s="533"/>
      <c r="Y566" s="533"/>
      <c r="Z566" s="533"/>
      <c r="AA566" s="533"/>
      <c r="AB566" s="533"/>
      <c r="AC566" s="533"/>
      <c r="AD566" s="533"/>
      <c r="AE566" s="533"/>
      <c r="AF566" s="533"/>
      <c r="AG566" s="533"/>
      <c r="AH566" s="533"/>
      <c r="AI566" s="533"/>
      <c r="AJ566" s="533"/>
      <c r="AK566" s="533"/>
      <c r="AL566" s="533"/>
      <c r="AM566" s="533"/>
      <c r="AN566" s="533"/>
      <c r="AO566" s="533"/>
      <c r="AP566" s="533"/>
      <c r="AQ566" s="533"/>
      <c r="AR566" s="533"/>
      <c r="AS566" s="533"/>
      <c r="AT566" s="533"/>
      <c r="AU566" s="533"/>
    </row>
    <row r="567" spans="1:47" ht="11.25" hidden="1" customHeight="1" x14ac:dyDescent="0.25">
      <c r="A567" s="41"/>
      <c r="B567" s="104" t="s">
        <v>1136</v>
      </c>
      <c r="C567" s="695" t="s">
        <v>311</v>
      </c>
      <c r="D567" s="727"/>
      <c r="E567" s="828"/>
      <c r="F567" s="688" t="s">
        <v>312</v>
      </c>
      <c r="G567" s="26"/>
      <c r="H567" s="102">
        <f>VLOOKUP(C567,A!A$1:V$669,22,FALSE)</f>
        <v>0</v>
      </c>
      <c r="I567" s="27"/>
      <c r="J567" s="28">
        <f>IF(VLOOKUP(C567,A!A$1:V$669,18,FALSE)="y",1,0)</f>
        <v>0</v>
      </c>
      <c r="K567" s="28">
        <f>IF(VLOOKUP(C567,A!A$1:V$669,19,FALSE)="y",1,0)</f>
        <v>0</v>
      </c>
      <c r="L567" s="544" t="str">
        <f t="shared" si="101"/>
        <v>Low</v>
      </c>
      <c r="M567" s="27">
        <f>VLOOKUP(C567,A!A$1:V$669,20,FALSE)</f>
        <v>0</v>
      </c>
      <c r="N567" s="44">
        <v>2</v>
      </c>
      <c r="O567" s="533">
        <f>VLOOKUP(C567,A!A$1:V$669,16,FALSE)</f>
        <v>0</v>
      </c>
      <c r="P567" s="533" t="s">
        <v>687</v>
      </c>
      <c r="Q567" s="533" t="str">
        <f>IF(S567=0,"",COUNTIF(Q$12:Q566,"&gt;0")+1)</f>
        <v/>
      </c>
      <c r="R567" s="533" t="str">
        <f>IF(S567=0,"",COUNTIF(R$12:R566,"&gt;0")+1)</f>
        <v/>
      </c>
      <c r="S567" s="533">
        <f t="shared" si="100"/>
        <v>0</v>
      </c>
      <c r="T567" s="533">
        <f>VLOOKUP(C567,A!A$1:AH$669,33,FALSE)</f>
        <v>0</v>
      </c>
      <c r="U567" s="533">
        <v>0.16</v>
      </c>
      <c r="V567" s="533"/>
      <c r="W567" s="533"/>
      <c r="X567" s="533"/>
      <c r="Y567" s="533"/>
      <c r="Z567" s="533"/>
      <c r="AA567" s="533"/>
      <c r="AB567" s="533"/>
      <c r="AC567" s="533"/>
      <c r="AD567" s="533"/>
      <c r="AE567" s="533"/>
      <c r="AF567" s="533"/>
      <c r="AG567" s="533"/>
      <c r="AH567" s="533"/>
      <c r="AI567" s="533"/>
      <c r="AJ567" s="533"/>
      <c r="AK567" s="533"/>
      <c r="AL567" s="533"/>
      <c r="AM567" s="533"/>
      <c r="AN567" s="533"/>
      <c r="AO567" s="533"/>
      <c r="AP567" s="533"/>
      <c r="AQ567" s="533"/>
      <c r="AR567" s="533"/>
      <c r="AS567" s="533"/>
      <c r="AT567" s="533"/>
      <c r="AU567" s="533"/>
    </row>
    <row r="568" spans="1:47" ht="11.25" hidden="1" customHeight="1" x14ac:dyDescent="0.25">
      <c r="A568" s="41"/>
      <c r="B568" s="104" t="s">
        <v>1136</v>
      </c>
      <c r="C568" s="695" t="s">
        <v>698</v>
      </c>
      <c r="D568" s="727"/>
      <c r="E568" s="828"/>
      <c r="F568" s="688" t="s">
        <v>314</v>
      </c>
      <c r="G568" s="26" t="s">
        <v>315</v>
      </c>
      <c r="H568" s="27">
        <f>VLOOKUP(C568,A!A$1:V$669,22,FALSE)</f>
        <v>1</v>
      </c>
      <c r="I568" s="27"/>
      <c r="J568" s="28">
        <f>IF(VLOOKUP(C568,A!A$1:V$669,18,FALSE)="y",1,0)</f>
        <v>0</v>
      </c>
      <c r="K568" s="28">
        <f>IF(VLOOKUP(C568,A!A$1:V$669,19,FALSE)="y",1,0)</f>
        <v>0</v>
      </c>
      <c r="L568" s="544" t="str">
        <f t="shared" si="101"/>
        <v>Low</v>
      </c>
      <c r="M568" s="27">
        <f>VLOOKUP(C568,A!A$1:V$669,20,FALSE)</f>
        <v>0</v>
      </c>
      <c r="N568" s="44">
        <v>2</v>
      </c>
      <c r="O568" s="533">
        <f>VLOOKUP(C568,A!A$1:V$669,16,FALSE)</f>
        <v>0</v>
      </c>
      <c r="P568" s="533" t="s">
        <v>687</v>
      </c>
      <c r="Q568" s="533" t="str">
        <f>IF(S568=0,"",COUNTIF(Q$12:Q567,"&gt;0")+1)</f>
        <v/>
      </c>
      <c r="R568" s="533" t="str">
        <f>IF(S568=0,"",COUNTIF(R$12:R567,"&gt;0")+1)</f>
        <v/>
      </c>
      <c r="S568" s="533">
        <f t="shared" si="100"/>
        <v>0</v>
      </c>
      <c r="T568" s="533">
        <f>VLOOKUP(C568,A!A$1:AH$669,33,FALSE)</f>
        <v>0</v>
      </c>
      <c r="U568" s="533">
        <v>0.16</v>
      </c>
      <c r="V568" s="533"/>
      <c r="W568" s="533"/>
      <c r="X568" s="533"/>
      <c r="Y568" s="533"/>
      <c r="Z568" s="533"/>
      <c r="AA568" s="533"/>
      <c r="AB568" s="533"/>
      <c r="AC568" s="533"/>
      <c r="AD568" s="533"/>
      <c r="AE568" s="533"/>
      <c r="AF568" s="533"/>
      <c r="AG568" s="533"/>
      <c r="AH568" s="533"/>
      <c r="AI568" s="533"/>
      <c r="AJ568" s="533"/>
      <c r="AK568" s="533"/>
      <c r="AL568" s="533"/>
      <c r="AM568" s="533"/>
      <c r="AN568" s="533"/>
      <c r="AO568" s="533"/>
      <c r="AP568" s="533"/>
      <c r="AQ568" s="533"/>
      <c r="AR568" s="533"/>
      <c r="AS568" s="533"/>
      <c r="AT568" s="533"/>
      <c r="AU568" s="533"/>
    </row>
    <row r="569" spans="1:47" ht="11.25" hidden="1" customHeight="1" x14ac:dyDescent="0.25">
      <c r="A569" s="41"/>
      <c r="B569" s="104" t="s">
        <v>1136</v>
      </c>
      <c r="C569" s="837" t="s">
        <v>316</v>
      </c>
      <c r="D569" s="727"/>
      <c r="E569" s="828"/>
      <c r="F569" s="686" t="s">
        <v>317</v>
      </c>
      <c r="G569" s="42" t="s">
        <v>318</v>
      </c>
      <c r="H569" s="102">
        <v>3</v>
      </c>
      <c r="I569" s="27"/>
      <c r="J569" s="28">
        <f>IF(VLOOKUP(C569,A!A$1:V$669,18,FALSE)="y",1,0)</f>
        <v>0</v>
      </c>
      <c r="K569" s="28">
        <f>IF(VLOOKUP(C569,A!A$1:V$669,19,FALSE)="y",1,0)</f>
        <v>0</v>
      </c>
      <c r="L569" s="544" t="str">
        <f t="shared" si="101"/>
        <v>Low</v>
      </c>
      <c r="M569" s="27">
        <f>VLOOKUP(C569,A!A$1:H$669,6,FALSE)</f>
        <v>0</v>
      </c>
      <c r="N569" s="44" t="s">
        <v>39</v>
      </c>
      <c r="O569" s="533">
        <f>VLOOKUP(C569,A!A$1:V$669,16,FALSE)</f>
        <v>0</v>
      </c>
      <c r="P569" s="533" t="s">
        <v>687</v>
      </c>
      <c r="Q569" s="533" t="str">
        <f>IF(S569=0,"",COUNTIF(Q$12:Q568,"&gt;0")+1)</f>
        <v/>
      </c>
      <c r="R569" s="533" t="str">
        <f>IF(S569=0,"",COUNTIF(R$12:R568,"&gt;0")+1)</f>
        <v/>
      </c>
      <c r="S569" s="533">
        <f t="shared" si="100"/>
        <v>0</v>
      </c>
      <c r="T569" s="533">
        <f>VLOOKUP(C569,A!A$1:AH$669,33,FALSE)</f>
        <v>0</v>
      </c>
      <c r="U569" s="533">
        <v>0.16</v>
      </c>
      <c r="V569" s="533"/>
      <c r="W569" s="533"/>
      <c r="X569" s="533"/>
      <c r="Y569" s="533"/>
      <c r="Z569" s="533"/>
      <c r="AA569" s="533"/>
      <c r="AB569" s="533"/>
      <c r="AC569" s="533"/>
      <c r="AD569" s="533"/>
      <c r="AE569" s="533"/>
      <c r="AF569" s="533"/>
      <c r="AG569" s="533"/>
      <c r="AH569" s="533"/>
      <c r="AI569" s="533"/>
      <c r="AJ569" s="533"/>
      <c r="AK569" s="533"/>
      <c r="AL569" s="533"/>
      <c r="AM569" s="533"/>
      <c r="AN569" s="533"/>
      <c r="AO569" s="533"/>
      <c r="AP569" s="533"/>
      <c r="AQ569" s="533"/>
      <c r="AR569" s="533"/>
      <c r="AS569" s="533"/>
      <c r="AT569" s="533"/>
      <c r="AU569" s="533"/>
    </row>
    <row r="570" spans="1:47" ht="13.5" hidden="1" customHeight="1" x14ac:dyDescent="0.25">
      <c r="A570" s="41"/>
      <c r="B570" s="104" t="s">
        <v>1136</v>
      </c>
      <c r="C570" s="695" t="s">
        <v>319</v>
      </c>
      <c r="D570" s="727"/>
      <c r="E570" s="828"/>
      <c r="F570" s="688" t="s">
        <v>320</v>
      </c>
      <c r="G570" s="26" t="s">
        <v>321</v>
      </c>
      <c r="H570" s="720">
        <f>VLOOKUP(C570,A!A$1:V$669,22,FALSE)</f>
        <v>1</v>
      </c>
      <c r="I570" s="27"/>
      <c r="J570" s="28">
        <f>IF(VLOOKUP(C570,A!A$1:V$669,18,FALSE)="y",1,0)</f>
        <v>1</v>
      </c>
      <c r="K570" s="28">
        <f>IF(VLOOKUP(C570,A!A$1:V$669,19,FALSE)="y",1,0)</f>
        <v>1</v>
      </c>
      <c r="L570" s="544" t="str">
        <f t="shared" si="101"/>
        <v>Low</v>
      </c>
      <c r="M570" s="27">
        <f>VLOOKUP(C570,A!A$1:V$669,20,FALSE)</f>
        <v>0</v>
      </c>
      <c r="N570" s="44" t="s">
        <v>39</v>
      </c>
      <c r="O570" s="533">
        <f>VLOOKUP(C570,A!A$1:V$669,16,FALSE)</f>
        <v>0</v>
      </c>
      <c r="P570" s="533" t="s">
        <v>687</v>
      </c>
      <c r="Q570" s="533" t="str">
        <f>IF(S570=0,"",COUNTIF(Q$12:Q569,"&gt;0")+1)</f>
        <v/>
      </c>
      <c r="R570" s="533" t="str">
        <f>IF(S570=0,"",COUNTIF(R$12:R569,"&gt;0")+1)</f>
        <v/>
      </c>
      <c r="S570" s="533">
        <f t="shared" si="100"/>
        <v>0</v>
      </c>
      <c r="T570" s="533">
        <f>VLOOKUP(C570,A!A$1:AH$669,33,FALSE)</f>
        <v>0</v>
      </c>
      <c r="U570" s="533">
        <v>0.16</v>
      </c>
      <c r="V570" s="533"/>
      <c r="W570" s="533"/>
      <c r="X570" s="533"/>
      <c r="Y570" s="533"/>
      <c r="Z570" s="533"/>
      <c r="AA570" s="533"/>
      <c r="AB570" s="533"/>
      <c r="AC570" s="533"/>
      <c r="AD570" s="533"/>
      <c r="AE570" s="533"/>
      <c r="AF570" s="533"/>
      <c r="AG570" s="533"/>
      <c r="AH570" s="533"/>
      <c r="AI570" s="533"/>
      <c r="AJ570" s="533"/>
      <c r="AK570" s="533"/>
      <c r="AL570" s="533"/>
      <c r="AM570" s="533"/>
      <c r="AN570" s="533"/>
      <c r="AO570" s="533"/>
      <c r="AP570" s="533"/>
      <c r="AQ570" s="533"/>
      <c r="AR570" s="533"/>
      <c r="AS570" s="533"/>
      <c r="AT570" s="533"/>
      <c r="AU570" s="533"/>
    </row>
    <row r="571" spans="1:47" ht="13.5" customHeight="1" x14ac:dyDescent="0.25">
      <c r="A571" s="41"/>
      <c r="B571" s="104" t="s">
        <v>1136</v>
      </c>
      <c r="C571" s="695" t="s">
        <v>322</v>
      </c>
      <c r="D571" s="727"/>
      <c r="E571" s="828"/>
      <c r="F571" s="688" t="s">
        <v>323</v>
      </c>
      <c r="G571" s="26" t="s">
        <v>324</v>
      </c>
      <c r="H571" s="27">
        <f>VLOOKUP(C571,A!A$1:V$669,22,FALSE)</f>
        <v>2</v>
      </c>
      <c r="I571" s="27"/>
      <c r="J571" s="28">
        <f>IF(VLOOKUP(C571,A!A$1:V$669,18,FALSE)="y",1,0)</f>
        <v>1</v>
      </c>
      <c r="K571" s="28">
        <f>IF(VLOOKUP(C571,A!A$1:V$669,19,FALSE)="y",1,0)</f>
        <v>0</v>
      </c>
      <c r="L571" s="544" t="str">
        <f t="shared" si="101"/>
        <v>High</v>
      </c>
      <c r="M571" s="27">
        <f>VLOOKUP(C571,A!A$1:V$669,20,FALSE)</f>
        <v>0</v>
      </c>
      <c r="N571" s="44" t="s">
        <v>39</v>
      </c>
      <c r="O571" s="533" t="str">
        <f>VLOOKUP(C571,A!A$1:V$669,16,FALSE)</f>
        <v>y</v>
      </c>
      <c r="P571" s="533" t="s">
        <v>687</v>
      </c>
      <c r="Q571" s="533" t="str">
        <f>IF(S571=0,"",COUNTIF(Q$12:Q570,"&gt;0")+1)</f>
        <v/>
      </c>
      <c r="R571" s="533" t="str">
        <f>IF(S571=0,"",COUNTIF(R$12:R570,"&gt;0")+1)</f>
        <v/>
      </c>
      <c r="S571" s="533">
        <f t="shared" si="100"/>
        <v>0</v>
      </c>
      <c r="T571" s="533">
        <f>VLOOKUP(C571,A!A$1:AH$669,33,FALSE)</f>
        <v>45</v>
      </c>
      <c r="U571" s="533">
        <v>0.16</v>
      </c>
      <c r="V571" s="533">
        <v>101</v>
      </c>
      <c r="W571" s="533"/>
      <c r="X571" s="533"/>
      <c r="Y571" s="533"/>
      <c r="Z571" s="533"/>
      <c r="AA571" s="533"/>
      <c r="AB571" s="533"/>
      <c r="AC571" s="533"/>
      <c r="AD571" s="533"/>
      <c r="AE571" s="533"/>
      <c r="AF571" s="533"/>
      <c r="AG571" s="533"/>
      <c r="AH571" s="533"/>
      <c r="AI571" s="533"/>
      <c r="AJ571" s="533"/>
      <c r="AK571" s="533"/>
      <c r="AL571" s="533"/>
      <c r="AM571" s="533"/>
      <c r="AN571" s="533"/>
      <c r="AO571" s="533"/>
      <c r="AP571" s="533"/>
      <c r="AQ571" s="533"/>
      <c r="AR571" s="533"/>
      <c r="AS571" s="533"/>
      <c r="AT571" s="533"/>
      <c r="AU571" s="533"/>
    </row>
    <row r="572" spans="1:47" ht="11.25" hidden="1" customHeight="1" x14ac:dyDescent="0.25">
      <c r="A572" s="41"/>
      <c r="B572" s="104" t="s">
        <v>1136</v>
      </c>
      <c r="C572" s="695" t="s">
        <v>335</v>
      </c>
      <c r="D572" s="636"/>
      <c r="E572" s="828"/>
      <c r="F572" s="688" t="s">
        <v>333</v>
      </c>
      <c r="G572" s="26" t="s">
        <v>336</v>
      </c>
      <c r="H572" s="27">
        <f>VLOOKUP(C572,A!A$1:V$669,22,FALSE)</f>
        <v>1</v>
      </c>
      <c r="I572" s="27"/>
      <c r="J572" s="28">
        <f>IF(VLOOKUP(C572,A!A$1:V$669,18,FALSE)="y",1,0)</f>
        <v>0</v>
      </c>
      <c r="K572" s="28">
        <f>IF(VLOOKUP(C572,A!A$1:V$669,19,FALSE)="y",1,0)</f>
        <v>0</v>
      </c>
      <c r="L572" s="544" t="str">
        <f t="shared" si="101"/>
        <v>Low</v>
      </c>
      <c r="M572" s="27"/>
      <c r="N572" s="44" t="s">
        <v>22</v>
      </c>
      <c r="O572" s="533">
        <f>VLOOKUP(C572,A!A$1:V$669,16,FALSE)</f>
        <v>0</v>
      </c>
      <c r="P572" s="533" t="s">
        <v>687</v>
      </c>
      <c r="Q572" s="533" t="str">
        <f>IF(S572=0,"",COUNTIF(Q$12:Q571,"&gt;0")+1)</f>
        <v/>
      </c>
      <c r="R572" s="533" t="str">
        <f>IF(S572=0,"",COUNTIF(R$12:R571,"&gt;0")+1)</f>
        <v/>
      </c>
      <c r="S572" s="533">
        <f t="shared" si="100"/>
        <v>0</v>
      </c>
      <c r="T572" s="533">
        <f>VLOOKUP(C572,A!A$1:AH$669,33,FALSE)</f>
        <v>0</v>
      </c>
      <c r="U572" s="533">
        <v>0.16</v>
      </c>
      <c r="V572" s="533"/>
      <c r="W572" s="533"/>
      <c r="X572" s="533"/>
      <c r="Y572" s="533"/>
      <c r="Z572" s="533"/>
      <c r="AA572" s="533"/>
      <c r="AB572" s="533"/>
      <c r="AC572" s="533"/>
      <c r="AD572" s="533"/>
      <c r="AE572" s="533"/>
      <c r="AF572" s="533"/>
      <c r="AG572" s="533"/>
      <c r="AH572" s="533"/>
      <c r="AI572" s="533"/>
      <c r="AJ572" s="533"/>
      <c r="AK572" s="533"/>
      <c r="AL572" s="533"/>
      <c r="AM572" s="533"/>
      <c r="AN572" s="533"/>
      <c r="AO572" s="533"/>
      <c r="AP572" s="533"/>
      <c r="AQ572" s="533"/>
      <c r="AR572" s="533"/>
      <c r="AS572" s="533"/>
      <c r="AT572" s="533"/>
      <c r="AU572" s="533"/>
    </row>
    <row r="573" spans="1:47" ht="13.5" hidden="1" customHeight="1" x14ac:dyDescent="0.25">
      <c r="A573" s="41"/>
      <c r="B573" s="104" t="s">
        <v>1136</v>
      </c>
      <c r="C573" s="695" t="s">
        <v>332</v>
      </c>
      <c r="D573" s="727"/>
      <c r="E573" s="828"/>
      <c r="F573" s="688" t="s">
        <v>333</v>
      </c>
      <c r="G573" s="26" t="s">
        <v>334</v>
      </c>
      <c r="H573" s="27">
        <f>VLOOKUP(C573,A!A$1:V$669,22,FALSE)</f>
        <v>1</v>
      </c>
      <c r="I573" s="27"/>
      <c r="J573" s="28">
        <f>IF(VLOOKUP(C573,A!A$1:V$669,18,FALSE)="y",1,0)</f>
        <v>0</v>
      </c>
      <c r="K573" s="28">
        <f>IF(VLOOKUP(C573,A!A$1:V$669,19,FALSE)="y",1,0)</f>
        <v>0</v>
      </c>
      <c r="L573" s="544" t="str">
        <f t="shared" si="101"/>
        <v>Low</v>
      </c>
      <c r="M573" s="27">
        <f>VLOOKUP(C573,A!A$1:V$669,20,FALSE)</f>
        <v>0</v>
      </c>
      <c r="N573" s="44" t="s">
        <v>31</v>
      </c>
      <c r="O573" s="533">
        <f>VLOOKUP(C573,A!A$1:V$669,16,FALSE)</f>
        <v>0</v>
      </c>
      <c r="P573" s="533" t="s">
        <v>687</v>
      </c>
      <c r="Q573" s="533" t="str">
        <f>IF(S573=0,"",COUNTIF(Q$12:Q572,"&gt;0")+1)</f>
        <v/>
      </c>
      <c r="R573" s="533" t="str">
        <f>IF(S573=0,"",COUNTIF(R$12:R572,"&gt;0")+1)</f>
        <v/>
      </c>
      <c r="S573" s="533">
        <f t="shared" ref="S573:S588" si="102">A573</f>
        <v>0</v>
      </c>
      <c r="T573" s="533">
        <f>VLOOKUP(C573,A!A$1:AH$669,33,FALSE)</f>
        <v>0</v>
      </c>
      <c r="U573" s="533">
        <v>0.16</v>
      </c>
      <c r="V573" s="533"/>
      <c r="W573" s="533"/>
      <c r="X573" s="533"/>
      <c r="Y573" s="533"/>
      <c r="Z573" s="533"/>
      <c r="AA573" s="533"/>
      <c r="AB573" s="533"/>
      <c r="AC573" s="533"/>
      <c r="AD573" s="533"/>
      <c r="AE573" s="533"/>
      <c r="AF573" s="533"/>
      <c r="AG573" s="533"/>
      <c r="AH573" s="533"/>
      <c r="AI573" s="533"/>
      <c r="AJ573" s="533"/>
      <c r="AK573" s="533"/>
      <c r="AL573" s="533"/>
      <c r="AM573" s="533"/>
      <c r="AN573" s="533"/>
      <c r="AO573" s="533"/>
      <c r="AP573" s="533"/>
      <c r="AQ573" s="533"/>
      <c r="AR573" s="533"/>
      <c r="AS573" s="533"/>
      <c r="AT573" s="533"/>
      <c r="AU573" s="533"/>
    </row>
    <row r="574" spans="1:47" ht="13.5" hidden="1" customHeight="1" x14ac:dyDescent="0.25">
      <c r="A574" s="41"/>
      <c r="B574" s="104" t="s">
        <v>1136</v>
      </c>
      <c r="C574" s="695" t="s">
        <v>666</v>
      </c>
      <c r="D574" s="727"/>
      <c r="E574" s="828"/>
      <c r="F574" s="688" t="s">
        <v>333</v>
      </c>
      <c r="G574" s="26" t="s">
        <v>339</v>
      </c>
      <c r="H574" s="27">
        <f>VLOOKUP(C574,A!A$1:V$669,22,FALSE)</f>
        <v>1</v>
      </c>
      <c r="I574" s="27"/>
      <c r="J574" s="28">
        <f>IF(VLOOKUP(C574,A!A$1:V$669,18,FALSE)="y",1,0)</f>
        <v>0</v>
      </c>
      <c r="K574" s="28">
        <f>IF(VLOOKUP(C574,A!A$1:V$669,19,FALSE)="y",1,0)</f>
        <v>0</v>
      </c>
      <c r="L574" s="544" t="str">
        <f t="shared" si="101"/>
        <v>Low</v>
      </c>
      <c r="M574" s="27">
        <f>VLOOKUP(C574,A!A$1:V$669,20,FALSE)</f>
        <v>0</v>
      </c>
      <c r="N574" s="44" t="s">
        <v>31</v>
      </c>
      <c r="O574" s="533">
        <f>VLOOKUP(C574,A!A$1:V$669,16,FALSE)</f>
        <v>0</v>
      </c>
      <c r="P574" s="533" t="s">
        <v>687</v>
      </c>
      <c r="Q574" s="533" t="str">
        <f>IF(S574=0,"",COUNTIF(Q$12:Q573,"&gt;0")+1)</f>
        <v/>
      </c>
      <c r="R574" s="533" t="str">
        <f>IF(S574=0,"",COUNTIF(R$12:R573,"&gt;0")+1)</f>
        <v/>
      </c>
      <c r="S574" s="533">
        <f t="shared" si="102"/>
        <v>0</v>
      </c>
      <c r="T574" s="533">
        <f>VLOOKUP(C574,A!A$1:AH$669,33,FALSE)</f>
        <v>0</v>
      </c>
      <c r="U574" s="533">
        <v>0.16</v>
      </c>
      <c r="V574" s="533"/>
      <c r="W574" s="533"/>
      <c r="X574" s="533"/>
      <c r="Y574" s="533"/>
      <c r="Z574" s="533"/>
      <c r="AA574" s="533"/>
      <c r="AB574" s="533"/>
      <c r="AC574" s="533"/>
      <c r="AD574" s="533"/>
      <c r="AE574" s="533"/>
      <c r="AF574" s="533"/>
      <c r="AG574" s="533"/>
      <c r="AH574" s="533"/>
      <c r="AI574" s="533"/>
      <c r="AJ574" s="533"/>
      <c r="AK574" s="533"/>
      <c r="AL574" s="533"/>
      <c r="AM574" s="533"/>
      <c r="AN574" s="533"/>
      <c r="AO574" s="533"/>
      <c r="AP574" s="533"/>
      <c r="AQ574" s="533"/>
      <c r="AR574" s="533"/>
      <c r="AS574" s="533"/>
      <c r="AT574" s="533"/>
      <c r="AU574" s="533"/>
    </row>
    <row r="575" spans="1:47" ht="11.25" hidden="1" customHeight="1" x14ac:dyDescent="0.25">
      <c r="A575" s="41"/>
      <c r="B575" s="104" t="s">
        <v>1136</v>
      </c>
      <c r="C575" s="695" t="s">
        <v>699</v>
      </c>
      <c r="D575" s="727"/>
      <c r="E575" s="828"/>
      <c r="F575" s="688" t="s">
        <v>341</v>
      </c>
      <c r="G575" s="26" t="s">
        <v>342</v>
      </c>
      <c r="H575" s="27">
        <f>VLOOKUP(C575,A!A$1:V$669,22,FALSE)</f>
        <v>2</v>
      </c>
      <c r="I575" s="27"/>
      <c r="J575" s="28">
        <f>IF(VLOOKUP(C575,A!A$1:V$669,18,FALSE)="y",1,0)</f>
        <v>0</v>
      </c>
      <c r="K575" s="28">
        <f>IF(VLOOKUP(C575,A!A$1:V$669,19,FALSE)="y",1,0)</f>
        <v>0</v>
      </c>
      <c r="L575" s="544" t="str">
        <f t="shared" si="101"/>
        <v>Low</v>
      </c>
      <c r="M575" s="27">
        <f>VLOOKUP(C575,A!A$1:V$669,20,FALSE)</f>
        <v>0</v>
      </c>
      <c r="N575" s="44">
        <v>2</v>
      </c>
      <c r="O575" s="533">
        <f>VLOOKUP(C575,A!A$1:V$669,16,FALSE)</f>
        <v>0</v>
      </c>
      <c r="P575" s="533" t="s">
        <v>687</v>
      </c>
      <c r="Q575" s="533" t="str">
        <f>IF(S575=0,"",COUNTIF(Q$12:Q574,"&gt;0")+1)</f>
        <v/>
      </c>
      <c r="R575" s="533" t="str">
        <f>IF(S575=0,"",COUNTIF(R$12:R574,"&gt;0")+1)</f>
        <v/>
      </c>
      <c r="S575" s="533">
        <f t="shared" si="102"/>
        <v>0</v>
      </c>
      <c r="T575" s="533">
        <f>VLOOKUP(C575,A!A$1:AH$669,33,FALSE)</f>
        <v>0</v>
      </c>
      <c r="U575" s="533">
        <v>0.16</v>
      </c>
      <c r="V575" s="533"/>
      <c r="W575" s="533"/>
      <c r="X575" s="533"/>
      <c r="Y575" s="533"/>
      <c r="Z575" s="533"/>
      <c r="AA575" s="533"/>
      <c r="AB575" s="533"/>
      <c r="AC575" s="533"/>
      <c r="AD575" s="533"/>
      <c r="AE575" s="533"/>
      <c r="AF575" s="533"/>
      <c r="AG575" s="533"/>
      <c r="AH575" s="533"/>
      <c r="AI575" s="533"/>
      <c r="AJ575" s="533"/>
      <c r="AK575" s="533"/>
      <c r="AL575" s="533"/>
      <c r="AM575" s="533"/>
      <c r="AN575" s="533"/>
      <c r="AO575" s="533"/>
      <c r="AP575" s="533"/>
      <c r="AQ575" s="533"/>
      <c r="AR575" s="533"/>
      <c r="AS575" s="533"/>
      <c r="AT575" s="533"/>
      <c r="AU575" s="533"/>
    </row>
    <row r="576" spans="1:47" ht="13.5" hidden="1" customHeight="1" x14ac:dyDescent="0.25">
      <c r="A576" s="41"/>
      <c r="B576" s="104" t="s">
        <v>1136</v>
      </c>
      <c r="C576" s="695" t="s">
        <v>1817</v>
      </c>
      <c r="D576" s="727"/>
      <c r="E576" s="828"/>
      <c r="F576" s="688" t="s">
        <v>1821</v>
      </c>
      <c r="G576" s="26" t="s">
        <v>1826</v>
      </c>
      <c r="H576" s="27">
        <v>2</v>
      </c>
      <c r="I576" s="27"/>
      <c r="J576" s="28">
        <f>IF(VLOOKUP(C576,A!A$1:V$669,18,FALSE)="y",1,0)</f>
        <v>0</v>
      </c>
      <c r="K576" s="28">
        <f>IF(VLOOKUP(C576,A!A$1:V$669,19,FALSE)="y",1,0)</f>
        <v>0</v>
      </c>
      <c r="L576" s="544" t="str">
        <f t="shared" si="101"/>
        <v>Med</v>
      </c>
      <c r="M576" s="27">
        <f>VLOOKUP(C576,A!A$1:V$669,20,FALSE)</f>
        <v>0</v>
      </c>
      <c r="N576" s="44">
        <v>1</v>
      </c>
      <c r="O576" s="533">
        <f>VLOOKUP(C576,A!A$1:V$669,16,FALSE)</f>
        <v>0</v>
      </c>
      <c r="P576" s="533" t="s">
        <v>687</v>
      </c>
      <c r="Q576" s="533" t="str">
        <f>IF(S576=0,"",COUNTIF(Q$12:Q575,"&gt;0")+1)</f>
        <v/>
      </c>
      <c r="R576" s="533" t="str">
        <f>IF(S576=0,"",COUNTIF(R$12:R575,"&gt;0")+1)</f>
        <v/>
      </c>
      <c r="S576" s="533">
        <f t="shared" si="102"/>
        <v>0</v>
      </c>
      <c r="T576" s="533">
        <v>40</v>
      </c>
      <c r="U576" s="533">
        <v>0.16</v>
      </c>
      <c r="V576" s="533"/>
      <c r="W576" s="533"/>
      <c r="X576" s="533"/>
      <c r="Y576" s="533"/>
      <c r="Z576" s="533"/>
      <c r="AA576" s="533"/>
      <c r="AB576" s="533"/>
      <c r="AC576" s="533"/>
      <c r="AD576" s="533"/>
      <c r="AE576" s="533"/>
      <c r="AF576" s="533"/>
      <c r="AG576" s="533"/>
      <c r="AH576" s="533"/>
      <c r="AI576" s="533"/>
      <c r="AJ576" s="533"/>
      <c r="AK576" s="533"/>
      <c r="AL576" s="533"/>
      <c r="AM576" s="533"/>
      <c r="AN576" s="533"/>
      <c r="AO576" s="533"/>
      <c r="AP576" s="533"/>
      <c r="AQ576" s="533"/>
      <c r="AR576" s="533"/>
      <c r="AS576" s="533"/>
      <c r="AT576" s="533"/>
      <c r="AU576" s="533"/>
    </row>
    <row r="577" spans="1:47" ht="13.5" customHeight="1" thickBot="1" x14ac:dyDescent="0.3">
      <c r="A577" s="41"/>
      <c r="B577" s="104" t="s">
        <v>1136</v>
      </c>
      <c r="C577" s="695" t="s">
        <v>700</v>
      </c>
      <c r="D577" s="727"/>
      <c r="E577" s="828"/>
      <c r="F577" s="688" t="s">
        <v>386</v>
      </c>
      <c r="G577" s="26" t="s">
        <v>387</v>
      </c>
      <c r="H577" s="27">
        <f>VLOOKUP(C577,A!A$1:V$669,22,FALSE)</f>
        <v>1</v>
      </c>
      <c r="I577" s="27"/>
      <c r="J577" s="28">
        <f>IF(VLOOKUP(C577,A!A$1:V$669,18,FALSE)="y",1,0)</f>
        <v>1</v>
      </c>
      <c r="K577" s="28">
        <f>IF(VLOOKUP(C577,A!A$1:V$669,19,FALSE)="y",1,0)</f>
        <v>0</v>
      </c>
      <c r="L577" s="544" t="str">
        <f t="shared" si="101"/>
        <v>Low</v>
      </c>
      <c r="M577" s="27">
        <f>VLOOKUP(C577,A!A$1:V$669,20,FALSE)</f>
        <v>0</v>
      </c>
      <c r="N577" s="44">
        <v>2</v>
      </c>
      <c r="O577" s="533" t="str">
        <f>VLOOKUP(C577,A!A$1:V$669,16,FALSE)</f>
        <v>y</v>
      </c>
      <c r="P577" s="533" t="s">
        <v>687</v>
      </c>
      <c r="Q577" s="533" t="str">
        <f>IF(S577=0,"",COUNTIF(Q$12:Q576,"&gt;0")+1)</f>
        <v/>
      </c>
      <c r="R577" s="533" t="str">
        <f>IF(S577=0,"",COUNTIF(R$12:R576,"&gt;0")+1)</f>
        <v/>
      </c>
      <c r="S577" s="533">
        <f t="shared" si="102"/>
        <v>0</v>
      </c>
      <c r="T577" s="533">
        <f>VLOOKUP(C577,A!A$1:AH$669,33,FALSE)</f>
        <v>0</v>
      </c>
      <c r="U577" s="533">
        <v>0.16</v>
      </c>
      <c r="V577" s="533">
        <v>101</v>
      </c>
      <c r="W577" s="533"/>
      <c r="X577" s="533"/>
      <c r="Y577" s="533"/>
      <c r="Z577" s="533"/>
      <c r="AA577" s="533"/>
      <c r="AB577" s="533"/>
      <c r="AC577" s="533"/>
      <c r="AD577" s="533"/>
      <c r="AE577" s="533"/>
      <c r="AF577" s="533"/>
      <c r="AG577" s="533"/>
      <c r="AH577" s="533"/>
      <c r="AI577" s="533"/>
      <c r="AJ577" s="533"/>
      <c r="AK577" s="533"/>
      <c r="AL577" s="533"/>
      <c r="AM577" s="533"/>
      <c r="AN577" s="533"/>
      <c r="AO577" s="533"/>
      <c r="AP577" s="533"/>
      <c r="AQ577" s="533"/>
      <c r="AR577" s="533"/>
      <c r="AS577" s="533"/>
      <c r="AT577" s="533"/>
      <c r="AU577" s="533"/>
    </row>
    <row r="578" spans="1:47" ht="11.25" hidden="1" customHeight="1" x14ac:dyDescent="0.25">
      <c r="A578" s="41"/>
      <c r="B578" s="104" t="s">
        <v>1136</v>
      </c>
      <c r="C578" s="695" t="s">
        <v>701</v>
      </c>
      <c r="D578" s="727"/>
      <c r="E578" s="711"/>
      <c r="F578" s="688" t="s">
        <v>702</v>
      </c>
      <c r="G578" s="26" t="s">
        <v>703</v>
      </c>
      <c r="H578" s="27">
        <f>VLOOKUP(C578,A!A$1:V$669,22,FALSE)</f>
        <v>0</v>
      </c>
      <c r="I578" s="27" t="s">
        <v>30</v>
      </c>
      <c r="J578" s="28">
        <f>IF(VLOOKUP(C578,A!A$1:V$669,18,FALSE)="y",1,0)</f>
        <v>0</v>
      </c>
      <c r="K578" s="28">
        <f>IF(VLOOKUP(C578,A!A$1:V$669,19,FALSE)="y",1,0)</f>
        <v>0</v>
      </c>
      <c r="L578" s="544" t="str">
        <f t="shared" si="101"/>
        <v>Low</v>
      </c>
      <c r="M578" s="27">
        <f>VLOOKUP(C578,A!A$1:V$669,20,FALSE)</f>
        <v>0</v>
      </c>
      <c r="N578" s="44">
        <v>1</v>
      </c>
      <c r="O578" s="533">
        <f>VLOOKUP(C578,A!A$1:V$669,16,FALSE)</f>
        <v>0</v>
      </c>
      <c r="P578" s="533" t="s">
        <v>687</v>
      </c>
      <c r="Q578" s="533" t="str">
        <f>IF(S578=0,"",COUNTIF(Q$12:Q577,"&gt;0")+1)</f>
        <v/>
      </c>
      <c r="R578" s="533" t="str">
        <f>IF(S578=0,"",COUNTIF(R$12:R577,"&gt;0")+1)</f>
        <v/>
      </c>
      <c r="S578" s="533">
        <f t="shared" si="102"/>
        <v>0</v>
      </c>
      <c r="T578" s="533">
        <f>VLOOKUP(C578,A!A$1:AH$669,33,FALSE)</f>
        <v>0</v>
      </c>
      <c r="U578" s="533">
        <v>0.16</v>
      </c>
      <c r="V578" s="533"/>
      <c r="W578" s="533"/>
      <c r="X578" s="533"/>
      <c r="Y578" s="533"/>
      <c r="Z578" s="533"/>
      <c r="AA578" s="533"/>
      <c r="AB578" s="533"/>
      <c r="AC578" s="533"/>
      <c r="AD578" s="533"/>
      <c r="AE578" s="533"/>
      <c r="AF578" s="533"/>
      <c r="AG578" s="533"/>
      <c r="AH578" s="533"/>
      <c r="AI578" s="533"/>
      <c r="AJ578" s="533"/>
      <c r="AK578" s="533"/>
      <c r="AL578" s="533"/>
      <c r="AM578" s="533"/>
      <c r="AN578" s="533"/>
      <c r="AO578" s="533"/>
      <c r="AP578" s="533"/>
      <c r="AQ578" s="533"/>
      <c r="AR578" s="533"/>
      <c r="AS578" s="533"/>
      <c r="AT578" s="533"/>
      <c r="AU578" s="533"/>
    </row>
    <row r="579" spans="1:47" ht="13.5" hidden="1" customHeight="1" x14ac:dyDescent="0.25">
      <c r="A579" s="41"/>
      <c r="B579" s="104" t="s">
        <v>1136</v>
      </c>
      <c r="C579" s="695" t="s">
        <v>399</v>
      </c>
      <c r="D579" s="727"/>
      <c r="E579" s="711"/>
      <c r="F579" s="688" t="s">
        <v>400</v>
      </c>
      <c r="G579" s="26" t="s">
        <v>401</v>
      </c>
      <c r="H579" s="27">
        <v>2</v>
      </c>
      <c r="I579" s="27"/>
      <c r="J579" s="28">
        <f>IF(VLOOKUP(C579,A!A$1:V$669,18,FALSE)="y",1,0)</f>
        <v>0</v>
      </c>
      <c r="K579" s="28">
        <v>0</v>
      </c>
      <c r="L579" s="544" t="s">
        <v>1251</v>
      </c>
      <c r="M579" s="27">
        <v>0</v>
      </c>
      <c r="N579" s="44" t="s">
        <v>39</v>
      </c>
      <c r="O579" s="533">
        <f>VLOOKUP(C579,A!A$1:V$669,16,FALSE)</f>
        <v>0</v>
      </c>
      <c r="P579" s="533" t="s">
        <v>687</v>
      </c>
      <c r="Q579" s="533" t="str">
        <f>IF(S579=0,"",COUNTIF(Q$12:Q578,"&gt;0")+1)</f>
        <v/>
      </c>
      <c r="R579" s="533" t="str">
        <f>IF(S579=0,"",COUNTIF(R$12:R578,"&gt;0")+1)</f>
        <v/>
      </c>
      <c r="S579" s="533">
        <f t="shared" si="102"/>
        <v>0</v>
      </c>
      <c r="T579" s="533">
        <f>VLOOKUP(C579,A!A$1:AH$669,33,FALSE)</f>
        <v>0</v>
      </c>
      <c r="U579" s="533">
        <v>0.16</v>
      </c>
      <c r="V579" s="533"/>
      <c r="W579" s="533"/>
      <c r="X579" s="533"/>
      <c r="Y579" s="533"/>
      <c r="Z579" s="533"/>
      <c r="AA579" s="533"/>
      <c r="AB579" s="533"/>
      <c r="AC579" s="533"/>
      <c r="AD579" s="533"/>
      <c r="AE579" s="533"/>
      <c r="AF579" s="533"/>
      <c r="AG579" s="533"/>
      <c r="AH579" s="533"/>
      <c r="AI579" s="533"/>
      <c r="AJ579" s="533"/>
      <c r="AK579" s="533"/>
      <c r="AL579" s="533"/>
      <c r="AM579" s="533"/>
      <c r="AN579" s="533"/>
      <c r="AO579" s="533"/>
      <c r="AP579" s="533"/>
      <c r="AQ579" s="533"/>
      <c r="AR579" s="533"/>
      <c r="AS579" s="533"/>
      <c r="AT579" s="533"/>
      <c r="AU579" s="533"/>
    </row>
    <row r="580" spans="1:47" ht="13.5" hidden="1" customHeight="1" x14ac:dyDescent="0.25">
      <c r="A580" s="41"/>
      <c r="B580" s="104" t="s">
        <v>1136</v>
      </c>
      <c r="C580" s="708" t="s">
        <v>394</v>
      </c>
      <c r="D580" s="727"/>
      <c r="E580" s="711"/>
      <c r="F580" s="688" t="s">
        <v>395</v>
      </c>
      <c r="G580" s="26" t="s">
        <v>396</v>
      </c>
      <c r="H580" s="27">
        <f>VLOOKUP(C580,A!A$1:V$669,22,FALSE)</f>
        <v>2</v>
      </c>
      <c r="I580" s="27"/>
      <c r="J580" s="28">
        <f>IF(VLOOKUP(C580,A!A$1:V$669,18,FALSE)="y",1,0)</f>
        <v>0</v>
      </c>
      <c r="K580" s="28">
        <f>IF(VLOOKUP(C580,A!A$1:V$669,19,FALSE)="y",1,0)</f>
        <v>0</v>
      </c>
      <c r="L580" s="544" t="str">
        <f t="shared" si="101"/>
        <v>Low</v>
      </c>
      <c r="M580" s="80">
        <f>VLOOKUP(C580,A!A$1:V$669,20,FALSE)</f>
        <v>0</v>
      </c>
      <c r="N580" s="44">
        <v>2</v>
      </c>
      <c r="O580" s="533">
        <f>VLOOKUP(C580,A!A$1:V$669,16,FALSE)</f>
        <v>0</v>
      </c>
      <c r="P580" s="533" t="s">
        <v>687</v>
      </c>
      <c r="Q580" s="533" t="str">
        <f>IF(S580=0,"",COUNTIF(Q$12:Q579,"&gt;0")+1)</f>
        <v/>
      </c>
      <c r="R580" s="533" t="str">
        <f>IF(S580=0,"",COUNTIF(R$12:R579,"&gt;0")+1)</f>
        <v/>
      </c>
      <c r="S580" s="533">
        <f t="shared" si="102"/>
        <v>0</v>
      </c>
      <c r="T580" s="533">
        <f>VLOOKUP(C580,A!A$1:AH$669,33,FALSE)</f>
        <v>0</v>
      </c>
      <c r="U580" s="533">
        <v>0.16</v>
      </c>
      <c r="V580" s="533"/>
      <c r="W580" s="533"/>
      <c r="X580" s="533"/>
      <c r="Y580" s="533"/>
      <c r="Z580" s="533"/>
      <c r="AA580" s="533"/>
      <c r="AB580" s="533"/>
      <c r="AC580" s="533"/>
      <c r="AD580" s="533"/>
      <c r="AE580" s="533"/>
      <c r="AF580" s="533"/>
      <c r="AG580" s="533"/>
      <c r="AH580" s="533"/>
      <c r="AI580" s="533"/>
      <c r="AJ580" s="533"/>
      <c r="AK580" s="533"/>
      <c r="AL580" s="533"/>
      <c r="AM580" s="533"/>
      <c r="AN580" s="533"/>
      <c r="AO580" s="533"/>
      <c r="AP580" s="533"/>
      <c r="AQ580" s="533"/>
      <c r="AR580" s="533"/>
      <c r="AS580" s="533"/>
      <c r="AT580" s="533"/>
      <c r="AU580" s="533"/>
    </row>
    <row r="581" spans="1:47" ht="11.25" hidden="1" customHeight="1" x14ac:dyDescent="0.25">
      <c r="A581" s="41"/>
      <c r="B581" s="104" t="s">
        <v>1136</v>
      </c>
      <c r="C581" s="708" t="s">
        <v>420</v>
      </c>
      <c r="D581" s="727"/>
      <c r="E581" s="711"/>
      <c r="F581" s="688" t="s">
        <v>421</v>
      </c>
      <c r="G581" s="26" t="s">
        <v>422</v>
      </c>
      <c r="H581" s="27">
        <f>VLOOKUP(C581,A!A$1:V$669,22,FALSE)</f>
        <v>1</v>
      </c>
      <c r="I581" s="27"/>
      <c r="J581" s="28">
        <f>IF(VLOOKUP(C581,A!A$1:V$669,18,FALSE)="y",1,0)</f>
        <v>0</v>
      </c>
      <c r="K581" s="28">
        <f>IF(VLOOKUP(C581,A!A$1:V$669,19,FALSE)="y",1,0)</f>
        <v>0</v>
      </c>
      <c r="L581" s="544" t="str">
        <f t="shared" si="101"/>
        <v>Low</v>
      </c>
      <c r="M581" s="80">
        <f>VLOOKUP(C581,A!A$1:V$669,20,FALSE)</f>
        <v>0</v>
      </c>
      <c r="N581" s="44" t="s">
        <v>31</v>
      </c>
      <c r="O581" s="533">
        <f>VLOOKUP(C581,A!A$1:V$669,16,FALSE)</f>
        <v>0</v>
      </c>
      <c r="P581" s="533" t="s">
        <v>687</v>
      </c>
      <c r="Q581" s="533" t="str">
        <f>IF(S581=0,"",COUNTIF(Q$12:Q580,"&gt;0")+1)</f>
        <v/>
      </c>
      <c r="R581" s="533" t="str">
        <f>IF(S581=0,"",COUNTIF(R$12:R580,"&gt;0")+1)</f>
        <v/>
      </c>
      <c r="S581" s="533">
        <f t="shared" si="102"/>
        <v>0</v>
      </c>
      <c r="T581" s="533">
        <f>VLOOKUP(C581,A!A$1:AH$669,33,FALSE)</f>
        <v>0</v>
      </c>
      <c r="U581" s="533">
        <v>0.16</v>
      </c>
      <c r="V581" s="533"/>
      <c r="W581" s="533"/>
      <c r="X581" s="533"/>
      <c r="Y581" s="533"/>
      <c r="Z581" s="533"/>
      <c r="AA581" s="533"/>
      <c r="AB581" s="533"/>
      <c r="AC581" s="533"/>
      <c r="AD581" s="533"/>
      <c r="AE581" s="533"/>
      <c r="AF581" s="533"/>
      <c r="AG581" s="533"/>
      <c r="AH581" s="533"/>
      <c r="AI581" s="533"/>
      <c r="AJ581" s="533"/>
      <c r="AK581" s="533"/>
      <c r="AL581" s="533"/>
      <c r="AM581" s="533"/>
      <c r="AN581" s="533"/>
      <c r="AO581" s="533"/>
      <c r="AP581" s="533"/>
      <c r="AQ581" s="533"/>
      <c r="AR581" s="533"/>
      <c r="AS581" s="533"/>
      <c r="AT581" s="533"/>
      <c r="AU581" s="533"/>
    </row>
    <row r="582" spans="1:47" ht="13.5" hidden="1" customHeight="1" x14ac:dyDescent="0.25">
      <c r="A582" s="41"/>
      <c r="B582" s="104" t="s">
        <v>1136</v>
      </c>
      <c r="C582" s="708" t="s">
        <v>435</v>
      </c>
      <c r="D582" s="727"/>
      <c r="E582" s="711"/>
      <c r="F582" s="688" t="s">
        <v>436</v>
      </c>
      <c r="G582" s="26" t="s">
        <v>437</v>
      </c>
      <c r="H582" s="27">
        <f>VLOOKUP(C582,A!A$1:V$669,22,FALSE)</f>
        <v>2</v>
      </c>
      <c r="I582" s="27"/>
      <c r="J582" s="28">
        <f>IF(VLOOKUP(C582,A!A$1:V$669,18,FALSE)="y",1,0)</f>
        <v>0</v>
      </c>
      <c r="K582" s="28">
        <f>IF(VLOOKUP(C582,A!A$1:V$669,19,FALSE)="y",1,0)</f>
        <v>0</v>
      </c>
      <c r="L582" s="544" t="str">
        <f t="shared" si="101"/>
        <v>Low</v>
      </c>
      <c r="M582" s="80">
        <f>VLOOKUP(C582,A!A$1:V$669,20,FALSE)</f>
        <v>0</v>
      </c>
      <c r="N582" s="44" t="s">
        <v>31</v>
      </c>
      <c r="O582" s="533">
        <f>VLOOKUP(C582,A!A$1:V$669,16,FALSE)</f>
        <v>0</v>
      </c>
      <c r="P582" s="533" t="s">
        <v>687</v>
      </c>
      <c r="Q582" s="533" t="str">
        <f>IF(S582=0,"",COUNTIF(Q$12:Q581,"&gt;0")+1)</f>
        <v/>
      </c>
      <c r="R582" s="533" t="str">
        <f>IF(S582=0,"",COUNTIF(R$12:R581,"&gt;0")+1)</f>
        <v/>
      </c>
      <c r="S582" s="533">
        <f t="shared" si="102"/>
        <v>0</v>
      </c>
      <c r="T582" s="533">
        <f>VLOOKUP(C582,A!A$1:AH$669,33,FALSE)</f>
        <v>0</v>
      </c>
      <c r="U582" s="533">
        <v>0.16</v>
      </c>
      <c r="V582" s="533"/>
      <c r="W582" s="533"/>
      <c r="X582" s="533"/>
      <c r="Y582" s="533"/>
      <c r="Z582" s="533"/>
      <c r="AA582" s="533"/>
      <c r="AB582" s="533"/>
      <c r="AC582" s="533"/>
      <c r="AD582" s="533"/>
      <c r="AE582" s="533"/>
      <c r="AF582" s="533"/>
      <c r="AG582" s="533"/>
      <c r="AH582" s="533"/>
      <c r="AI582" s="533"/>
      <c r="AJ582" s="533"/>
      <c r="AK582" s="533"/>
      <c r="AL582" s="533"/>
      <c r="AM582" s="533"/>
      <c r="AN582" s="533"/>
      <c r="AO582" s="533"/>
      <c r="AP582" s="533"/>
      <c r="AQ582" s="533"/>
      <c r="AR582" s="533"/>
      <c r="AS582" s="533"/>
      <c r="AT582" s="533"/>
      <c r="AU582" s="533"/>
    </row>
    <row r="583" spans="1:47" ht="11.25" hidden="1" customHeight="1" x14ac:dyDescent="0.25">
      <c r="A583" s="41"/>
      <c r="B583" s="104" t="s">
        <v>1136</v>
      </c>
      <c r="C583" s="708" t="s">
        <v>704</v>
      </c>
      <c r="D583" s="642"/>
      <c r="E583" s="711"/>
      <c r="F583" s="688" t="s">
        <v>442</v>
      </c>
      <c r="G583" s="26" t="s">
        <v>443</v>
      </c>
      <c r="H583" s="27">
        <f>VLOOKUP(C583,A!A$1:V$669,22,FALSE)</f>
        <v>2</v>
      </c>
      <c r="I583" s="27"/>
      <c r="J583" s="28">
        <f>IF(VLOOKUP(C583,A!A$1:V$669,18,FALSE)="y",1,0)</f>
        <v>0</v>
      </c>
      <c r="K583" s="28">
        <f>IF(VLOOKUP(C583,A!A$1:V$669,19,FALSE)="y",1,0)</f>
        <v>0</v>
      </c>
      <c r="L583" s="544" t="str">
        <f t="shared" si="101"/>
        <v>Low</v>
      </c>
      <c r="M583" s="80">
        <f>VLOOKUP(C583,A!A$1:V$669,20,FALSE)</f>
        <v>0</v>
      </c>
      <c r="N583" s="44" t="s">
        <v>31</v>
      </c>
      <c r="O583" s="533">
        <f>VLOOKUP(C583,A!A$1:V$669,16,FALSE)</f>
        <v>0</v>
      </c>
      <c r="P583" s="533" t="s">
        <v>687</v>
      </c>
      <c r="Q583" s="533" t="str">
        <f>IF(S583=0,"",COUNTIF(Q$12:Q582,"&gt;0")+1)</f>
        <v/>
      </c>
      <c r="R583" s="533" t="str">
        <f>IF(S583=0,"",COUNTIF(R$12:R582,"&gt;0")+1)</f>
        <v/>
      </c>
      <c r="S583" s="533">
        <f t="shared" si="102"/>
        <v>0</v>
      </c>
      <c r="T583" s="533">
        <f>VLOOKUP(C583,A!A$1:AH$669,33,FALSE)</f>
        <v>0</v>
      </c>
      <c r="U583" s="533">
        <v>0.16</v>
      </c>
      <c r="V583" s="533"/>
      <c r="W583" s="533"/>
      <c r="X583" s="533"/>
      <c r="Y583" s="533"/>
      <c r="Z583" s="533"/>
      <c r="AA583" s="533"/>
      <c r="AB583" s="533"/>
      <c r="AC583" s="533"/>
      <c r="AD583" s="533"/>
      <c r="AE583" s="533"/>
      <c r="AF583" s="533"/>
      <c r="AG583" s="533"/>
      <c r="AH583" s="533"/>
      <c r="AI583" s="533"/>
      <c r="AJ583" s="533"/>
      <c r="AK583" s="533"/>
      <c r="AL583" s="533"/>
      <c r="AM583" s="533"/>
      <c r="AN583" s="533"/>
      <c r="AO583" s="533"/>
      <c r="AP583" s="533"/>
      <c r="AQ583" s="533"/>
      <c r="AR583" s="533"/>
      <c r="AS583" s="533"/>
      <c r="AT583" s="533"/>
      <c r="AU583" s="533"/>
    </row>
    <row r="584" spans="1:47" ht="11.25" hidden="1" customHeight="1" x14ac:dyDescent="0.25">
      <c r="A584" s="41"/>
      <c r="B584" s="104" t="s">
        <v>1136</v>
      </c>
      <c r="C584" s="708" t="s">
        <v>705</v>
      </c>
      <c r="D584" s="727" t="s">
        <v>670</v>
      </c>
      <c r="E584" s="711"/>
      <c r="F584" s="688" t="s">
        <v>676</v>
      </c>
      <c r="G584" s="26" t="s">
        <v>447</v>
      </c>
      <c r="H584" s="27">
        <f>VLOOKUP(C584,A!A$1:V$669,22,FALSE)</f>
        <v>2</v>
      </c>
      <c r="I584" s="27"/>
      <c r="J584" s="28">
        <f>IF(VLOOKUP(C584,A!A$1:V$669,18,FALSE)="y",1,0)</f>
        <v>0</v>
      </c>
      <c r="K584" s="28">
        <f>IF(VLOOKUP(C584,A!A$1:V$669,19,FALSE)="y",1,0)</f>
        <v>0</v>
      </c>
      <c r="L584" s="544" t="str">
        <f t="shared" si="101"/>
        <v>Low</v>
      </c>
      <c r="M584" s="80">
        <f>VLOOKUP(C584,A!A$1:V$669,20,FALSE)</f>
        <v>0</v>
      </c>
      <c r="N584" s="44" t="s">
        <v>31</v>
      </c>
      <c r="O584" s="533">
        <f>VLOOKUP(C584,A!A$1:V$669,16,FALSE)</f>
        <v>0</v>
      </c>
      <c r="P584" s="533" t="s">
        <v>687</v>
      </c>
      <c r="Q584" s="533" t="str">
        <f>IF(S584=0,"",COUNTIF(Q$12:Q583,"&gt;0")+1)</f>
        <v/>
      </c>
      <c r="R584" s="533" t="str">
        <f>IF(S584=0,"",COUNTIF(R$12:R583,"&gt;0")+1)</f>
        <v/>
      </c>
      <c r="S584" s="533">
        <f t="shared" si="102"/>
        <v>0</v>
      </c>
      <c r="T584" s="533">
        <f>VLOOKUP(C584,A!A$1:AH$669,33,FALSE)</f>
        <v>0</v>
      </c>
      <c r="U584" s="533">
        <v>0.16</v>
      </c>
      <c r="V584" s="533"/>
      <c r="W584" s="533"/>
      <c r="X584" s="533"/>
      <c r="Y584" s="533"/>
      <c r="Z584" s="533"/>
      <c r="AA584" s="533"/>
      <c r="AB584" s="533"/>
      <c r="AC584" s="533"/>
      <c r="AD584" s="533"/>
      <c r="AE584" s="533"/>
      <c r="AF584" s="533"/>
      <c r="AG584" s="533"/>
      <c r="AH584" s="533"/>
      <c r="AI584" s="533"/>
      <c r="AJ584" s="533"/>
      <c r="AK584" s="533"/>
      <c r="AL584" s="533"/>
      <c r="AM584" s="533"/>
      <c r="AN584" s="533"/>
      <c r="AO584" s="533"/>
      <c r="AP584" s="533"/>
      <c r="AQ584" s="533"/>
      <c r="AR584" s="533"/>
      <c r="AS584" s="533"/>
      <c r="AT584" s="533"/>
      <c r="AU584" s="533"/>
    </row>
    <row r="585" spans="1:47" ht="11.25" hidden="1" customHeight="1" x14ac:dyDescent="0.25">
      <c r="A585" s="41"/>
      <c r="B585" s="104" t="s">
        <v>1136</v>
      </c>
      <c r="C585" s="708" t="s">
        <v>448</v>
      </c>
      <c r="D585" s="642"/>
      <c r="E585" s="711"/>
      <c r="F585" s="688" t="s">
        <v>449</v>
      </c>
      <c r="G585" s="26" t="s">
        <v>450</v>
      </c>
      <c r="H585" s="27">
        <f>VLOOKUP(C585,A!A$1:V$669,22,FALSE)</f>
        <v>0</v>
      </c>
      <c r="I585" s="27"/>
      <c r="J585" s="28">
        <f>IF(VLOOKUP(C585,A!A$1:V$669,18,FALSE)="y",1,0)</f>
        <v>0</v>
      </c>
      <c r="K585" s="28">
        <f>IF(VLOOKUP(C585,A!A$1:V$669,19,FALSE)="y",1,0)</f>
        <v>0</v>
      </c>
      <c r="L585" s="544" t="str">
        <f t="shared" si="101"/>
        <v>Low</v>
      </c>
      <c r="M585" s="80">
        <f>VLOOKUP(C585,A!A$1:V$669,20,FALSE)</f>
        <v>0</v>
      </c>
      <c r="N585" s="44" t="s">
        <v>31</v>
      </c>
      <c r="O585" s="533">
        <f>VLOOKUP(C585,A!A$1:V$669,16,FALSE)</f>
        <v>0</v>
      </c>
      <c r="P585" s="533" t="s">
        <v>687</v>
      </c>
      <c r="Q585" s="533" t="str">
        <f>IF(S585=0,"",COUNTIF(Q$12:Q584,"&gt;0")+1)</f>
        <v/>
      </c>
      <c r="R585" s="533" t="str">
        <f>IF(S585=0,"",COUNTIF(R$12:R584,"&gt;0")+1)</f>
        <v/>
      </c>
      <c r="S585" s="533">
        <f t="shared" si="102"/>
        <v>0</v>
      </c>
      <c r="T585" s="533">
        <f>VLOOKUP(C585,A!A$1:AH$669,33,FALSE)</f>
        <v>0</v>
      </c>
      <c r="U585" s="533">
        <v>0.16</v>
      </c>
      <c r="V585" s="533"/>
      <c r="W585" s="533"/>
      <c r="X585" s="533"/>
      <c r="Y585" s="533"/>
      <c r="Z585" s="533"/>
      <c r="AA585" s="533"/>
      <c r="AB585" s="533"/>
      <c r="AC585" s="533"/>
      <c r="AD585" s="533"/>
      <c r="AE585" s="533"/>
      <c r="AF585" s="533"/>
      <c r="AG585" s="533"/>
      <c r="AH585" s="533"/>
      <c r="AI585" s="533"/>
      <c r="AJ585" s="533"/>
      <c r="AK585" s="533"/>
      <c r="AL585" s="533"/>
      <c r="AM585" s="533"/>
      <c r="AN585" s="533"/>
      <c r="AO585" s="533"/>
      <c r="AP585" s="533"/>
      <c r="AQ585" s="533"/>
      <c r="AR585" s="533"/>
      <c r="AS585" s="533"/>
      <c r="AT585" s="533"/>
      <c r="AU585" s="533"/>
    </row>
    <row r="586" spans="1:47" ht="13.5" hidden="1" customHeight="1" x14ac:dyDescent="0.25">
      <c r="A586" s="41"/>
      <c r="B586" s="104" t="s">
        <v>1136</v>
      </c>
      <c r="C586" s="708" t="s">
        <v>451</v>
      </c>
      <c r="D586" s="642"/>
      <c r="E586" s="711"/>
      <c r="F586" s="688" t="s">
        <v>452</v>
      </c>
      <c r="G586" s="42" t="s">
        <v>453</v>
      </c>
      <c r="H586" s="27">
        <f>VLOOKUP(C586,A!A$1:V$669,22,FALSE)</f>
        <v>2</v>
      </c>
      <c r="I586" s="27"/>
      <c r="J586" s="28">
        <f>IF(VLOOKUP(C586,A!A$1:V$669,18,FALSE)="y",1,0)</f>
        <v>0</v>
      </c>
      <c r="K586" s="28">
        <f>IF(VLOOKUP(C586,A!A$1:V$669,19,FALSE)="y",1,0)</f>
        <v>0</v>
      </c>
      <c r="L586" s="544" t="str">
        <f>IF(T586&lt;35,"Low",IF(T586&gt;40,"High","Med"))</f>
        <v>Low</v>
      </c>
      <c r="M586" s="80">
        <f>VLOOKUP(C586,A!A$1:V$669,20,FALSE)</f>
        <v>0</v>
      </c>
      <c r="N586" s="44">
        <v>2</v>
      </c>
      <c r="O586" s="533">
        <f>VLOOKUP(C586,A!A$1:V$669,16,FALSE)</f>
        <v>0</v>
      </c>
      <c r="P586" s="533" t="s">
        <v>687</v>
      </c>
      <c r="Q586" s="533" t="str">
        <f>IF(S586=0,"",COUNTIF(Q$12:Q585,"&gt;0")+1)</f>
        <v/>
      </c>
      <c r="R586" s="533" t="str">
        <f>IF(S586=0,"",COUNTIF(R$12:R585,"&gt;0")+1)</f>
        <v/>
      </c>
      <c r="S586" s="533">
        <f t="shared" si="102"/>
        <v>0</v>
      </c>
      <c r="T586" s="533">
        <f>VLOOKUP(C586,A!A$1:AH$669,33,FALSE)</f>
        <v>0</v>
      </c>
      <c r="U586" s="533">
        <v>0.16</v>
      </c>
      <c r="V586" s="533"/>
      <c r="W586" s="533"/>
      <c r="X586" s="533"/>
      <c r="Y586" s="533"/>
      <c r="Z586" s="533"/>
      <c r="AA586" s="533"/>
      <c r="AB586" s="533"/>
      <c r="AC586" s="533"/>
      <c r="AD586" s="533"/>
      <c r="AE586" s="533"/>
      <c r="AF586" s="533"/>
      <c r="AG586" s="533"/>
      <c r="AH586" s="533"/>
      <c r="AI586" s="533"/>
      <c r="AJ586" s="533"/>
      <c r="AK586" s="533"/>
      <c r="AL586" s="533"/>
      <c r="AM586" s="533"/>
      <c r="AN586" s="533"/>
      <c r="AO586" s="533"/>
      <c r="AP586" s="533"/>
      <c r="AQ586" s="533"/>
      <c r="AR586" s="533"/>
      <c r="AS586" s="533"/>
      <c r="AT586" s="533"/>
      <c r="AU586" s="533"/>
    </row>
    <row r="587" spans="1:47" ht="13.5" hidden="1" customHeight="1" x14ac:dyDescent="0.25">
      <c r="A587" s="41"/>
      <c r="B587" s="104" t="s">
        <v>1136</v>
      </c>
      <c r="C587" s="708" t="s">
        <v>706</v>
      </c>
      <c r="D587" s="642"/>
      <c r="E587" s="711"/>
      <c r="F587" s="688" t="s">
        <v>455</v>
      </c>
      <c r="G587" s="26" t="s">
        <v>456</v>
      </c>
      <c r="H587" s="27">
        <f>VLOOKUP(C587,A!A$1:V$669,22,FALSE)</f>
        <v>2</v>
      </c>
      <c r="I587" s="27" t="s">
        <v>30</v>
      </c>
      <c r="J587" s="28">
        <f>IF(VLOOKUP(C587,A!A$1:V$669,18,FALSE)="y",1,0)</f>
        <v>0</v>
      </c>
      <c r="K587" s="28">
        <f>IF(VLOOKUP(C587,A!A$1:V$669,19,FALSE)="y",1,0)</f>
        <v>0</v>
      </c>
      <c r="L587" s="544" t="str">
        <f>IF(T587&lt;35,"Low",IF(T587&gt;40,"High","Med"))</f>
        <v>Low</v>
      </c>
      <c r="M587" s="27">
        <f>VLOOKUP(C587,A!A$1:V$669,20,FALSE)</f>
        <v>0</v>
      </c>
      <c r="N587" s="44" t="s">
        <v>39</v>
      </c>
      <c r="O587" s="533">
        <f>VLOOKUP(C587,A!A$1:V$669,16,FALSE)</f>
        <v>0</v>
      </c>
      <c r="P587" s="533" t="s">
        <v>687</v>
      </c>
      <c r="Q587" s="533" t="str">
        <f>IF(S587=0,"",COUNTIF(Q$12:Q586,"&gt;0")+1)</f>
        <v/>
      </c>
      <c r="R587" s="533" t="str">
        <f>IF(S587=0,"",COUNTIF(R$12:R586,"&gt;0")+1)</f>
        <v/>
      </c>
      <c r="S587" s="533">
        <f t="shared" si="102"/>
        <v>0</v>
      </c>
      <c r="T587" s="533">
        <f>VLOOKUP(C587,A!A$1:AH$669,33,FALSE)</f>
        <v>0</v>
      </c>
      <c r="U587" s="533">
        <v>0.16</v>
      </c>
      <c r="V587" s="533"/>
      <c r="W587" s="533"/>
      <c r="X587" s="533"/>
      <c r="Y587" s="533"/>
      <c r="Z587" s="533"/>
      <c r="AA587" s="533"/>
      <c r="AB587" s="533"/>
      <c r="AC587" s="533"/>
      <c r="AD587" s="533"/>
      <c r="AE587" s="533"/>
      <c r="AF587" s="533"/>
      <c r="AG587" s="533"/>
      <c r="AH587" s="533"/>
      <c r="AI587" s="533"/>
      <c r="AJ587" s="533"/>
      <c r="AK587" s="533"/>
      <c r="AL587" s="533"/>
      <c r="AM587" s="533"/>
      <c r="AN587" s="533"/>
      <c r="AO587" s="533"/>
      <c r="AP587" s="533"/>
      <c r="AQ587" s="533"/>
      <c r="AR587" s="533"/>
      <c r="AS587" s="533"/>
      <c r="AT587" s="533"/>
      <c r="AU587" s="533"/>
    </row>
    <row r="588" spans="1:47" ht="11.25" hidden="1" customHeight="1" thickBot="1" x14ac:dyDescent="0.3">
      <c r="A588" s="120"/>
      <c r="B588" s="587" t="s">
        <v>1136</v>
      </c>
      <c r="C588" s="900" t="s">
        <v>457</v>
      </c>
      <c r="D588" s="643"/>
      <c r="E588" s="862"/>
      <c r="F588" s="50" t="s">
        <v>458</v>
      </c>
      <c r="G588" s="51" t="s">
        <v>707</v>
      </c>
      <c r="H588" s="52">
        <f>VLOOKUP(C588,A!A$1:V$669,22,FALSE)</f>
        <v>1</v>
      </c>
      <c r="I588" s="52"/>
      <c r="J588" s="28">
        <f>IF(VLOOKUP(C588,A!A$1:V$669,18,FALSE)="y",1,0)</f>
        <v>0</v>
      </c>
      <c r="K588" s="28">
        <f>IF(VLOOKUP(C588,A!A$1:V$669,19,FALSE)="y",1,0)</f>
        <v>0</v>
      </c>
      <c r="L588" s="544" t="str">
        <f>IF(T588&lt;35,"Low",IF(T588&gt;40,"High","Med"))</f>
        <v>Low</v>
      </c>
      <c r="M588" s="52">
        <f>VLOOKUP(C588,A!A$1:V$669,20,FALSE)</f>
        <v>0</v>
      </c>
      <c r="N588" s="55" t="s">
        <v>39</v>
      </c>
      <c r="O588" s="533">
        <f>VLOOKUP(C588,A!A$1:V$669,16,FALSE)</f>
        <v>0</v>
      </c>
      <c r="P588" s="533" t="s">
        <v>687</v>
      </c>
      <c r="Q588" s="533" t="str">
        <f>IF(S588=0,"",COUNTIF(Q$12:Q587,"&gt;0")+1)</f>
        <v/>
      </c>
      <c r="R588" s="533" t="str">
        <f>IF(S588=0,"",COUNTIF(R$12:R587,"&gt;0")+1)</f>
        <v/>
      </c>
      <c r="S588" s="533">
        <f t="shared" si="102"/>
        <v>0</v>
      </c>
      <c r="T588" s="533">
        <f>VLOOKUP(C588,A!A$1:AH$669,33,FALSE)</f>
        <v>0</v>
      </c>
      <c r="U588" s="533">
        <v>0.16</v>
      </c>
      <c r="V588" s="533"/>
      <c r="W588" s="533"/>
      <c r="X588" s="533"/>
      <c r="Y588" s="533"/>
      <c r="Z588" s="533"/>
      <c r="AA588" s="533"/>
      <c r="AB588" s="533"/>
      <c r="AC588" s="533"/>
      <c r="AD588" s="533"/>
      <c r="AE588" s="533"/>
      <c r="AF588" s="533"/>
      <c r="AG588" s="533"/>
      <c r="AH588" s="533"/>
      <c r="AI588" s="533"/>
      <c r="AJ588" s="533"/>
      <c r="AK588" s="533"/>
      <c r="AL588" s="533"/>
      <c r="AM588" s="533"/>
      <c r="AN588" s="533"/>
      <c r="AO588" s="533"/>
      <c r="AP588" s="533"/>
      <c r="AQ588" s="533"/>
      <c r="AR588" s="533"/>
      <c r="AS588" s="533"/>
      <c r="AT588" s="533"/>
      <c r="AU588" s="533"/>
    </row>
    <row r="589" spans="1:47" ht="12" customHeight="1" x14ac:dyDescent="0.25">
      <c r="A589" s="56">
        <f>SUM(A497:A588)</f>
        <v>0</v>
      </c>
      <c r="B589" s="588" t="s">
        <v>1136</v>
      </c>
      <c r="C589" s="57" t="s">
        <v>1151</v>
      </c>
      <c r="D589" s="644"/>
      <c r="E589" s="863"/>
      <c r="F589" s="58"/>
      <c r="G589" s="58"/>
      <c r="H589" s="58"/>
      <c r="I589" s="58"/>
      <c r="J589" s="58"/>
      <c r="K589" s="58"/>
      <c r="L589" s="123"/>
      <c r="M589" s="58"/>
      <c r="N589" s="59"/>
      <c r="P589" s="533" t="s">
        <v>687</v>
      </c>
      <c r="Q589" s="533" t="str">
        <f>IF(S589=0,"",COUNTIF(Q$12:Q588,"&gt;0")+1)</f>
        <v/>
      </c>
      <c r="R589" s="533"/>
      <c r="S589" s="533">
        <f t="shared" ref="S589" si="103">A589</f>
        <v>0</v>
      </c>
      <c r="T589" s="533"/>
      <c r="U589" s="533"/>
      <c r="V589" s="533"/>
      <c r="W589" s="533"/>
      <c r="X589" s="533"/>
      <c r="Y589" s="533"/>
      <c r="Z589" s="533"/>
      <c r="AA589" s="533"/>
      <c r="AB589" s="533"/>
      <c r="AC589" s="533"/>
      <c r="AD589" s="533"/>
      <c r="AE589" s="533"/>
      <c r="AF589" s="533"/>
      <c r="AG589" s="533"/>
      <c r="AH589" s="533"/>
      <c r="AI589" s="533"/>
      <c r="AJ589" s="533"/>
      <c r="AK589" s="533"/>
      <c r="AL589" s="533"/>
      <c r="AM589" s="533"/>
      <c r="AN589" s="533"/>
      <c r="AO589" s="533"/>
      <c r="AP589" s="533"/>
      <c r="AQ589" s="533"/>
      <c r="AR589" s="533"/>
      <c r="AS589" s="533"/>
      <c r="AT589" s="533"/>
      <c r="AU589" s="533"/>
    </row>
    <row r="590" spans="1:47" ht="12" customHeight="1" thickBot="1" x14ac:dyDescent="0.3">
      <c r="A590" s="2"/>
      <c r="L590" s="3"/>
      <c r="M590" s="2"/>
      <c r="P590" s="533"/>
      <c r="Q590" s="533" t="str">
        <f>IF(S590=0,"",COUNTIF(Q$12:Q589,"&gt;0")+1)</f>
        <v/>
      </c>
      <c r="R590" s="533" t="str">
        <f>IF(S590=0,"",COUNTIF(R$12:R589,"&gt;0")+1)</f>
        <v/>
      </c>
      <c r="S590" s="533"/>
      <c r="T590" s="533"/>
      <c r="U590" s="533"/>
      <c r="V590" s="533"/>
      <c r="W590" s="533"/>
      <c r="X590" s="533"/>
      <c r="Y590" s="533"/>
      <c r="Z590" s="533"/>
      <c r="AA590" s="533"/>
      <c r="AB590" s="533"/>
      <c r="AC590" s="533"/>
      <c r="AD590" s="533"/>
      <c r="AE590" s="533"/>
      <c r="AF590" s="533"/>
      <c r="AG590" s="533"/>
      <c r="AH590" s="533"/>
      <c r="AI590" s="533"/>
      <c r="AJ590" s="533"/>
      <c r="AK590" s="533"/>
      <c r="AL590" s="533"/>
      <c r="AM590" s="533"/>
      <c r="AN590" s="533"/>
      <c r="AO590" s="533"/>
      <c r="AP590" s="533"/>
      <c r="AQ590" s="533"/>
      <c r="AR590" s="533"/>
      <c r="AS590" s="533"/>
      <c r="AT590" s="533"/>
      <c r="AU590" s="533"/>
    </row>
    <row r="591" spans="1:47" ht="9" hidden="1" customHeight="1" x14ac:dyDescent="0.25">
      <c r="A591" s="1118" t="s">
        <v>11</v>
      </c>
      <c r="B591" s="1173"/>
      <c r="C591" s="1188" t="s">
        <v>1143</v>
      </c>
      <c r="D591" s="1189"/>
      <c r="E591" s="1189"/>
      <c r="F591" s="1192"/>
      <c r="G591" s="1202" t="s">
        <v>1142</v>
      </c>
      <c r="H591" s="29" t="s">
        <v>708</v>
      </c>
      <c r="I591" s="29"/>
      <c r="J591" s="29"/>
      <c r="K591" s="29"/>
      <c r="L591" s="29"/>
      <c r="M591" s="29"/>
      <c r="N591" s="30"/>
      <c r="P591" s="533"/>
      <c r="Q591" s="533" t="str">
        <f>IF(S591=0,"",COUNTIF(Q$12:Q590,"&gt;0")+1)</f>
        <v/>
      </c>
      <c r="R591" s="533" t="str">
        <f>IF(S591=0,"",COUNTIF(R$12:R590,"&gt;0")+1)</f>
        <v/>
      </c>
      <c r="S591" s="533"/>
      <c r="T591" s="533"/>
      <c r="U591" s="533"/>
      <c r="V591" s="533"/>
      <c r="W591" s="533"/>
      <c r="X591" s="533"/>
      <c r="Y591" s="533"/>
      <c r="Z591" s="533"/>
      <c r="AA591" s="533"/>
      <c r="AB591" s="533"/>
      <c r="AC591" s="533"/>
      <c r="AD591" s="533"/>
      <c r="AE591" s="533"/>
      <c r="AF591" s="533"/>
      <c r="AG591" s="533"/>
      <c r="AH591" s="533"/>
      <c r="AI591" s="533"/>
      <c r="AJ591" s="533"/>
      <c r="AK591" s="533"/>
      <c r="AL591" s="533"/>
      <c r="AM591" s="533"/>
      <c r="AN591" s="533"/>
      <c r="AO591" s="533"/>
      <c r="AP591" s="533"/>
      <c r="AQ591" s="533"/>
      <c r="AR591" s="533"/>
      <c r="AS591" s="533"/>
      <c r="AT591" s="533"/>
      <c r="AU591" s="533"/>
    </row>
    <row r="592" spans="1:47" ht="9" hidden="1" customHeight="1" thickBot="1" x14ac:dyDescent="0.3">
      <c r="A592" s="1116" t="s">
        <v>682</v>
      </c>
      <c r="B592" s="1150"/>
      <c r="C592" s="1190"/>
      <c r="D592" s="1191"/>
      <c r="E592" s="1191"/>
      <c r="F592" s="1193"/>
      <c r="G592" s="1203"/>
      <c r="H592" s="95" t="s">
        <v>15</v>
      </c>
      <c r="I592" s="96"/>
      <c r="J592" s="96"/>
      <c r="K592" s="96"/>
      <c r="L592" s="95"/>
      <c r="M592" s="96"/>
      <c r="N592" s="132" t="s">
        <v>16</v>
      </c>
      <c r="P592" s="533"/>
      <c r="Q592" s="533" t="str">
        <f>IF(S592=0,"",COUNTIF(Q$12:Q591,"&gt;0")+1)</f>
        <v/>
      </c>
      <c r="R592" s="533" t="str">
        <f>IF(S592=0,"",COUNTIF(R$12:R591,"&gt;0")+1)</f>
        <v/>
      </c>
      <c r="S592" s="533"/>
      <c r="T592" s="533"/>
      <c r="U592" s="533"/>
      <c r="V592" s="533"/>
      <c r="W592" s="533"/>
      <c r="X592" s="533"/>
      <c r="Y592" s="533"/>
      <c r="Z592" s="533"/>
      <c r="AA592" s="533"/>
      <c r="AB592" s="533"/>
      <c r="AC592" s="533"/>
      <c r="AD592" s="533"/>
      <c r="AE592" s="533"/>
      <c r="AF592" s="533"/>
      <c r="AG592" s="533"/>
      <c r="AH592" s="533"/>
      <c r="AI592" s="533"/>
      <c r="AJ592" s="533"/>
      <c r="AK592" s="533"/>
      <c r="AL592" s="533"/>
      <c r="AM592" s="533"/>
      <c r="AN592" s="533"/>
      <c r="AO592" s="533"/>
      <c r="AP592" s="533"/>
      <c r="AQ592" s="533"/>
      <c r="AR592" s="533"/>
      <c r="AS592" s="533"/>
      <c r="AT592" s="533"/>
      <c r="AU592" s="533"/>
    </row>
    <row r="593" spans="1:47" ht="11.25" hidden="1" customHeight="1" x14ac:dyDescent="0.25">
      <c r="A593" s="35"/>
      <c r="B593" s="586" t="s">
        <v>12</v>
      </c>
      <c r="C593" s="116" t="s">
        <v>19</v>
      </c>
      <c r="D593" s="641"/>
      <c r="E593" s="880"/>
      <c r="F593" s="117" t="s">
        <v>686</v>
      </c>
      <c r="G593" s="118" t="s">
        <v>21</v>
      </c>
      <c r="H593" s="119"/>
      <c r="I593" s="37"/>
      <c r="J593" s="38">
        <f>IF(VLOOKUP(C593,A!A$1:AC$669,25,FALSE)="y",1,0)</f>
        <v>0</v>
      </c>
      <c r="K593" s="38">
        <f>IF(VLOOKUP(C593,A!A$1:AC$669,26,FALSE)="y",1,0)</f>
        <v>0</v>
      </c>
      <c r="L593" s="39" t="str">
        <f>IF(VLOOKUP(C593,A!A$1:AC$669,24,FALSE)="y","NEW","")</f>
        <v/>
      </c>
      <c r="M593" s="37">
        <f>VLOOKUP(C593,A!A$1:AC$669,27,FALSE)</f>
        <v>0</v>
      </c>
      <c r="N593" s="40" t="s">
        <v>39</v>
      </c>
      <c r="O593" s="533">
        <f>VLOOKUP(C593,A!A$1:AC$669,23,FALSE)</f>
        <v>0</v>
      </c>
      <c r="P593" s="533" t="s">
        <v>709</v>
      </c>
      <c r="Q593" s="533" t="str">
        <f>IF(S593=0,"",COUNTIF(Q$12:Q592,"&gt;0")+1)</f>
        <v/>
      </c>
      <c r="R593" s="533" t="str">
        <f>IF(S593=0,"",COUNTIF(R$12:R592,"&gt;0")+1)</f>
        <v/>
      </c>
      <c r="S593" s="533">
        <f t="shared" ref="S593:S607" si="104">A593</f>
        <v>0</v>
      </c>
      <c r="T593" s="533">
        <f>VLOOKUP(C593,A!A$1:AH$669,34,FALSE)</f>
        <v>45</v>
      </c>
      <c r="U593" s="533">
        <v>0.1</v>
      </c>
      <c r="V593" s="533"/>
      <c r="W593" s="533"/>
      <c r="X593" s="533"/>
      <c r="Y593" s="533"/>
      <c r="Z593" s="533"/>
      <c r="AA593" s="533"/>
      <c r="AB593" s="533"/>
      <c r="AC593" s="533"/>
      <c r="AD593" s="533"/>
      <c r="AE593" s="533"/>
      <c r="AF593" s="533"/>
      <c r="AG593" s="533"/>
      <c r="AH593" s="533"/>
      <c r="AI593" s="533"/>
      <c r="AJ593" s="533"/>
      <c r="AK593" s="533"/>
      <c r="AL593" s="533"/>
      <c r="AM593" s="533"/>
      <c r="AN593" s="533"/>
      <c r="AO593" s="533"/>
      <c r="AP593" s="533"/>
      <c r="AQ593" s="533"/>
      <c r="AR593" s="533"/>
      <c r="AS593" s="533"/>
      <c r="AT593" s="533"/>
      <c r="AU593" s="533"/>
    </row>
    <row r="594" spans="1:47" ht="11.25" hidden="1" customHeight="1" x14ac:dyDescent="0.25">
      <c r="A594" s="41"/>
      <c r="B594" s="104" t="s">
        <v>12</v>
      </c>
      <c r="C594" s="24" t="s">
        <v>43</v>
      </c>
      <c r="D594" s="642"/>
      <c r="E594" s="861"/>
      <c r="F594" s="46" t="s">
        <v>44</v>
      </c>
      <c r="G594" s="26" t="s">
        <v>45</v>
      </c>
      <c r="H594" s="27">
        <f>VLOOKUP(C594,A!A$1:AC$669,29,FALSE)</f>
        <v>0</v>
      </c>
      <c r="I594" s="27"/>
      <c r="J594" s="28">
        <f>IF(VLOOKUP(C594,A!A$1:AC$669,25,FALSE)="y",1,0)</f>
        <v>0</v>
      </c>
      <c r="K594" s="28">
        <f>IF(VLOOKUP(C594,A!A$1:AC$669,26,FALSE)="y",1,0)</f>
        <v>0</v>
      </c>
      <c r="L594" s="43" t="str">
        <f>IF(VLOOKUP(C594,A!A$1:AC$669,24,FALSE)="y","NEW","")</f>
        <v/>
      </c>
      <c r="M594" s="27">
        <f>VLOOKUP(C594,A!A$1:AC$669,27,FALSE)</f>
        <v>0</v>
      </c>
      <c r="N594" s="44" t="s">
        <v>39</v>
      </c>
      <c r="O594" s="533">
        <f>VLOOKUP(C594,A!A$1:AC$669,23,FALSE)</f>
        <v>0</v>
      </c>
      <c r="P594" s="533" t="s">
        <v>709</v>
      </c>
      <c r="Q594" s="533" t="str">
        <f>IF(S594=0,"",COUNTIF(Q$12:Q593,"&gt;0")+1)</f>
        <v/>
      </c>
      <c r="R594" s="533" t="str">
        <f>IF(S594=0,"",COUNTIF(R$12:R593,"&gt;0")+1)</f>
        <v/>
      </c>
      <c r="S594" s="533">
        <f t="shared" si="104"/>
        <v>0</v>
      </c>
      <c r="T594" s="533" t="str">
        <f>VLOOKUP(C594,A!A$1:AH$669,34,FALSE)</f>
        <v/>
      </c>
      <c r="U594" s="533">
        <v>0.1</v>
      </c>
      <c r="V594" s="533"/>
      <c r="W594" s="533"/>
      <c r="X594" s="533"/>
      <c r="Y594" s="533"/>
      <c r="Z594" s="533"/>
      <c r="AA594" s="533"/>
      <c r="AB594" s="533"/>
      <c r="AC594" s="533"/>
      <c r="AD594" s="533"/>
      <c r="AE594" s="533"/>
      <c r="AF594" s="533"/>
      <c r="AG594" s="533"/>
      <c r="AH594" s="533"/>
      <c r="AI594" s="533"/>
      <c r="AJ594" s="533"/>
      <c r="AK594" s="533"/>
      <c r="AL594" s="533"/>
      <c r="AM594" s="533"/>
      <c r="AN594" s="533"/>
      <c r="AO594" s="533"/>
      <c r="AP594" s="533"/>
      <c r="AQ594" s="533"/>
      <c r="AR594" s="533"/>
      <c r="AS594" s="533"/>
      <c r="AT594" s="533"/>
      <c r="AU594" s="533"/>
    </row>
    <row r="595" spans="1:47" ht="11.25" hidden="1" customHeight="1" x14ac:dyDescent="0.25">
      <c r="A595" s="41"/>
      <c r="B595" s="104" t="s">
        <v>12</v>
      </c>
      <c r="C595" s="24" t="s">
        <v>710</v>
      </c>
      <c r="D595" s="642"/>
      <c r="E595" s="861"/>
      <c r="F595" s="46" t="s">
        <v>76</v>
      </c>
      <c r="G595" s="26" t="s">
        <v>77</v>
      </c>
      <c r="H595" s="27">
        <f>VLOOKUP(C595,A!A$1:AC$669,29,FALSE)</f>
        <v>1</v>
      </c>
      <c r="I595" s="27" t="s">
        <v>30</v>
      </c>
      <c r="J595" s="28">
        <f>IF(VLOOKUP(C595,A!A$1:AC$669,25,FALSE)="y",1,0)</f>
        <v>0</v>
      </c>
      <c r="K595" s="28">
        <f>IF(VLOOKUP(C595,A!A$1:AC$669,26,FALSE)="y",1,0)</f>
        <v>0</v>
      </c>
      <c r="L595" s="43" t="str">
        <f>IF(VLOOKUP(C595,A!A$1:AC$669,24,FALSE)="y","NEW","")</f>
        <v/>
      </c>
      <c r="M595" s="27">
        <f>VLOOKUP(C595,A!A$1:AC$669,27,FALSE)</f>
        <v>0</v>
      </c>
      <c r="N595" s="44" t="s">
        <v>39</v>
      </c>
      <c r="O595" s="533">
        <f>VLOOKUP(C595,A!A$1:AC$669,23,FALSE)</f>
        <v>0</v>
      </c>
      <c r="P595" s="533" t="s">
        <v>709</v>
      </c>
      <c r="Q595" s="533" t="str">
        <f>IF(S595=0,"",COUNTIF(Q$12:Q594,"&gt;0")+1)</f>
        <v/>
      </c>
      <c r="R595" s="533" t="str">
        <f>IF(S595=0,"",COUNTIF(R$12:R594,"&gt;0")+1)</f>
        <v/>
      </c>
      <c r="S595" s="533">
        <f t="shared" si="104"/>
        <v>0</v>
      </c>
      <c r="T595" s="533">
        <f>VLOOKUP(C595,A!A$1:AH$669,34,FALSE)</f>
        <v>45</v>
      </c>
      <c r="U595" s="533">
        <v>0.1</v>
      </c>
      <c r="V595" s="533"/>
      <c r="W595" s="533"/>
      <c r="X595" s="533"/>
      <c r="Y595" s="533"/>
      <c r="Z595" s="533"/>
      <c r="AA595" s="533"/>
      <c r="AB595" s="533"/>
      <c r="AC595" s="533"/>
      <c r="AD595" s="533"/>
      <c r="AE595" s="533"/>
      <c r="AF595" s="533"/>
      <c r="AG595" s="533"/>
      <c r="AH595" s="533"/>
      <c r="AI595" s="533"/>
      <c r="AJ595" s="533"/>
      <c r="AK595" s="533"/>
      <c r="AL595" s="533"/>
      <c r="AM595" s="533"/>
      <c r="AN595" s="533"/>
      <c r="AO595" s="533"/>
      <c r="AP595" s="533"/>
      <c r="AQ595" s="533"/>
      <c r="AR595" s="533"/>
      <c r="AS595" s="533"/>
      <c r="AT595" s="533"/>
      <c r="AU595" s="533"/>
    </row>
    <row r="596" spans="1:47" ht="11.25" hidden="1" customHeight="1" x14ac:dyDescent="0.25">
      <c r="A596" s="41"/>
      <c r="B596" s="104" t="s">
        <v>12</v>
      </c>
      <c r="C596" s="24" t="s">
        <v>175</v>
      </c>
      <c r="D596" s="642"/>
      <c r="E596" s="861"/>
      <c r="F596" s="46" t="s">
        <v>176</v>
      </c>
      <c r="G596" s="26" t="s">
        <v>177</v>
      </c>
      <c r="H596" s="27">
        <f>VLOOKUP(C596,A!A$1:AC$669,29,FALSE)</f>
        <v>0</v>
      </c>
      <c r="I596" s="27"/>
      <c r="J596" s="28">
        <f>IF(VLOOKUP(C596,A!A$1:AC$669,25,FALSE)="y",1,0)</f>
        <v>0</v>
      </c>
      <c r="K596" s="28">
        <f>IF(VLOOKUP(C596,A!A$1:AC$669,26,FALSE)="y",1,0)</f>
        <v>0</v>
      </c>
      <c r="L596" s="43" t="str">
        <f>IF(VLOOKUP(C596,A!A$1:AC$669,24,FALSE)="y","NEW","")</f>
        <v/>
      </c>
      <c r="M596" s="27">
        <f>VLOOKUP(C596,A!A$1:AC$669,27,FALSE)</f>
        <v>0</v>
      </c>
      <c r="N596" s="44" t="s">
        <v>39</v>
      </c>
      <c r="O596" s="533">
        <f>VLOOKUP(C596,A!A$1:AC$669,23,FALSE)</f>
        <v>0</v>
      </c>
      <c r="P596" s="533" t="s">
        <v>709</v>
      </c>
      <c r="Q596" s="533" t="str">
        <f>IF(S596=0,"",COUNTIF(Q$12:Q595,"&gt;0")+1)</f>
        <v/>
      </c>
      <c r="R596" s="533" t="str">
        <f>IF(S596=0,"",COUNTIF(R$12:R595,"&gt;0")+1)</f>
        <v/>
      </c>
      <c r="S596" s="533">
        <f t="shared" si="104"/>
        <v>0</v>
      </c>
      <c r="T596" s="533" t="str">
        <f>VLOOKUP(C596,A!A$1:AH$669,34,FALSE)</f>
        <v/>
      </c>
      <c r="U596" s="533">
        <v>0.1</v>
      </c>
      <c r="V596" s="533"/>
      <c r="W596" s="533"/>
      <c r="X596" s="533"/>
      <c r="Y596" s="533"/>
      <c r="Z596" s="533"/>
      <c r="AA596" s="533"/>
      <c r="AB596" s="533"/>
      <c r="AC596" s="533"/>
      <c r="AD596" s="533"/>
      <c r="AE596" s="533"/>
      <c r="AF596" s="533"/>
      <c r="AG596" s="533"/>
      <c r="AH596" s="533"/>
      <c r="AI596" s="533"/>
      <c r="AJ596" s="533"/>
      <c r="AK596" s="533"/>
      <c r="AL596" s="533"/>
      <c r="AM596" s="533"/>
      <c r="AN596" s="533"/>
      <c r="AO596" s="533"/>
      <c r="AP596" s="533"/>
      <c r="AQ596" s="533"/>
      <c r="AR596" s="533"/>
      <c r="AS596" s="533"/>
      <c r="AT596" s="533"/>
      <c r="AU596" s="533"/>
    </row>
    <row r="597" spans="1:47" ht="11.25" hidden="1" customHeight="1" x14ac:dyDescent="0.25">
      <c r="A597" s="41"/>
      <c r="B597" s="104" t="s">
        <v>12</v>
      </c>
      <c r="C597" s="24" t="s">
        <v>711</v>
      </c>
      <c r="D597" s="642"/>
      <c r="E597" s="861"/>
      <c r="F597" s="46" t="s">
        <v>712</v>
      </c>
      <c r="G597" s="26" t="s">
        <v>713</v>
      </c>
      <c r="H597" s="27">
        <f>VLOOKUP(C597,A!A$1:AC$669,29,FALSE)</f>
        <v>0</v>
      </c>
      <c r="I597" s="27"/>
      <c r="J597" s="28">
        <f>IF(VLOOKUP(C597,A!A$1:AC$669,25,FALSE)="y",1,0)</f>
        <v>0</v>
      </c>
      <c r="K597" s="28">
        <f>IF(VLOOKUP(C597,A!A$1:AC$669,26,FALSE)="y",1,0)</f>
        <v>0</v>
      </c>
      <c r="L597" s="43" t="str">
        <f>IF(VLOOKUP(C597,A!A$1:AC$669,24,FALSE)="y","NEW","")</f>
        <v/>
      </c>
      <c r="M597" s="27">
        <f>VLOOKUP(C597,A!A$1:AC$669,27,FALSE)</f>
        <v>0</v>
      </c>
      <c r="N597" s="44" t="s">
        <v>39</v>
      </c>
      <c r="O597" s="533">
        <f>VLOOKUP(C597,A!A$1:AC$669,23,FALSE)</f>
        <v>0</v>
      </c>
      <c r="P597" s="533" t="s">
        <v>709</v>
      </c>
      <c r="Q597" s="533" t="str">
        <f>IF(S597=0,"",COUNTIF(Q$12:Q596,"&gt;0")+1)</f>
        <v/>
      </c>
      <c r="R597" s="533" t="str">
        <f>IF(S597=0,"",COUNTIF(R$12:R596,"&gt;0")+1)</f>
        <v/>
      </c>
      <c r="S597" s="533">
        <f t="shared" si="104"/>
        <v>0</v>
      </c>
      <c r="T597" s="533" t="str">
        <f>VLOOKUP(C597,A!A$1:AH$669,34,FALSE)</f>
        <v/>
      </c>
      <c r="U597" s="533">
        <v>0.1</v>
      </c>
      <c r="V597" s="533"/>
      <c r="W597" s="533"/>
      <c r="X597" s="533"/>
      <c r="Y597" s="533"/>
      <c r="Z597" s="533"/>
      <c r="AA597" s="533"/>
      <c r="AB597" s="533"/>
      <c r="AC597" s="533"/>
      <c r="AD597" s="533"/>
      <c r="AE597" s="533"/>
      <c r="AF597" s="533"/>
      <c r="AG597" s="533"/>
      <c r="AH597" s="533"/>
      <c r="AI597" s="533"/>
      <c r="AJ597" s="533"/>
      <c r="AK597" s="533"/>
      <c r="AL597" s="533"/>
      <c r="AM597" s="533"/>
      <c r="AN597" s="533"/>
      <c r="AO597" s="533"/>
      <c r="AP597" s="533"/>
      <c r="AQ597" s="533"/>
      <c r="AR597" s="533"/>
      <c r="AS597" s="533"/>
      <c r="AT597" s="533"/>
      <c r="AU597" s="533"/>
    </row>
    <row r="598" spans="1:47" ht="11.25" hidden="1" customHeight="1" x14ac:dyDescent="0.25">
      <c r="A598" s="41"/>
      <c r="B598" s="104" t="s">
        <v>12</v>
      </c>
      <c r="C598" s="24" t="s">
        <v>193</v>
      </c>
      <c r="D598" s="642"/>
      <c r="E598" s="861"/>
      <c r="F598" s="46" t="s">
        <v>194</v>
      </c>
      <c r="G598" s="26" t="s">
        <v>195</v>
      </c>
      <c r="H598" s="27">
        <f>VLOOKUP(C598,A!A$1:AC$669,29,FALSE)</f>
        <v>1</v>
      </c>
      <c r="I598" s="27" t="s">
        <v>30</v>
      </c>
      <c r="J598" s="28">
        <f>IF(VLOOKUP(C598,A!A$1:AC$669,25,FALSE)="y",1,0)</f>
        <v>0</v>
      </c>
      <c r="K598" s="28">
        <f>IF(VLOOKUP(C598,A!A$1:AC$669,26,FALSE)="y",1,0)</f>
        <v>0</v>
      </c>
      <c r="L598" s="43" t="str">
        <f>IF(VLOOKUP(C598,A!A$1:AC$669,24,FALSE)="y","NEW","")</f>
        <v/>
      </c>
      <c r="M598" s="27">
        <f>VLOOKUP(C598,A!A$1:AC$669,27,FALSE)</f>
        <v>0</v>
      </c>
      <c r="N598" s="44" t="s">
        <v>31</v>
      </c>
      <c r="O598" s="533">
        <f>VLOOKUP(C598,A!A$1:AC$669,23,FALSE)</f>
        <v>0</v>
      </c>
      <c r="P598" s="533" t="s">
        <v>709</v>
      </c>
      <c r="Q598" s="533" t="str">
        <f>IF(S598=0,"",COUNTIF(Q$12:Q597,"&gt;0")+1)</f>
        <v/>
      </c>
      <c r="R598" s="533" t="str">
        <f>IF(S598=0,"",COUNTIF(R$12:R597,"&gt;0")+1)</f>
        <v/>
      </c>
      <c r="S598" s="533">
        <f t="shared" si="104"/>
        <v>0</v>
      </c>
      <c r="T598" s="533">
        <f>VLOOKUP(C598,A!A$1:AH$669,34,FALSE)</f>
        <v>45</v>
      </c>
      <c r="U598" s="533">
        <v>0.1</v>
      </c>
      <c r="V598" s="533"/>
      <c r="W598" s="533"/>
      <c r="X598" s="533"/>
      <c r="Y598" s="533"/>
      <c r="Z598" s="533"/>
      <c r="AA598" s="533"/>
      <c r="AB598" s="533"/>
      <c r="AC598" s="533"/>
      <c r="AD598" s="533"/>
      <c r="AE598" s="533"/>
      <c r="AF598" s="533"/>
      <c r="AG598" s="533"/>
      <c r="AH598" s="533"/>
      <c r="AI598" s="533"/>
      <c r="AJ598" s="533"/>
      <c r="AK598" s="533"/>
      <c r="AL598" s="533"/>
      <c r="AM598" s="533"/>
      <c r="AN598" s="533"/>
      <c r="AO598" s="533"/>
      <c r="AP598" s="533"/>
      <c r="AQ598" s="533"/>
      <c r="AR598" s="533"/>
      <c r="AS598" s="533"/>
      <c r="AT598" s="533"/>
      <c r="AU598" s="533"/>
    </row>
    <row r="599" spans="1:47" ht="11.25" hidden="1" customHeight="1" x14ac:dyDescent="0.25">
      <c r="A599" s="41"/>
      <c r="B599" s="104" t="s">
        <v>12</v>
      </c>
      <c r="C599" s="24" t="s">
        <v>223</v>
      </c>
      <c r="D599" s="642"/>
      <c r="E599" s="861"/>
      <c r="F599" s="46" t="s">
        <v>221</v>
      </c>
      <c r="G599" s="26" t="s">
        <v>224</v>
      </c>
      <c r="H599" s="27">
        <f>VLOOKUP(C599,A!A$1:AC$669,29,FALSE)</f>
        <v>0</v>
      </c>
      <c r="I599" s="27"/>
      <c r="J599" s="28">
        <f>IF(VLOOKUP(C599,A!A$1:AC$669,25,FALSE)="y",1,0)</f>
        <v>0</v>
      </c>
      <c r="K599" s="28">
        <f>IF(VLOOKUP(C599,A!A$1:AC$669,26,FALSE)="y",1,0)</f>
        <v>0</v>
      </c>
      <c r="L599" s="43" t="str">
        <f>IF(VLOOKUP(C599,A!A$1:AC$669,24,FALSE)="y","NEW","")</f>
        <v/>
      </c>
      <c r="M599" s="27">
        <f>VLOOKUP(C599,A!A$1:AC$669,27,FALSE)</f>
        <v>0</v>
      </c>
      <c r="N599" s="44">
        <v>2</v>
      </c>
      <c r="O599" s="533">
        <f>VLOOKUP(C599,A!A$1:AC$669,23,FALSE)</f>
        <v>0</v>
      </c>
      <c r="P599" s="533" t="s">
        <v>709</v>
      </c>
      <c r="Q599" s="533" t="str">
        <f>IF(S599=0,"",COUNTIF(Q$12:Q598,"&gt;0")+1)</f>
        <v/>
      </c>
      <c r="R599" s="533" t="str">
        <f>IF(S599=0,"",COUNTIF(R$12:R598,"&gt;0")+1)</f>
        <v/>
      </c>
      <c r="S599" s="533">
        <f t="shared" si="104"/>
        <v>0</v>
      </c>
      <c r="T599" s="533" t="str">
        <f>VLOOKUP(C599,A!A$1:AH$669,34,FALSE)</f>
        <v/>
      </c>
      <c r="U599" s="533">
        <v>0.1</v>
      </c>
      <c r="V599" s="533"/>
      <c r="W599" s="533"/>
      <c r="X599" s="533"/>
      <c r="Y599" s="533"/>
      <c r="Z599" s="533"/>
      <c r="AA599" s="533"/>
      <c r="AB599" s="533"/>
      <c r="AC599" s="533"/>
      <c r="AD599" s="533"/>
      <c r="AE599" s="533"/>
      <c r="AF599" s="533"/>
      <c r="AG599" s="533"/>
      <c r="AH599" s="533"/>
      <c r="AI599" s="533"/>
      <c r="AJ599" s="533"/>
      <c r="AK599" s="533"/>
      <c r="AL599" s="533"/>
      <c r="AM599" s="533"/>
      <c r="AN599" s="533"/>
      <c r="AO599" s="533"/>
      <c r="AP599" s="533"/>
      <c r="AQ599" s="533"/>
      <c r="AR599" s="533"/>
      <c r="AS599" s="533"/>
      <c r="AT599" s="533"/>
      <c r="AU599" s="533"/>
    </row>
    <row r="600" spans="1:47" ht="11.25" hidden="1" customHeight="1" x14ac:dyDescent="0.25">
      <c r="A600" s="41"/>
      <c r="B600" s="104" t="s">
        <v>12</v>
      </c>
      <c r="C600" s="24" t="s">
        <v>290</v>
      </c>
      <c r="D600" s="642"/>
      <c r="E600" s="861"/>
      <c r="F600" s="46" t="s">
        <v>291</v>
      </c>
      <c r="G600" s="26" t="s">
        <v>292</v>
      </c>
      <c r="H600" s="27">
        <f>VLOOKUP(C600,A!A$1:AC$669,29,FALSE)</f>
        <v>0</v>
      </c>
      <c r="I600" s="27" t="s">
        <v>30</v>
      </c>
      <c r="J600" s="28">
        <f>IF(VLOOKUP(C600,A!A$1:AC$669,25,FALSE)="y",1,0)</f>
        <v>0</v>
      </c>
      <c r="K600" s="28">
        <f>IF(VLOOKUP(C600,A!A$1:AC$669,26,FALSE)="y",1,0)</f>
        <v>0</v>
      </c>
      <c r="L600" s="43" t="str">
        <f>IF(VLOOKUP(C600,A!A$1:AC$669,24,FALSE)="y","NEW","")</f>
        <v/>
      </c>
      <c r="M600" s="27">
        <f>VLOOKUP(C600,A!A$1:AC$669,27,FALSE)</f>
        <v>0</v>
      </c>
      <c r="N600" s="44" t="s">
        <v>31</v>
      </c>
      <c r="O600" s="533">
        <f>VLOOKUP(C600,A!A$1:AC$669,23,FALSE)</f>
        <v>0</v>
      </c>
      <c r="P600" s="533" t="s">
        <v>709</v>
      </c>
      <c r="Q600" s="533" t="str">
        <f>IF(S600=0,"",COUNTIF(Q$12:Q599,"&gt;0")+1)</f>
        <v/>
      </c>
      <c r="R600" s="533" t="str">
        <f>IF(S600=0,"",COUNTIF(R$12:R599,"&gt;0")+1)</f>
        <v/>
      </c>
      <c r="S600" s="533">
        <f t="shared" si="104"/>
        <v>0</v>
      </c>
      <c r="T600" s="533" t="str">
        <f>VLOOKUP(C600,A!A$1:AH$669,34,FALSE)</f>
        <v/>
      </c>
      <c r="U600" s="533">
        <v>0.1</v>
      </c>
      <c r="V600" s="533"/>
      <c r="W600" s="533"/>
      <c r="X600" s="533"/>
      <c r="Y600" s="533"/>
      <c r="Z600" s="533"/>
      <c r="AA600" s="533"/>
      <c r="AB600" s="533"/>
      <c r="AC600" s="533"/>
      <c r="AD600" s="533"/>
      <c r="AE600" s="533"/>
      <c r="AF600" s="533"/>
      <c r="AG600" s="533"/>
      <c r="AH600" s="533"/>
      <c r="AI600" s="533"/>
      <c r="AJ600" s="533"/>
      <c r="AK600" s="533"/>
      <c r="AL600" s="533"/>
      <c r="AM600" s="533"/>
      <c r="AN600" s="533"/>
      <c r="AO600" s="533"/>
      <c r="AP600" s="533"/>
      <c r="AQ600" s="533"/>
      <c r="AR600" s="533"/>
      <c r="AS600" s="533"/>
      <c r="AT600" s="533"/>
      <c r="AU600" s="533"/>
    </row>
    <row r="601" spans="1:47" ht="11.25" hidden="1" customHeight="1" x14ac:dyDescent="0.25">
      <c r="A601" s="41"/>
      <c r="B601" s="104" t="s">
        <v>12</v>
      </c>
      <c r="C601" s="24" t="s">
        <v>414</v>
      </c>
      <c r="D601" s="642"/>
      <c r="E601" s="861"/>
      <c r="F601" s="46" t="s">
        <v>415</v>
      </c>
      <c r="G601" s="26" t="s">
        <v>416</v>
      </c>
      <c r="H601" s="27">
        <f>VLOOKUP(C601,A!A$1:AC$669,29,FALSE)</f>
        <v>0</v>
      </c>
      <c r="I601" s="27"/>
      <c r="J601" s="28">
        <f>IF(VLOOKUP(C601,A!A$1:AC$669,25,FALSE)="y",1,0)</f>
        <v>0</v>
      </c>
      <c r="K601" s="28">
        <f>IF(VLOOKUP(C601,A!A$1:AC$669,26,FALSE)="y",1,0)</f>
        <v>0</v>
      </c>
      <c r="L601" s="43" t="str">
        <f>IF(VLOOKUP(C601,A!A$1:AC$669,24,FALSE)="y","NEW","")</f>
        <v/>
      </c>
      <c r="M601" s="27">
        <f>VLOOKUP(C601,A!A$1:AC$669,27,FALSE)</f>
        <v>0</v>
      </c>
      <c r="N601" s="44" t="s">
        <v>31</v>
      </c>
      <c r="O601" s="533">
        <f>VLOOKUP(C601,A!A$1:AC$669,23,FALSE)</f>
        <v>0</v>
      </c>
      <c r="P601" s="533" t="s">
        <v>709</v>
      </c>
      <c r="Q601" s="533" t="str">
        <f>IF(S601=0,"",COUNTIF(Q$12:Q600,"&gt;0")+1)</f>
        <v/>
      </c>
      <c r="R601" s="533" t="str">
        <f>IF(S601=0,"",COUNTIF(R$12:R600,"&gt;0")+1)</f>
        <v/>
      </c>
      <c r="S601" s="533">
        <f t="shared" si="104"/>
        <v>0</v>
      </c>
      <c r="T601" s="533" t="str">
        <f>VLOOKUP(C601,A!A$1:AH$669,34,FALSE)</f>
        <v/>
      </c>
      <c r="U601" s="533">
        <v>0.1</v>
      </c>
      <c r="V601" s="533"/>
      <c r="W601" s="533"/>
      <c r="X601" s="533"/>
      <c r="Y601" s="533"/>
      <c r="Z601" s="533"/>
      <c r="AA601" s="533"/>
      <c r="AB601" s="533"/>
      <c r="AC601" s="533"/>
      <c r="AD601" s="533"/>
      <c r="AE601" s="533"/>
      <c r="AF601" s="533"/>
      <c r="AG601" s="533"/>
      <c r="AH601" s="533"/>
      <c r="AI601" s="533"/>
      <c r="AJ601" s="533"/>
      <c r="AK601" s="533"/>
      <c r="AL601" s="533"/>
      <c r="AM601" s="533"/>
      <c r="AN601" s="533"/>
      <c r="AO601" s="533"/>
      <c r="AP601" s="533"/>
      <c r="AQ601" s="533"/>
      <c r="AR601" s="533"/>
      <c r="AS601" s="533"/>
      <c r="AT601" s="533"/>
      <c r="AU601" s="533"/>
    </row>
    <row r="602" spans="1:47" ht="11.25" hidden="1" customHeight="1" x14ac:dyDescent="0.25">
      <c r="A602" s="41"/>
      <c r="B602" s="104" t="s">
        <v>12</v>
      </c>
      <c r="C602" s="24" t="s">
        <v>420</v>
      </c>
      <c r="D602" s="642"/>
      <c r="E602" s="861"/>
      <c r="F602" s="46" t="s">
        <v>421</v>
      </c>
      <c r="G602" s="26" t="s">
        <v>422</v>
      </c>
      <c r="H602" s="27">
        <f>VLOOKUP(C602,A!A$1:AC$669,29,FALSE)</f>
        <v>0</v>
      </c>
      <c r="I602" s="27"/>
      <c r="J602" s="28">
        <f>IF(VLOOKUP(C602,A!A$1:AC$669,25,FALSE)="y",1,0)</f>
        <v>0</v>
      </c>
      <c r="K602" s="28">
        <f>IF(VLOOKUP(C602,A!A$1:AC$669,26,FALSE)="y",1,0)</f>
        <v>0</v>
      </c>
      <c r="L602" s="43" t="str">
        <f>IF(VLOOKUP(C602,A!A$1:AC$669,24,FALSE)="y","NEW","")</f>
        <v/>
      </c>
      <c r="M602" s="27">
        <f>VLOOKUP(C602,A!A$1:AC$669,27,FALSE)</f>
        <v>0</v>
      </c>
      <c r="N602" s="44" t="s">
        <v>31</v>
      </c>
      <c r="O602" s="533">
        <f>VLOOKUP(C602,A!A$1:AC$669,23,FALSE)</f>
        <v>0</v>
      </c>
      <c r="P602" s="533" t="s">
        <v>709</v>
      </c>
      <c r="Q602" s="533" t="str">
        <f>IF(S602=0,"",COUNTIF(Q$12:Q601,"&gt;0")+1)</f>
        <v/>
      </c>
      <c r="R602" s="533" t="str">
        <f>IF(S602=0,"",COUNTIF(R$12:R601,"&gt;0")+1)</f>
        <v/>
      </c>
      <c r="S602" s="533">
        <f t="shared" si="104"/>
        <v>0</v>
      </c>
      <c r="T602" s="533" t="str">
        <f>VLOOKUP(C602,A!A$1:AH$669,34,FALSE)</f>
        <v/>
      </c>
      <c r="U602" s="533">
        <v>0.1</v>
      </c>
      <c r="V602" s="533"/>
      <c r="W602" s="533"/>
      <c r="X602" s="533"/>
      <c r="Y602" s="533"/>
      <c r="Z602" s="533"/>
      <c r="AA602" s="533"/>
      <c r="AB602" s="533"/>
      <c r="AC602" s="533"/>
      <c r="AD602" s="533"/>
      <c r="AE602" s="533"/>
      <c r="AF602" s="533"/>
      <c r="AG602" s="533"/>
      <c r="AH602" s="533"/>
      <c r="AI602" s="533"/>
      <c r="AJ602" s="533"/>
      <c r="AK602" s="533"/>
      <c r="AL602" s="533"/>
      <c r="AM602" s="533"/>
      <c r="AN602" s="533"/>
      <c r="AO602" s="533"/>
      <c r="AP602" s="533"/>
      <c r="AQ602" s="533"/>
      <c r="AR602" s="533"/>
      <c r="AS602" s="533"/>
      <c r="AT602" s="533"/>
      <c r="AU602" s="533"/>
    </row>
    <row r="603" spans="1:47" ht="11.25" hidden="1" customHeight="1" x14ac:dyDescent="0.25">
      <c r="A603" s="41"/>
      <c r="B603" s="104" t="s">
        <v>12</v>
      </c>
      <c r="C603" s="24" t="s">
        <v>423</v>
      </c>
      <c r="D603" s="642"/>
      <c r="E603" s="861"/>
      <c r="F603" s="46" t="s">
        <v>424</v>
      </c>
      <c r="G603" s="26" t="s">
        <v>425</v>
      </c>
      <c r="H603" s="27">
        <f>VLOOKUP(C603,A!A$1:AC$669,29,FALSE)</f>
        <v>0</v>
      </c>
      <c r="I603" s="27"/>
      <c r="J603" s="28">
        <f>IF(VLOOKUP(C603,A!A$1:AC$669,25,FALSE)="y",1,0)</f>
        <v>0</v>
      </c>
      <c r="K603" s="28">
        <f>IF(VLOOKUP(C603,A!A$1:AC$669,26,FALSE)="y",1,0)</f>
        <v>0</v>
      </c>
      <c r="L603" s="43" t="str">
        <f>IF(VLOOKUP(C603,A!A$1:AC$669,24,FALSE)="y","NEW","")</f>
        <v/>
      </c>
      <c r="M603" s="27">
        <f>VLOOKUP(C603,A!A$1:AC$669,27,FALSE)</f>
        <v>0</v>
      </c>
      <c r="N603" s="44" t="s">
        <v>39</v>
      </c>
      <c r="O603" s="533">
        <f>VLOOKUP(C603,A!A$1:AC$669,23,FALSE)</f>
        <v>0</v>
      </c>
      <c r="P603" s="533" t="s">
        <v>709</v>
      </c>
      <c r="Q603" s="533" t="str">
        <f>IF(S603=0,"",COUNTIF(Q$12:Q602,"&gt;0")+1)</f>
        <v/>
      </c>
      <c r="R603" s="533" t="str">
        <f>IF(S603=0,"",COUNTIF(R$12:R602,"&gt;0")+1)</f>
        <v/>
      </c>
      <c r="S603" s="533">
        <f t="shared" si="104"/>
        <v>0</v>
      </c>
      <c r="T603" s="533" t="str">
        <f>VLOOKUP(C603,A!A$1:AH$669,34,FALSE)</f>
        <v/>
      </c>
      <c r="U603" s="533">
        <v>0.1</v>
      </c>
      <c r="V603" s="533"/>
      <c r="W603" s="533"/>
      <c r="X603" s="533"/>
      <c r="Y603" s="533"/>
      <c r="Z603" s="533"/>
      <c r="AA603" s="533"/>
      <c r="AB603" s="533"/>
      <c r="AC603" s="533"/>
      <c r="AD603" s="533"/>
      <c r="AE603" s="533"/>
      <c r="AF603" s="533"/>
      <c r="AG603" s="533"/>
      <c r="AH603" s="533"/>
      <c r="AI603" s="533"/>
      <c r="AJ603" s="533"/>
      <c r="AK603" s="533"/>
      <c r="AL603" s="533"/>
      <c r="AM603" s="533"/>
      <c r="AN603" s="533"/>
      <c r="AO603" s="533"/>
      <c r="AP603" s="533"/>
      <c r="AQ603" s="533"/>
      <c r="AR603" s="533"/>
      <c r="AS603" s="533"/>
      <c r="AT603" s="533"/>
      <c r="AU603" s="533"/>
    </row>
    <row r="604" spans="1:47" ht="11.25" hidden="1" customHeight="1" x14ac:dyDescent="0.25">
      <c r="A604" s="41"/>
      <c r="B604" s="104" t="s">
        <v>12</v>
      </c>
      <c r="C604" s="24" t="s">
        <v>435</v>
      </c>
      <c r="D604" s="642"/>
      <c r="E604" s="861"/>
      <c r="F604" s="46" t="s">
        <v>436</v>
      </c>
      <c r="G604" s="26" t="s">
        <v>437</v>
      </c>
      <c r="H604" s="27">
        <f>VLOOKUP(C604,A!A$1:AC$669,29,FALSE)</f>
        <v>0</v>
      </c>
      <c r="I604" s="27"/>
      <c r="J604" s="28">
        <f>IF(VLOOKUP(C604,A!A$1:AC$669,25,FALSE)="y",1,0)</f>
        <v>0</v>
      </c>
      <c r="K604" s="28">
        <f>IF(VLOOKUP(C604,A!A$1:AC$669,26,FALSE)="y",1,0)</f>
        <v>0</v>
      </c>
      <c r="L604" s="43" t="str">
        <f>IF(VLOOKUP(C604,A!A$1:AC$669,24,FALSE)="y","NEW","")</f>
        <v/>
      </c>
      <c r="M604" s="27">
        <f>VLOOKUP(C604,A!A$1:AC$669,27,FALSE)</f>
        <v>0</v>
      </c>
      <c r="N604" s="44" t="s">
        <v>31</v>
      </c>
      <c r="O604" s="533">
        <f>VLOOKUP(C604,A!A$1:AC$669,23,FALSE)</f>
        <v>0</v>
      </c>
      <c r="P604" s="533" t="s">
        <v>709</v>
      </c>
      <c r="Q604" s="533" t="str">
        <f>IF(S604=0,"",COUNTIF(Q$12:Q603,"&gt;0")+1)</f>
        <v/>
      </c>
      <c r="R604" s="533" t="str">
        <f>IF(S604=0,"",COUNTIF(R$12:R603,"&gt;0")+1)</f>
        <v/>
      </c>
      <c r="S604" s="533">
        <f t="shared" si="104"/>
        <v>0</v>
      </c>
      <c r="T604" s="533" t="str">
        <f>VLOOKUP(C604,A!A$1:AH$669,34,FALSE)</f>
        <v/>
      </c>
      <c r="U604" s="533">
        <v>0.1</v>
      </c>
      <c r="V604" s="533"/>
      <c r="W604" s="533"/>
      <c r="X604" s="533"/>
      <c r="Y604" s="533"/>
      <c r="Z604" s="533"/>
      <c r="AA604" s="533"/>
      <c r="AB604" s="533"/>
      <c r="AC604" s="533"/>
      <c r="AD604" s="533"/>
      <c r="AE604" s="533"/>
      <c r="AF604" s="533"/>
      <c r="AG604" s="533"/>
      <c r="AH604" s="533"/>
      <c r="AI604" s="533"/>
      <c r="AJ604" s="533"/>
      <c r="AK604" s="533"/>
      <c r="AL604" s="533"/>
      <c r="AM604" s="533"/>
      <c r="AN604" s="533"/>
      <c r="AO604" s="533"/>
      <c r="AP604" s="533"/>
      <c r="AQ604" s="533"/>
      <c r="AR604" s="533"/>
      <c r="AS604" s="533"/>
      <c r="AT604" s="533"/>
      <c r="AU604" s="533"/>
    </row>
    <row r="605" spans="1:47" ht="11.25" hidden="1" customHeight="1" x14ac:dyDescent="0.25">
      <c r="A605" s="41"/>
      <c r="B605" s="104" t="s">
        <v>12</v>
      </c>
      <c r="C605" s="24" t="s">
        <v>445</v>
      </c>
      <c r="D605" s="642"/>
      <c r="E605" s="861"/>
      <c r="F605" s="46" t="s">
        <v>676</v>
      </c>
      <c r="G605" s="26" t="s">
        <v>447</v>
      </c>
      <c r="H605" s="27">
        <f>VLOOKUP(C605,A!A$1:AC$669,29,FALSE)</f>
        <v>0</v>
      </c>
      <c r="I605" s="27" t="s">
        <v>30</v>
      </c>
      <c r="J605" s="28">
        <f>IF(VLOOKUP(C605,A!A$1:AC$669,25,FALSE)="y",1,0)</f>
        <v>0</v>
      </c>
      <c r="K605" s="28">
        <f>IF(VLOOKUP(C605,A!A$1:AC$669,26,FALSE)="y",1,0)</f>
        <v>0</v>
      </c>
      <c r="L605" s="43" t="str">
        <f>IF(VLOOKUP(C605,A!A$1:AC$669,24,FALSE)="y","NEW","")</f>
        <v/>
      </c>
      <c r="M605" s="27">
        <f>VLOOKUP(C605,A!A$1:AC$669,27,FALSE)</f>
        <v>0</v>
      </c>
      <c r="N605" s="44" t="s">
        <v>31</v>
      </c>
      <c r="O605" s="533">
        <f>VLOOKUP(C605,A!A$1:AC$669,23,FALSE)</f>
        <v>0</v>
      </c>
      <c r="P605" s="533" t="s">
        <v>709</v>
      </c>
      <c r="Q605" s="533" t="str">
        <f>IF(S605=0,"",COUNTIF(Q$12:Q604,"&gt;0")+1)</f>
        <v/>
      </c>
      <c r="R605" s="533" t="str">
        <f>IF(S605=0,"",COUNTIF(R$12:R604,"&gt;0")+1)</f>
        <v/>
      </c>
      <c r="S605" s="533">
        <f t="shared" si="104"/>
        <v>0</v>
      </c>
      <c r="T605" s="533" t="str">
        <f>VLOOKUP(C605,A!A$1:AH$669,34,FALSE)</f>
        <v/>
      </c>
      <c r="U605" s="533">
        <v>0.1</v>
      </c>
      <c r="V605" s="533"/>
      <c r="W605" s="533"/>
      <c r="X605" s="533"/>
      <c r="Y605" s="533"/>
      <c r="Z605" s="533"/>
      <c r="AA605" s="533"/>
      <c r="AB605" s="533"/>
      <c r="AC605" s="533"/>
      <c r="AD605" s="533"/>
      <c r="AE605" s="533"/>
      <c r="AF605" s="533"/>
      <c r="AG605" s="533"/>
      <c r="AH605" s="533"/>
      <c r="AI605" s="533"/>
      <c r="AJ605" s="533"/>
      <c r="AK605" s="533"/>
      <c r="AL605" s="533"/>
      <c r="AM605" s="533"/>
      <c r="AN605" s="533"/>
      <c r="AO605" s="533"/>
      <c r="AP605" s="533"/>
      <c r="AQ605" s="533"/>
      <c r="AR605" s="533"/>
      <c r="AS605" s="533"/>
      <c r="AT605" s="533"/>
      <c r="AU605" s="533"/>
    </row>
    <row r="606" spans="1:47" ht="11.25" hidden="1" customHeight="1" thickBot="1" x14ac:dyDescent="0.3">
      <c r="A606" s="120"/>
      <c r="B606" s="587" t="s">
        <v>12</v>
      </c>
      <c r="C606" s="121" t="s">
        <v>714</v>
      </c>
      <c r="D606" s="643"/>
      <c r="E606" s="862"/>
      <c r="F606" s="122" t="s">
        <v>452</v>
      </c>
      <c r="G606" s="51" t="s">
        <v>453</v>
      </c>
      <c r="H606" s="52">
        <f>VLOOKUP(C606,A!A$1:AC$669,29,FALSE)</f>
        <v>0</v>
      </c>
      <c r="I606" s="52"/>
      <c r="J606" s="53">
        <f>IF(VLOOKUP(C606,A!A$1:AC$669,25,FALSE)="y",1,0)</f>
        <v>0</v>
      </c>
      <c r="K606" s="53">
        <f>IF(VLOOKUP(C606,A!A$1:AC$669,26,FALSE)="y",1,0)</f>
        <v>0</v>
      </c>
      <c r="L606" s="54" t="str">
        <f>IF(VLOOKUP(C606,A!A$1:AC$669,24,FALSE)="y","NEW","")</f>
        <v/>
      </c>
      <c r="M606" s="52">
        <f>VLOOKUP(C606,A!A$1:AC$669,27,FALSE)</f>
        <v>0</v>
      </c>
      <c r="N606" s="55">
        <v>2</v>
      </c>
      <c r="O606" s="533">
        <f>VLOOKUP(C606,A!A$1:AC$669,23,FALSE)</f>
        <v>0</v>
      </c>
      <c r="P606" s="533" t="s">
        <v>709</v>
      </c>
      <c r="Q606" s="533" t="str">
        <f>IF(S606=0,"",COUNTIF(Q$12:Q605,"&gt;0")+1)</f>
        <v/>
      </c>
      <c r="R606" s="533" t="str">
        <f>IF(S606=0,"",COUNTIF(R$12:R605,"&gt;0")+1)</f>
        <v/>
      </c>
      <c r="S606" s="533">
        <f t="shared" si="104"/>
        <v>0</v>
      </c>
      <c r="T606" s="533" t="str">
        <f>VLOOKUP(C606,A!A$1:AH$669,34,FALSE)</f>
        <v/>
      </c>
      <c r="U606" s="533">
        <v>0.1</v>
      </c>
      <c r="V606" s="533"/>
      <c r="W606" s="533"/>
      <c r="X606" s="533"/>
      <c r="Y606" s="533"/>
      <c r="Z606" s="533"/>
      <c r="AA606" s="533"/>
      <c r="AB606" s="533"/>
      <c r="AC606" s="533"/>
      <c r="AD606" s="533"/>
      <c r="AE606" s="533"/>
      <c r="AF606" s="533"/>
      <c r="AG606" s="533"/>
      <c r="AH606" s="533"/>
      <c r="AI606" s="533"/>
      <c r="AJ606" s="533"/>
      <c r="AK606" s="533"/>
      <c r="AL606" s="533"/>
      <c r="AM606" s="533"/>
      <c r="AN606" s="533"/>
      <c r="AO606" s="533"/>
      <c r="AP606" s="533"/>
      <c r="AQ606" s="533"/>
      <c r="AR606" s="533"/>
      <c r="AS606" s="533"/>
      <c r="AT606" s="533"/>
      <c r="AU606" s="533"/>
    </row>
    <row r="607" spans="1:47" hidden="1" x14ac:dyDescent="0.25">
      <c r="A607" s="56">
        <f>SUM(A593:A606)</f>
        <v>0</v>
      </c>
      <c r="B607" s="588" t="s">
        <v>12</v>
      </c>
      <c r="C607" s="57" t="s">
        <v>715</v>
      </c>
      <c r="D607" s="644"/>
      <c r="E607" s="863"/>
      <c r="F607" s="58"/>
      <c r="G607" s="58"/>
      <c r="H607" s="58"/>
      <c r="I607" s="58"/>
      <c r="J607" s="58"/>
      <c r="K607" s="58"/>
      <c r="L607" s="123"/>
      <c r="M607" s="58"/>
      <c r="N607" s="59"/>
      <c r="P607" s="533" t="s">
        <v>709</v>
      </c>
      <c r="Q607" s="533" t="str">
        <f>IF(S607=0,"",COUNTIF(Q$12:Q606,"&gt;0")+1)</f>
        <v/>
      </c>
      <c r="R607" s="533"/>
      <c r="S607" s="533">
        <f t="shared" si="104"/>
        <v>0</v>
      </c>
      <c r="T607" s="533"/>
      <c r="U607" s="533"/>
      <c r="V607" s="533"/>
      <c r="W607" s="533"/>
      <c r="X607" s="533"/>
      <c r="Y607" s="533"/>
      <c r="Z607" s="533"/>
      <c r="AA607" s="533"/>
      <c r="AB607" s="533"/>
      <c r="AC607" s="533"/>
      <c r="AD607" s="533"/>
      <c r="AE607" s="533"/>
      <c r="AF607" s="533"/>
      <c r="AG607" s="533"/>
      <c r="AH607" s="533"/>
      <c r="AI607" s="533"/>
      <c r="AJ607" s="533"/>
      <c r="AK607" s="533"/>
      <c r="AL607" s="533"/>
      <c r="AM607" s="533"/>
      <c r="AN607" s="533"/>
      <c r="AO607" s="533"/>
      <c r="AP607" s="533"/>
      <c r="AQ607" s="533"/>
      <c r="AR607" s="533"/>
      <c r="AS607" s="533"/>
      <c r="AT607" s="533"/>
      <c r="AU607" s="533"/>
    </row>
    <row r="608" spans="1:47" ht="12" hidden="1" customHeight="1" thickBot="1" x14ac:dyDescent="0.3">
      <c r="A608" s="2"/>
      <c r="L608" s="3"/>
      <c r="M608" s="2"/>
      <c r="P608" s="533"/>
      <c r="Q608" s="533" t="str">
        <f>IF(S608=0,"",COUNTIF(Q$12:Q607,"&gt;0")+1)</f>
        <v/>
      </c>
      <c r="R608" s="533" t="str">
        <f>IF(S608=0,"",COUNTIF(R$12:R607,"&gt;0")+1)</f>
        <v/>
      </c>
      <c r="S608" s="533"/>
      <c r="T608" s="533"/>
      <c r="U608" s="533"/>
      <c r="V608" s="533"/>
      <c r="W608" s="533"/>
      <c r="X608" s="533"/>
      <c r="Y608" s="533"/>
      <c r="Z608" s="533"/>
      <c r="AA608" s="533"/>
      <c r="AB608" s="533"/>
      <c r="AC608" s="533"/>
      <c r="AD608" s="533"/>
      <c r="AE608" s="533"/>
      <c r="AF608" s="533"/>
      <c r="AG608" s="533"/>
      <c r="AH608" s="533"/>
      <c r="AI608" s="533"/>
      <c r="AJ608" s="533"/>
      <c r="AK608" s="533"/>
      <c r="AL608" s="533"/>
      <c r="AM608" s="533"/>
      <c r="AN608" s="533"/>
      <c r="AO608" s="533"/>
      <c r="AP608" s="533"/>
      <c r="AQ608" s="533"/>
      <c r="AR608" s="533"/>
      <c r="AS608" s="533"/>
      <c r="AT608" s="533"/>
      <c r="AU608" s="533"/>
    </row>
    <row r="609" spans="1:47" ht="12" customHeight="1" x14ac:dyDescent="0.25">
      <c r="A609" s="1206" t="s">
        <v>11</v>
      </c>
      <c r="B609" s="1207"/>
      <c r="C609" s="1188" t="s">
        <v>1280</v>
      </c>
      <c r="D609" s="1189"/>
      <c r="E609" s="1189"/>
      <c r="F609" s="1189"/>
      <c r="G609" s="1123" t="s">
        <v>716</v>
      </c>
      <c r="H609" s="29"/>
      <c r="I609" s="29"/>
      <c r="J609" s="29"/>
      <c r="K609" s="29"/>
      <c r="L609" s="29"/>
      <c r="M609" s="29"/>
      <c r="N609" s="30"/>
      <c r="P609" s="533"/>
      <c r="Q609" s="533" t="str">
        <f>IF(S609=0,"",COUNTIF(Q$12:Q608,"&gt;0")+1)</f>
        <v/>
      </c>
      <c r="R609" s="533" t="str">
        <f>IF(S609=0,"",COUNTIF(R$12:R608,"&gt;0")+1)</f>
        <v/>
      </c>
      <c r="S609" s="533"/>
      <c r="T609" s="533"/>
      <c r="U609" s="533"/>
      <c r="V609" s="533"/>
      <c r="W609" s="533"/>
      <c r="X609" s="533"/>
      <c r="Y609" s="533"/>
      <c r="Z609" s="533"/>
      <c r="AA609" s="533"/>
      <c r="AB609" s="533"/>
      <c r="AC609" s="533"/>
      <c r="AD609" s="533"/>
      <c r="AE609" s="533"/>
      <c r="AF609" s="533"/>
      <c r="AG609" s="533"/>
      <c r="AH609" s="533"/>
      <c r="AI609" s="533"/>
      <c r="AJ609" s="1"/>
      <c r="AK609" s="533"/>
      <c r="AL609" s="533"/>
      <c r="AM609" s="533"/>
      <c r="AN609" s="533"/>
      <c r="AO609" s="533"/>
      <c r="AP609" s="533"/>
      <c r="AQ609" s="533"/>
      <c r="AR609" s="533"/>
      <c r="AS609" s="533"/>
      <c r="AT609" s="533"/>
      <c r="AU609" s="533"/>
    </row>
    <row r="610" spans="1:47" ht="15" customHeight="1" thickBot="1" x14ac:dyDescent="0.3">
      <c r="A610" s="1116" t="s">
        <v>1848</v>
      </c>
      <c r="B610" s="1150"/>
      <c r="C610" s="1190"/>
      <c r="D610" s="1191"/>
      <c r="E610" s="1191"/>
      <c r="F610" s="1191"/>
      <c r="G610" s="1124"/>
      <c r="H610" s="33" t="s">
        <v>15</v>
      </c>
      <c r="I610" s="32"/>
      <c r="J610" s="32"/>
      <c r="K610" s="32"/>
      <c r="L610" s="545"/>
      <c r="M610" s="32"/>
      <c r="N610" s="34" t="s">
        <v>16</v>
      </c>
      <c r="P610" s="533"/>
      <c r="Q610" s="533" t="str">
        <f>IF(S610=0,"",COUNTIF(Q$12:Q609,"&gt;0")+1)</f>
        <v/>
      </c>
      <c r="R610" s="533" t="str">
        <f>IF(S610=0,"",COUNTIF(R$12:R609,"&gt;0")+1)</f>
        <v/>
      </c>
      <c r="S610" s="533"/>
      <c r="T610" s="533"/>
      <c r="U610" s="533"/>
      <c r="V610" s="533"/>
      <c r="W610" s="533"/>
      <c r="X610" s="533"/>
      <c r="Y610" s="533"/>
      <c r="Z610" s="533"/>
      <c r="AA610" s="533"/>
      <c r="AB610" s="533"/>
      <c r="AC610" s="533"/>
      <c r="AD610" s="533"/>
      <c r="AE610" s="533"/>
      <c r="AF610" s="533"/>
      <c r="AG610" s="533"/>
      <c r="AH610" s="533"/>
      <c r="AI610" s="533"/>
      <c r="AJ610" s="1"/>
      <c r="AK610" s="533"/>
      <c r="AL610" s="533"/>
      <c r="AM610" s="533"/>
      <c r="AN610" s="533"/>
      <c r="AO610" s="533"/>
      <c r="AP610" s="533"/>
      <c r="AQ610" s="533"/>
      <c r="AR610" s="533"/>
      <c r="AS610" s="533"/>
      <c r="AT610" s="533"/>
      <c r="AU610" s="533"/>
    </row>
    <row r="611" spans="1:47" ht="13.5" customHeight="1" thickBot="1" x14ac:dyDescent="0.3">
      <c r="A611" s="35"/>
      <c r="B611" s="586" t="s">
        <v>12</v>
      </c>
      <c r="C611" s="701" t="s">
        <v>717</v>
      </c>
      <c r="D611" s="641"/>
      <c r="E611" s="880"/>
      <c r="F611" s="791">
        <v>5021353000221</v>
      </c>
      <c r="G611" s="118" t="s">
        <v>718</v>
      </c>
      <c r="H611" s="769">
        <f>VLOOKUP(C611,A!A$1:H$669,8,FALSE)</f>
        <v>1</v>
      </c>
      <c r="I611" s="769"/>
      <c r="J611" s="407">
        <f>IF(VLOOKUP(C611,A!A$1:H$669,4,FALSE)="y",1,0)</f>
        <v>1</v>
      </c>
      <c r="K611" s="407">
        <f>IF(VLOOKUP(C611,A!A$1:H$669,5,FALSE)="y",1,0)</f>
        <v>1</v>
      </c>
      <c r="L611" s="770"/>
      <c r="M611" s="769">
        <f>VLOOKUP(C611,A!A$1:H$669,6,FALSE)</f>
        <v>0</v>
      </c>
      <c r="N611" s="771">
        <v>3</v>
      </c>
      <c r="O611" s="533" t="str">
        <f>VLOOKUP(C611,A!A$1:G$669,2,FALSE)</f>
        <v>y</v>
      </c>
      <c r="P611" s="533" t="s">
        <v>719</v>
      </c>
      <c r="Q611" s="533" t="str">
        <f>IF(S611=0,"",COUNTIF(Q$12:Q610,"&gt;0")+1)</f>
        <v/>
      </c>
      <c r="R611" s="533" t="str">
        <f>IF(S611=0,"",COUNTIF(R$12:R610,"&gt;0")+1)</f>
        <v/>
      </c>
      <c r="S611" s="533">
        <f>A611+Y611</f>
        <v>0</v>
      </c>
      <c r="T611" s="533">
        <v>40</v>
      </c>
      <c r="U611" s="533">
        <v>0.125</v>
      </c>
      <c r="V611" s="533">
        <v>-2</v>
      </c>
      <c r="W611" s="533"/>
      <c r="X611" s="533"/>
      <c r="Y611" s="533">
        <f>A17*8+A19*4+A23*8+A25*4</f>
        <v>0</v>
      </c>
      <c r="Z611" s="533"/>
      <c r="AA611" s="533"/>
      <c r="AB611" s="533"/>
      <c r="AC611" s="533"/>
      <c r="AD611" s="533"/>
      <c r="AE611" s="533"/>
      <c r="AF611" s="533"/>
      <c r="AG611" s="533"/>
      <c r="AH611" s="533"/>
      <c r="AI611" s="533"/>
      <c r="AJ611" s="1"/>
      <c r="AK611" s="533"/>
      <c r="AL611" s="533"/>
      <c r="AM611" s="533"/>
      <c r="AN611" s="533"/>
      <c r="AO611" s="533"/>
      <c r="AP611" s="533"/>
      <c r="AQ611" s="533"/>
      <c r="AR611" s="533"/>
      <c r="AS611" s="533"/>
      <c r="AT611" s="533"/>
      <c r="AU611" s="533"/>
    </row>
    <row r="612" spans="1:47" ht="13.5" hidden="1" customHeight="1" x14ac:dyDescent="0.25">
      <c r="A612" s="41"/>
      <c r="B612" s="104" t="s">
        <v>12</v>
      </c>
      <c r="C612" s="695" t="s">
        <v>720</v>
      </c>
      <c r="D612" s="728"/>
      <c r="E612" s="711"/>
      <c r="F612" s="792">
        <v>5021353012200</v>
      </c>
      <c r="G612" s="26" t="s">
        <v>721</v>
      </c>
      <c r="H612" s="367">
        <f>VLOOKUP(C612,A!A$1:H$669,8,FALSE)</f>
        <v>1</v>
      </c>
      <c r="I612" s="367"/>
      <c r="J612" s="368">
        <f>IF(VLOOKUP(C612,A!A$1:H$669,4,FALSE)="y",1,0)</f>
        <v>1</v>
      </c>
      <c r="K612" s="368">
        <f>IF(VLOOKUP(C612,A!A$1:H$669,5,FALSE)="y",1,0)</f>
        <v>0</v>
      </c>
      <c r="L612" s="766"/>
      <c r="M612" s="367">
        <f>VLOOKUP(C612,A!A$1:H$669,6,FALSE)</f>
        <v>0</v>
      </c>
      <c r="N612" s="772">
        <v>3</v>
      </c>
      <c r="O612" s="533">
        <f>VLOOKUP(C612,A!A$1:G$669,2,FALSE)</f>
        <v>0</v>
      </c>
      <c r="P612" s="533" t="s">
        <v>719</v>
      </c>
      <c r="Q612" s="533" t="str">
        <f>IF(S612=0,"",COUNTIF(Q$12:Q611,"&gt;0")+1)</f>
        <v/>
      </c>
      <c r="R612" s="533" t="str">
        <f>IF(S612=0,"",COUNTIF(R$12:R611,"&gt;0")+1)</f>
        <v/>
      </c>
      <c r="S612" s="533">
        <f t="shared" ref="S612:S615" si="105">A612+Y612</f>
        <v>0</v>
      </c>
      <c r="T612" s="533">
        <v>40</v>
      </c>
      <c r="U612" s="533">
        <v>0.125</v>
      </c>
      <c r="V612" s="533">
        <v>-2</v>
      </c>
      <c r="W612" s="533"/>
      <c r="X612" s="533"/>
      <c r="Y612" s="533"/>
      <c r="Z612" s="533"/>
      <c r="AA612" s="533"/>
      <c r="AB612" s="533"/>
      <c r="AC612" s="533"/>
      <c r="AD612" s="533"/>
      <c r="AE612" s="533"/>
      <c r="AF612" s="533"/>
      <c r="AG612" s="533"/>
      <c r="AH612" s="533"/>
      <c r="AI612" s="533"/>
      <c r="AJ612" s="1"/>
      <c r="AK612" s="533"/>
      <c r="AL612" s="533"/>
      <c r="AM612" s="533"/>
      <c r="AN612" s="533"/>
      <c r="AO612" s="533"/>
      <c r="AP612" s="533"/>
      <c r="AQ612" s="533"/>
      <c r="AR612" s="533"/>
      <c r="AS612" s="533"/>
      <c r="AT612" s="533"/>
      <c r="AU612" s="533"/>
    </row>
    <row r="613" spans="1:47" ht="13.5" hidden="1" customHeight="1" x14ac:dyDescent="0.25">
      <c r="A613" s="41"/>
      <c r="B613" s="104" t="s">
        <v>12</v>
      </c>
      <c r="C613" s="695" t="s">
        <v>722</v>
      </c>
      <c r="D613" s="728"/>
      <c r="E613" s="711"/>
      <c r="F613" s="847">
        <v>5021353010138</v>
      </c>
      <c r="G613" s="26" t="s">
        <v>723</v>
      </c>
      <c r="H613" s="367">
        <f>VLOOKUP(C613,A!A$1:H$669,8,FALSE)</f>
        <v>2</v>
      </c>
      <c r="I613" s="367"/>
      <c r="J613" s="368">
        <f>IF(VLOOKUP(C613,A!A$1:H$669,4,FALSE)="y",1,0)</f>
        <v>0</v>
      </c>
      <c r="K613" s="368">
        <f>IF(VLOOKUP(C613,A!A$1:H$669,5,FALSE)="y",1,0)</f>
        <v>0</v>
      </c>
      <c r="L613" s="766"/>
      <c r="M613" s="367">
        <f>VLOOKUP(C613,A!A$1:H$669,6,FALSE)</f>
        <v>0</v>
      </c>
      <c r="N613" s="772">
        <v>3</v>
      </c>
      <c r="O613" s="533">
        <f>VLOOKUP(C613,A!A$1:G$669,2,FALSE)</f>
        <v>0</v>
      </c>
      <c r="P613" s="533" t="s">
        <v>719</v>
      </c>
      <c r="Q613" s="533" t="str">
        <f>IF(S613=0,"",COUNTIF(Q$12:Q612,"&gt;0")+1)</f>
        <v/>
      </c>
      <c r="R613" s="533" t="str">
        <f>IF(S613=0,"",COUNTIF(R$12:R612,"&gt;0")+1)</f>
        <v/>
      </c>
      <c r="S613" s="533">
        <f t="shared" si="105"/>
        <v>0</v>
      </c>
      <c r="T613" s="533">
        <v>40</v>
      </c>
      <c r="U613" s="533">
        <v>0.125</v>
      </c>
      <c r="V613" s="533">
        <v>-2</v>
      </c>
      <c r="W613" s="533"/>
      <c r="X613" s="533"/>
      <c r="Y613" s="533"/>
      <c r="Z613" s="533"/>
      <c r="AA613" s="533"/>
      <c r="AB613" s="533"/>
      <c r="AC613" s="533"/>
      <c r="AD613" s="533"/>
      <c r="AE613" s="533"/>
      <c r="AF613" s="533"/>
      <c r="AG613" s="533"/>
      <c r="AH613" s="533"/>
      <c r="AI613" s="533"/>
      <c r="AJ613" s="1"/>
      <c r="AK613" s="533"/>
      <c r="AL613" s="533"/>
      <c r="AM613" s="533"/>
      <c r="AN613" s="533"/>
      <c r="AO613" s="533"/>
      <c r="AP613" s="533"/>
      <c r="AQ613" s="533"/>
      <c r="AR613" s="533"/>
      <c r="AS613" s="533"/>
      <c r="AT613" s="533"/>
      <c r="AU613" s="533"/>
    </row>
    <row r="614" spans="1:47" ht="13.5" hidden="1" customHeight="1" thickBot="1" x14ac:dyDescent="0.3">
      <c r="A614" s="41"/>
      <c r="B614" s="104" t="s">
        <v>12</v>
      </c>
      <c r="C614" s="695" t="s">
        <v>724</v>
      </c>
      <c r="D614" s="728"/>
      <c r="E614" s="711"/>
      <c r="F614" s="847">
        <v>5021353010121</v>
      </c>
      <c r="G614" s="26" t="s">
        <v>725</v>
      </c>
      <c r="H614" s="367">
        <f>VLOOKUP(C614,A!A$1:H$669,8,FALSE)</f>
        <v>2</v>
      </c>
      <c r="I614" s="367"/>
      <c r="J614" s="368">
        <f>IF(VLOOKUP(C614,A!A$1:H$669,4,FALSE)="y",1,0)</f>
        <v>0</v>
      </c>
      <c r="K614" s="368">
        <f>IF(VLOOKUP(C614,A!A$1:H$669,5,FALSE)="y",1,0)</f>
        <v>0</v>
      </c>
      <c r="L614" s="766"/>
      <c r="M614" s="367">
        <f>VLOOKUP(C614,A!A$1:H$669,6,FALSE)</f>
        <v>0</v>
      </c>
      <c r="N614" s="772">
        <v>3</v>
      </c>
      <c r="O614" s="533">
        <f>VLOOKUP(C614,A!A$1:G$669,2,FALSE)</f>
        <v>0</v>
      </c>
      <c r="P614" s="533" t="s">
        <v>719</v>
      </c>
      <c r="Q614" s="533" t="str">
        <f>IF(S614=0,"",COUNTIF(Q$12:Q613,"&gt;0")+1)</f>
        <v/>
      </c>
      <c r="R614" s="533" t="str">
        <f>IF(S614=0,"",COUNTIF(R$12:R613,"&gt;0")+1)</f>
        <v/>
      </c>
      <c r="S614" s="533">
        <f t="shared" si="105"/>
        <v>0</v>
      </c>
      <c r="T614" s="533">
        <v>40</v>
      </c>
      <c r="U614" s="533">
        <v>0.125</v>
      </c>
      <c r="V614" s="533">
        <v>-2</v>
      </c>
      <c r="W614" s="533"/>
      <c r="X614" s="533"/>
      <c r="Y614" s="533"/>
      <c r="Z614" s="533"/>
      <c r="AA614" s="533"/>
      <c r="AB614" s="533"/>
      <c r="AC614" s="533"/>
      <c r="AD614" s="533"/>
      <c r="AE614" s="533"/>
      <c r="AF614" s="533"/>
      <c r="AG614" s="533"/>
      <c r="AH614" s="533"/>
      <c r="AI614" s="533"/>
      <c r="AJ614" s="1"/>
      <c r="AK614" s="533"/>
      <c r="AL614" s="533"/>
      <c r="AM614" s="533"/>
      <c r="AN614" s="533"/>
      <c r="AO614" s="533"/>
      <c r="AP614" s="533"/>
      <c r="AQ614" s="533"/>
      <c r="AR614" s="533"/>
      <c r="AS614" s="533"/>
      <c r="AT614" s="533"/>
      <c r="AU614" s="533"/>
    </row>
    <row r="615" spans="1:47" ht="13.5" customHeight="1" x14ac:dyDescent="0.25">
      <c r="A615" s="56">
        <f>SUM(A611:A614)</f>
        <v>0</v>
      </c>
      <c r="B615" s="588" t="s">
        <v>12</v>
      </c>
      <c r="C615" s="57" t="s">
        <v>726</v>
      </c>
      <c r="D615" s="644"/>
      <c r="E615" s="863"/>
      <c r="F615" s="58"/>
      <c r="G615" s="58"/>
      <c r="H615" s="58"/>
      <c r="I615" s="58"/>
      <c r="J615" s="58"/>
      <c r="K615" s="58"/>
      <c r="L615" s="123"/>
      <c r="M615" s="58"/>
      <c r="N615" s="59"/>
      <c r="O615" s="1068"/>
      <c r="P615" s="533" t="s">
        <v>719</v>
      </c>
      <c r="Q615" s="533" t="str">
        <f>IF(S615=0,"",COUNTIF(Q$12:Q614,"&gt;0")+1)</f>
        <v/>
      </c>
      <c r="R615" s="533"/>
      <c r="S615" s="533">
        <f t="shared" si="105"/>
        <v>0</v>
      </c>
      <c r="T615" s="533">
        <v>40</v>
      </c>
      <c r="U615" s="533">
        <f>SUM(S611:S614)*U611</f>
        <v>0</v>
      </c>
      <c r="V615" s="533">
        <v>-2</v>
      </c>
      <c r="W615" s="533"/>
      <c r="X615" s="533"/>
      <c r="Y615" s="533"/>
      <c r="Z615" s="533"/>
      <c r="AA615" s="533"/>
      <c r="AB615" s="533"/>
      <c r="AC615" s="533"/>
      <c r="AD615" s="533"/>
      <c r="AE615" s="533"/>
      <c r="AF615" s="533"/>
      <c r="AG615" s="533"/>
      <c r="AH615" s="533"/>
      <c r="AI615" s="533"/>
      <c r="AJ615" s="1"/>
      <c r="AK615" s="533"/>
      <c r="AL615" s="533"/>
      <c r="AM615" s="533"/>
      <c r="AN615" s="533"/>
      <c r="AO615" s="533"/>
      <c r="AP615" s="533"/>
      <c r="AQ615" s="533"/>
      <c r="AR615" s="533"/>
      <c r="AS615" s="533"/>
      <c r="AT615" s="533"/>
      <c r="AU615" s="533"/>
    </row>
    <row r="616" spans="1:47" ht="15.75" thickBot="1" x14ac:dyDescent="0.3">
      <c r="A616" s="23"/>
      <c r="B616" s="601"/>
      <c r="C616" s="96"/>
      <c r="L616" s="3"/>
      <c r="M616" s="2"/>
      <c r="N616" s="134"/>
      <c r="O616" s="1068"/>
      <c r="P616" s="533"/>
      <c r="Q616" s="533"/>
      <c r="R616" s="533"/>
      <c r="S616" s="533"/>
      <c r="T616" s="533"/>
      <c r="U616" s="533"/>
      <c r="V616" s="533"/>
      <c r="W616" s="533"/>
      <c r="X616" s="533"/>
      <c r="Y616" s="533"/>
      <c r="Z616" s="533"/>
      <c r="AA616" s="533"/>
      <c r="AB616" s="533"/>
      <c r="AC616" s="533"/>
      <c r="AD616" s="533"/>
      <c r="AE616" s="533"/>
      <c r="AF616" s="533"/>
      <c r="AG616" s="533"/>
      <c r="AH616" s="533"/>
      <c r="AI616" s="533"/>
      <c r="AJ616" s="1"/>
      <c r="AK616" s="533"/>
      <c r="AL616" s="533"/>
      <c r="AM616" s="533"/>
      <c r="AN616" s="533"/>
      <c r="AO616" s="533"/>
      <c r="AP616" s="533"/>
      <c r="AQ616" s="533"/>
      <c r="AR616" s="533"/>
      <c r="AS616" s="533"/>
      <c r="AT616" s="533"/>
      <c r="AU616" s="533"/>
    </row>
    <row r="617" spans="1:47" ht="13.5" hidden="1" customHeight="1" x14ac:dyDescent="0.25">
      <c r="A617" s="1218" t="s">
        <v>11</v>
      </c>
      <c r="B617" s="1219"/>
      <c r="C617" s="1220" t="s">
        <v>1839</v>
      </c>
      <c r="D617" s="1221"/>
      <c r="E617" s="1221"/>
      <c r="F617" s="1221"/>
      <c r="G617" s="1085" t="s">
        <v>1841</v>
      </c>
      <c r="H617" s="848" t="s">
        <v>1838</v>
      </c>
      <c r="I617" s="848"/>
      <c r="J617" s="848"/>
      <c r="K617" s="848"/>
      <c r="L617" s="848"/>
      <c r="M617" s="848"/>
      <c r="N617" s="983"/>
      <c r="O617" s="1068"/>
      <c r="P617" s="533"/>
      <c r="Q617" s="533"/>
      <c r="R617" s="533"/>
      <c r="S617" s="533"/>
      <c r="T617" s="533"/>
      <c r="U617" s="533"/>
      <c r="V617" s="533"/>
      <c r="W617" s="533"/>
      <c r="X617" s="533"/>
      <c r="Y617" s="533"/>
      <c r="Z617" s="533"/>
      <c r="AA617" s="533"/>
      <c r="AB617" s="533"/>
      <c r="AC617" s="533"/>
      <c r="AD617" s="533"/>
      <c r="AE617" s="533"/>
      <c r="AF617" s="533"/>
      <c r="AG617" s="533"/>
      <c r="AH617" s="533"/>
      <c r="AI617" s="533"/>
      <c r="AJ617" s="1"/>
      <c r="AK617" s="533"/>
      <c r="AL617" s="533"/>
      <c r="AM617" s="533"/>
      <c r="AN617" s="533"/>
      <c r="AO617" s="533"/>
      <c r="AP617" s="533"/>
      <c r="AQ617" s="533"/>
      <c r="AR617" s="533"/>
      <c r="AS617" s="533"/>
      <c r="AT617" s="533"/>
      <c r="AU617" s="533"/>
    </row>
    <row r="618" spans="1:47" ht="13.5" hidden="1" customHeight="1" thickBot="1" x14ac:dyDescent="0.3">
      <c r="A618" s="1087" t="s">
        <v>682</v>
      </c>
      <c r="B618" s="1088"/>
      <c r="C618" s="1222"/>
      <c r="D618" s="1223"/>
      <c r="E618" s="1223"/>
      <c r="F618" s="1223"/>
      <c r="G618" s="1086"/>
      <c r="H618" s="679" t="s">
        <v>15</v>
      </c>
      <c r="I618" s="984"/>
      <c r="J618" s="984"/>
      <c r="K618" s="984"/>
      <c r="L618" s="985"/>
      <c r="M618" s="984"/>
      <c r="N618" s="986"/>
      <c r="O618" s="1068"/>
      <c r="P618" s="533"/>
      <c r="Q618" s="533"/>
      <c r="R618" s="533"/>
      <c r="S618" s="533"/>
      <c r="T618" s="533"/>
      <c r="U618" s="533"/>
      <c r="V618" s="533"/>
      <c r="W618" s="533"/>
      <c r="X618" s="533"/>
      <c r="Y618" s="533"/>
      <c r="Z618" s="533"/>
      <c r="AA618" s="533"/>
      <c r="AB618" s="533"/>
      <c r="AC618" s="533"/>
      <c r="AD618" s="533"/>
      <c r="AE618" s="533"/>
      <c r="AF618" s="533"/>
      <c r="AG618" s="533"/>
      <c r="AH618" s="533"/>
      <c r="AI618" s="533"/>
      <c r="AJ618" s="1"/>
      <c r="AK618" s="533"/>
      <c r="AL618" s="533"/>
      <c r="AM618" s="533"/>
      <c r="AN618" s="533"/>
      <c r="AO618" s="533"/>
      <c r="AP618" s="533"/>
      <c r="AQ618" s="533"/>
      <c r="AR618" s="533"/>
      <c r="AS618" s="533"/>
      <c r="AT618" s="533"/>
      <c r="AU618" s="533"/>
    </row>
    <row r="619" spans="1:47" ht="13.5" hidden="1" customHeight="1" x14ac:dyDescent="0.25">
      <c r="A619" s="1046"/>
      <c r="B619" s="389" t="s">
        <v>1836</v>
      </c>
      <c r="C619" s="987" t="s">
        <v>1869</v>
      </c>
      <c r="D619" s="654"/>
      <c r="E619" s="807"/>
      <c r="F619" s="988" t="s">
        <v>737</v>
      </c>
      <c r="G619" s="989" t="s">
        <v>1837</v>
      </c>
      <c r="H619" s="382"/>
      <c r="I619" s="383"/>
      <c r="J619" s="969"/>
      <c r="K619" s="954"/>
      <c r="L619" s="385"/>
      <c r="M619" s="384"/>
      <c r="N619" s="386"/>
      <c r="O619" s="533">
        <f>VLOOKUP(C619,A!A$1:G$669,2,FALSE)</f>
        <v>0</v>
      </c>
      <c r="P619" s="533" t="s">
        <v>727</v>
      </c>
      <c r="Q619" s="533" t="str">
        <f>IF(S619=0,"",COUNTIF(Q$12:Q618,"&gt;0")+1)</f>
        <v/>
      </c>
      <c r="R619" s="533" t="str">
        <f>IF(S619=0,"",COUNTIF(R$12:R618,"&gt;0")+1)</f>
        <v/>
      </c>
      <c r="S619" s="533">
        <f t="shared" ref="S619:S620" si="106">A619+Y619+AB619</f>
        <v>0</v>
      </c>
      <c r="T619" s="533">
        <v>25</v>
      </c>
      <c r="U619" s="533">
        <v>0.2</v>
      </c>
      <c r="V619" s="533">
        <v>-1</v>
      </c>
      <c r="W619" s="533"/>
      <c r="X619" s="533"/>
      <c r="Y619" s="533"/>
      <c r="Z619" s="533" t="str">
        <f t="shared" ref="Z619:Z620" si="107">IFERROR(IF(O619="y",H619*-100-A619*1000-T619,""),"")</f>
        <v/>
      </c>
      <c r="AA619" s="533" t="str">
        <f>IFERROR(RANK(Z619,Z$627:Z$639,0)+COUNTIF(Z619:Z$627,Z619)-1,"")</f>
        <v/>
      </c>
      <c r="AB619" s="533">
        <f>IF(AA619&lt;=AB$624,1,0)+IF(O619="y",AB$623,0)</f>
        <v>0</v>
      </c>
      <c r="AC619" s="533"/>
      <c r="AD619" s="533"/>
      <c r="AE619" s="533"/>
      <c r="AF619" s="533"/>
      <c r="AG619" s="533"/>
      <c r="AH619" s="533"/>
      <c r="AI619" s="533"/>
      <c r="AJ619" s="1"/>
      <c r="AK619" s="533"/>
      <c r="AL619" s="533"/>
      <c r="AM619" s="533"/>
      <c r="AN619" s="533"/>
      <c r="AO619" s="533"/>
      <c r="AP619" s="533"/>
      <c r="AQ619" s="533"/>
      <c r="AR619" s="533"/>
      <c r="AS619" s="533"/>
      <c r="AT619" s="533"/>
      <c r="AU619" s="533"/>
    </row>
    <row r="620" spans="1:47" ht="13.5" hidden="1" customHeight="1" thickBot="1" x14ac:dyDescent="0.3">
      <c r="A620" s="1047"/>
      <c r="B620" s="607" t="s">
        <v>1836</v>
      </c>
      <c r="C620" s="990" t="s">
        <v>1870</v>
      </c>
      <c r="D620" s="658"/>
      <c r="E620" s="809"/>
      <c r="F620" s="991" t="s">
        <v>1840</v>
      </c>
      <c r="G620" s="849" t="s">
        <v>1837</v>
      </c>
      <c r="H620" s="408"/>
      <c r="I620" s="409"/>
      <c r="J620" s="410"/>
      <c r="K620" s="411"/>
      <c r="L620" s="412"/>
      <c r="M620" s="992"/>
      <c r="N620" s="993"/>
      <c r="O620" s="533">
        <f>VLOOKUP(C620,A!A$1:G$669,2,FALSE)</f>
        <v>0</v>
      </c>
      <c r="P620" s="533" t="s">
        <v>727</v>
      </c>
      <c r="Q620" s="533" t="str">
        <f>IF(S620=0,"",COUNTIF(Q$12:Q619,"&gt;0")+1)</f>
        <v/>
      </c>
      <c r="R620" s="533" t="str">
        <f>IF(S620=0,"",COUNTIF(R$12:R619,"&gt;0")+1)</f>
        <v/>
      </c>
      <c r="S620" s="533">
        <f t="shared" si="106"/>
        <v>0</v>
      </c>
      <c r="T620" s="533">
        <v>25</v>
      </c>
      <c r="U620" s="533">
        <v>0.2</v>
      </c>
      <c r="V620" s="533">
        <v>-1</v>
      </c>
      <c r="W620" s="533"/>
      <c r="X620" s="533"/>
      <c r="Y620" s="533"/>
      <c r="Z620" s="533" t="str">
        <f t="shared" si="107"/>
        <v/>
      </c>
      <c r="AA620" s="533" t="str">
        <f>IFERROR(RANK(Z620,Z$627:Z$639,0)+COUNTIF(Z620:Z$627,Z620)-1,"")</f>
        <v/>
      </c>
      <c r="AB620" s="533">
        <f>IF(AA620&lt;=AB$624,1,0)+IF(O620="y",AB$623,0)</f>
        <v>0</v>
      </c>
      <c r="AC620" s="533"/>
      <c r="AD620" s="533"/>
      <c r="AE620" s="533"/>
      <c r="AF620" s="533"/>
      <c r="AG620" s="533"/>
      <c r="AH620" s="533"/>
      <c r="AI620" s="533"/>
      <c r="AJ620" s="1"/>
      <c r="AK620" s="533"/>
      <c r="AL620" s="533"/>
      <c r="AM620" s="533"/>
      <c r="AN620" s="533"/>
      <c r="AO620" s="533"/>
      <c r="AP620" s="533"/>
      <c r="AQ620" s="533"/>
      <c r="AR620" s="533"/>
      <c r="AS620" s="533"/>
      <c r="AT620" s="533"/>
      <c r="AU620" s="533"/>
    </row>
    <row r="621" spans="1:47" ht="13.5" hidden="1" customHeight="1" x14ac:dyDescent="0.25">
      <c r="A621" s="947">
        <f>SUM(A619:A620)</f>
        <v>0</v>
      </c>
      <c r="B621" s="948"/>
      <c r="C621" s="721" t="s">
        <v>1835</v>
      </c>
      <c r="D621" s="949"/>
      <c r="E621" s="879"/>
      <c r="F621" s="751"/>
      <c r="G621" s="950"/>
      <c r="H621" s="23"/>
      <c r="I621" s="951"/>
      <c r="J621" s="952"/>
      <c r="K621" s="374"/>
      <c r="L621" s="953"/>
      <c r="M621"/>
      <c r="N621"/>
      <c r="O621" s="1068"/>
      <c r="P621" s="533"/>
      <c r="Q621" s="533"/>
      <c r="R621" s="533"/>
      <c r="S621" s="533"/>
      <c r="T621" s="533"/>
      <c r="U621" s="533"/>
      <c r="V621" s="533"/>
      <c r="W621" s="533"/>
      <c r="X621" s="533"/>
      <c r="Y621" s="533"/>
      <c r="Z621" s="533"/>
      <c r="AA621" s="533"/>
      <c r="AB621" s="533"/>
      <c r="AC621" s="533"/>
      <c r="AD621" s="533"/>
      <c r="AE621" s="533"/>
      <c r="AF621" s="533"/>
      <c r="AG621" s="533"/>
      <c r="AH621" s="533"/>
      <c r="AI621" s="533"/>
      <c r="AJ621" s="1"/>
      <c r="AK621" s="533"/>
      <c r="AL621" s="533"/>
      <c r="AM621" s="533"/>
      <c r="AN621" s="533"/>
      <c r="AO621" s="533"/>
      <c r="AP621" s="533"/>
      <c r="AQ621" s="533"/>
      <c r="AR621" s="533"/>
      <c r="AS621" s="533"/>
      <c r="AT621" s="533"/>
      <c r="AU621" s="533"/>
    </row>
    <row r="622" spans="1:47" ht="12" hidden="1" customHeight="1" thickBot="1" x14ac:dyDescent="0.3">
      <c r="A622" s="23"/>
      <c r="B622" s="601"/>
      <c r="C622" s="96"/>
      <c r="L622" s="3"/>
      <c r="M622" s="2"/>
      <c r="N622" s="134"/>
      <c r="O622" s="1068"/>
      <c r="P622" s="533"/>
      <c r="Q622" s="533" t="str">
        <f>IF(S622=0,"",COUNTIF(Q$12:Q615,"&gt;0")+1)</f>
        <v/>
      </c>
      <c r="R622" s="533" t="str">
        <f>IF(S622=0,"",COUNTIF(R$12:R615,"&gt;0")+1)</f>
        <v/>
      </c>
      <c r="S622" s="533"/>
      <c r="T622" s="533"/>
      <c r="U622" s="533"/>
      <c r="V622" s="533"/>
      <c r="W622" s="533"/>
      <c r="X622" s="533"/>
      <c r="Y622" s="533"/>
      <c r="Z622" s="533"/>
      <c r="AA622" s="533"/>
      <c r="AB622" s="533"/>
      <c r="AC622" s="533"/>
      <c r="AD622" s="533"/>
      <c r="AE622" s="533"/>
      <c r="AF622" s="533"/>
      <c r="AG622" s="533"/>
      <c r="AH622" s="533"/>
      <c r="AI622" s="533"/>
      <c r="AJ622" s="1"/>
      <c r="AK622" s="533"/>
      <c r="AL622" s="533"/>
      <c r="AM622" s="533"/>
      <c r="AN622" s="1"/>
      <c r="AO622" s="1"/>
    </row>
    <row r="623" spans="1:47" ht="12" customHeight="1" x14ac:dyDescent="0.25">
      <c r="A623" s="1224" t="s">
        <v>11</v>
      </c>
      <c r="B623" s="1225"/>
      <c r="C623" s="1243" t="s">
        <v>1862</v>
      </c>
      <c r="D623" s="1244"/>
      <c r="E623" s="1244"/>
      <c r="F623" s="1244"/>
      <c r="G623" s="1244"/>
      <c r="H623" s="848" t="s">
        <v>1791</v>
      </c>
      <c r="I623" s="387"/>
      <c r="J623" s="416"/>
      <c r="K623" s="416"/>
      <c r="L623" s="416"/>
      <c r="M623" s="416"/>
      <c r="N623" s="388"/>
      <c r="P623" s="533"/>
      <c r="Q623" s="533" t="str">
        <f>IF(S623=0,"",COUNTIF(Q$12:Q622,"&gt;0")+1)</f>
        <v/>
      </c>
      <c r="R623" s="533" t="str">
        <f>IF(S623=0,"",COUNTIF(R$12:R622,"&gt;0")+1)</f>
        <v/>
      </c>
      <c r="S623" s="533"/>
      <c r="T623" s="533"/>
      <c r="U623" s="533"/>
      <c r="V623" s="533"/>
      <c r="W623" s="533"/>
      <c r="X623" s="533"/>
      <c r="Y623" s="533"/>
      <c r="Z623" s="533"/>
      <c r="AA623" s="533"/>
      <c r="AB623" s="533">
        <f>ROUNDDOWN(AB625/COUNTIF(O627:O639,"y"),0)</f>
        <v>0</v>
      </c>
      <c r="AC623" s="533"/>
      <c r="AD623" s="533"/>
      <c r="AE623" s="533"/>
      <c r="AF623" s="533"/>
      <c r="AG623" s="533"/>
      <c r="AH623" s="533"/>
      <c r="AI623" s="533"/>
      <c r="AJ623" s="1"/>
      <c r="AK623" s="533"/>
      <c r="AL623" s="533"/>
      <c r="AM623" s="533"/>
      <c r="AN623" s="1"/>
      <c r="AO623" s="1"/>
    </row>
    <row r="624" spans="1:47" ht="12" customHeight="1" thickBot="1" x14ac:dyDescent="0.3">
      <c r="A624" s="1186" t="s">
        <v>1847</v>
      </c>
      <c r="B624" s="1187"/>
      <c r="C624" s="1249"/>
      <c r="D624" s="1250"/>
      <c r="E624" s="1250"/>
      <c r="F624" s="1250"/>
      <c r="G624" s="1250"/>
      <c r="H624" s="679" t="s">
        <v>15</v>
      </c>
      <c r="I624" s="680"/>
      <c r="J624" s="681"/>
      <c r="K624" s="681"/>
      <c r="L624" s="681"/>
      <c r="M624" s="681"/>
      <c r="N624" s="682"/>
      <c r="O624" s="1068" t="s">
        <v>17</v>
      </c>
      <c r="P624" s="533"/>
      <c r="Q624" s="533" t="str">
        <f>IF(S624=0,"",COUNTIF(Q$12:Q623,"&gt;0")+1)</f>
        <v/>
      </c>
      <c r="R624" s="533" t="str">
        <f>IF(S624=0,"",COUNTIF(R$12:R623,"&gt;0")+1)</f>
        <v/>
      </c>
      <c r="S624" s="533"/>
      <c r="T624" s="533"/>
      <c r="U624" s="533"/>
      <c r="V624" s="533"/>
      <c r="W624" s="533"/>
      <c r="X624" s="533"/>
      <c r="Y624" s="533"/>
      <c r="Z624" s="533"/>
      <c r="AA624" s="533"/>
      <c r="AB624" s="533">
        <f>AB625-COUNTIF(O627:O639,"y")*AB623</f>
        <v>0</v>
      </c>
      <c r="AC624" s="533"/>
      <c r="AD624" s="533"/>
      <c r="AE624" s="533"/>
      <c r="AF624" s="533"/>
      <c r="AG624" s="533"/>
      <c r="AH624" s="533"/>
      <c r="AI624" s="533"/>
      <c r="AJ624" s="1"/>
      <c r="AK624" s="533"/>
      <c r="AL624" s="533"/>
      <c r="AM624" s="533"/>
      <c r="AN624" s="1"/>
      <c r="AO624" s="1"/>
    </row>
    <row r="625" spans="1:41" ht="13.5" hidden="1" customHeight="1" thickBot="1" x14ac:dyDescent="0.3">
      <c r="A625" s="381"/>
      <c r="B625" s="389" t="s">
        <v>12</v>
      </c>
      <c r="C625" s="829" t="s">
        <v>1069</v>
      </c>
      <c r="D625" s="654"/>
      <c r="E625" s="807"/>
      <c r="F625" s="968"/>
      <c r="G625" s="391" t="s">
        <v>1244</v>
      </c>
      <c r="H625" s="382">
        <f>VLOOKUP(C625,A!A$1:H$669,8,FALSE)</f>
        <v>1</v>
      </c>
      <c r="I625" s="383"/>
      <c r="J625" s="969">
        <v>5021353014617</v>
      </c>
      <c r="K625" s="384">
        <v>5021353014617</v>
      </c>
      <c r="L625" s="385"/>
      <c r="M625" s="384"/>
      <c r="N625" s="386"/>
      <c r="O625" s="533">
        <f>VLOOKUP(C625,A!A$1:G$669,2,FALSE)</f>
        <v>0</v>
      </c>
      <c r="P625" s="533" t="s">
        <v>727</v>
      </c>
      <c r="Q625" s="533" t="str">
        <f>IF(S625=0,"",COUNTIF(Q$12:Q624,"&gt;0")+1)</f>
        <v/>
      </c>
      <c r="R625" s="533"/>
      <c r="S625" s="533">
        <f>A625+A37*5</f>
        <v>0</v>
      </c>
      <c r="T625" s="533">
        <v>25</v>
      </c>
      <c r="U625" s="533">
        <v>0.17499999999999999</v>
      </c>
      <c r="V625" s="533">
        <v>-1</v>
      </c>
      <c r="W625" s="533"/>
      <c r="X625" s="533"/>
      <c r="Y625" s="533"/>
      <c r="Z625" s="533"/>
      <c r="AA625" s="533"/>
      <c r="AB625" s="533"/>
      <c r="AC625" s="533"/>
      <c r="AD625" s="533"/>
      <c r="AE625" s="533"/>
      <c r="AF625" s="533"/>
      <c r="AG625" s="533"/>
      <c r="AH625" s="533"/>
      <c r="AI625" s="533"/>
      <c r="AJ625" s="1"/>
      <c r="AK625" s="533"/>
      <c r="AL625" s="533"/>
      <c r="AM625" s="533"/>
      <c r="AN625" s="1"/>
      <c r="AO625" s="1"/>
    </row>
    <row r="626" spans="1:41" ht="13.5" hidden="1" customHeight="1" thickBot="1" x14ac:dyDescent="0.3">
      <c r="A626" s="395"/>
      <c r="B626" s="602" t="s">
        <v>18</v>
      </c>
      <c r="C626" s="830" t="s">
        <v>1243</v>
      </c>
      <c r="D626" s="655"/>
      <c r="E626" s="806"/>
      <c r="F626" s="602"/>
      <c r="G626" s="391" t="s">
        <v>1244</v>
      </c>
      <c r="H626" s="396">
        <v>1</v>
      </c>
      <c r="I626" s="397"/>
      <c r="J626" s="398">
        <v>5021353014617</v>
      </c>
      <c r="K626" s="384">
        <v>5021353014617</v>
      </c>
      <c r="L626" s="399"/>
      <c r="M626" s="398"/>
      <c r="N626" s="400"/>
      <c r="O626" s="533">
        <f>VLOOKUP(C626,A!A$1:G$669,2,FALSE)</f>
        <v>0</v>
      </c>
      <c r="P626" s="533" t="s">
        <v>727</v>
      </c>
      <c r="Q626" s="533" t="str">
        <f>IF(S626=0,"",COUNTIF(Q$12:Q625,"&gt;0")+1)</f>
        <v/>
      </c>
      <c r="R626" s="533"/>
      <c r="S626" s="533">
        <f>A626</f>
        <v>0</v>
      </c>
      <c r="T626" s="533">
        <v>25</v>
      </c>
      <c r="U626" s="533">
        <v>0.17499999999999999</v>
      </c>
      <c r="V626" s="533">
        <v>-1</v>
      </c>
      <c r="W626" s="533"/>
      <c r="X626" s="533"/>
      <c r="Y626" s="533"/>
      <c r="Z626" s="533"/>
      <c r="AA626" s="533"/>
      <c r="AB626" s="533">
        <f>S626*5+S627</f>
        <v>0</v>
      </c>
      <c r="AC626" s="533"/>
      <c r="AD626" s="533"/>
      <c r="AE626" s="533"/>
      <c r="AF626" s="533"/>
      <c r="AG626" s="533"/>
      <c r="AH626" s="533"/>
      <c r="AI626" s="533"/>
      <c r="AJ626" s="1"/>
      <c r="AK626" s="533"/>
      <c r="AL626" s="533"/>
      <c r="AM626" s="533"/>
      <c r="AN626" s="1"/>
      <c r="AO626" s="1"/>
    </row>
    <row r="627" spans="1:41" ht="13.5" hidden="1" customHeight="1" thickBot="1" x14ac:dyDescent="0.3">
      <c r="A627" s="390"/>
      <c r="B627" s="603" t="s">
        <v>18</v>
      </c>
      <c r="C627" s="831" t="s">
        <v>1194</v>
      </c>
      <c r="D627" s="656"/>
      <c r="E627" s="805"/>
      <c r="F627" s="802" t="s">
        <v>736</v>
      </c>
      <c r="G627" s="391" t="s">
        <v>1244</v>
      </c>
      <c r="H627" s="392">
        <f>VLOOKUP(C627,A!A$1:H$669,8,FALSE)</f>
        <v>1</v>
      </c>
      <c r="I627" s="393" t="s">
        <v>30</v>
      </c>
      <c r="J627" s="403">
        <v>5021353015356</v>
      </c>
      <c r="K627" s="384">
        <v>5021353014617</v>
      </c>
      <c r="L627" s="394"/>
      <c r="M627" s="826"/>
      <c r="N627" s="972"/>
      <c r="O627" s="533">
        <f>VLOOKUP(C627,A!A$1:G$669,2,FALSE)</f>
        <v>0</v>
      </c>
      <c r="P627" s="533" t="s">
        <v>727</v>
      </c>
      <c r="Q627" s="533" t="str">
        <f>IF(S627=0,"",COUNTIF(Q$12:Q626,"&gt;0")+1)</f>
        <v/>
      </c>
      <c r="R627" s="533" t="str">
        <f>IF(S627=0,"",COUNTIF(R$12:R626,"&gt;0")+1)</f>
        <v/>
      </c>
      <c r="S627" s="533">
        <f t="shared" ref="S627:S640" si="108">A627+Y627+AB627</f>
        <v>0</v>
      </c>
      <c r="T627" s="533">
        <v>25</v>
      </c>
      <c r="U627" s="533">
        <v>0.17499999999999999</v>
      </c>
      <c r="V627" s="533">
        <v>-1</v>
      </c>
      <c r="W627" s="533"/>
      <c r="X627" s="533"/>
      <c r="Y627" s="533"/>
      <c r="Z627" s="533" t="str">
        <f>IFERROR(IF(AND(O627="y",IF(AND(A627&lt;&gt;"",A627=0),0,1)),H627*-100-A627*1000-T627,""),"")</f>
        <v/>
      </c>
      <c r="AA627" s="533" t="str">
        <f>IFERROR(RANK(Z627,Z$627:Z$639,0)+COUNTIF(Z$627:Z627,Z627)-1,"")</f>
        <v/>
      </c>
      <c r="AB627" s="533">
        <f t="shared" ref="AB627:AB639" si="109">IF(AA627&lt;=AB$624,1,0)+IF(O627="y",AB$623,0)</f>
        <v>0</v>
      </c>
      <c r="AC627" s="533"/>
      <c r="AD627" s="533"/>
      <c r="AE627" s="533"/>
      <c r="AF627" s="533"/>
      <c r="AG627" s="533"/>
      <c r="AH627" s="533"/>
      <c r="AI627" s="533"/>
      <c r="AJ627" s="1"/>
      <c r="AK627" s="533"/>
      <c r="AL627" s="533"/>
      <c r="AM627" s="533"/>
      <c r="AN627" s="1"/>
      <c r="AO627" s="1"/>
    </row>
    <row r="628" spans="1:41" ht="13.5" hidden="1" customHeight="1" thickBot="1" x14ac:dyDescent="0.3">
      <c r="A628" s="982"/>
      <c r="B628" s="604" t="s">
        <v>18</v>
      </c>
      <c r="C628" s="830" t="s">
        <v>1195</v>
      </c>
      <c r="D628" s="655"/>
      <c r="E628" s="806"/>
      <c r="F628" s="718" t="s">
        <v>737</v>
      </c>
      <c r="G628" s="391" t="s">
        <v>1244</v>
      </c>
      <c r="H628" s="325" t="e">
        <f>VLOOKUP(C628,A!A$1:H$669,8,FALSE)</f>
        <v>#N/A</v>
      </c>
      <c r="I628" s="326" t="s">
        <v>30</v>
      </c>
      <c r="J628" s="404">
        <v>5021353015225</v>
      </c>
      <c r="K628" s="384">
        <v>5021353014617</v>
      </c>
      <c r="L628" s="971"/>
      <c r="M628" s="327"/>
      <c r="N628" s="375"/>
      <c r="O628" s="533" t="e">
        <f>VLOOKUP(C628,A!A$1:G$669,2,FALSE)</f>
        <v>#N/A</v>
      </c>
      <c r="P628" s="533" t="s">
        <v>727</v>
      </c>
      <c r="Q628" s="533" t="e">
        <f>IF(S628=0,"",COUNTIF(Q$12:Q627,"&gt;0")+1)</f>
        <v>#N/A</v>
      </c>
      <c r="R628" s="533" t="e">
        <f>IF(S628=0,"",COUNTIF(R$12:R627,"&gt;0")+1)</f>
        <v>#N/A</v>
      </c>
      <c r="S628" s="533" t="e">
        <f t="shared" si="108"/>
        <v>#N/A</v>
      </c>
      <c r="T628" s="533">
        <v>25</v>
      </c>
      <c r="U628" s="533">
        <v>0.17499999999999999</v>
      </c>
      <c r="V628" s="533">
        <v>-1</v>
      </c>
      <c r="W628" s="533"/>
      <c r="X628" s="533"/>
      <c r="Y628" s="533"/>
      <c r="Z628" s="533" t="str">
        <f>IFERROR(IF(AND(O628="y",IF(AND(A628&lt;&gt;"",A628=0),0,1)),H628*-100-A628*1000-T628,""),"")</f>
        <v/>
      </c>
      <c r="AA628" s="533" t="str">
        <f>IFERROR(RANK(Z628,Z$627:Z$639,0)+COUNTIF(Z$627:Z628,Z628)-1,"")</f>
        <v/>
      </c>
      <c r="AB628" s="533" t="e">
        <f t="shared" si="109"/>
        <v>#N/A</v>
      </c>
      <c r="AC628" s="533"/>
      <c r="AD628" s="533"/>
      <c r="AE628" s="533"/>
      <c r="AF628" s="533"/>
      <c r="AG628" s="533"/>
      <c r="AH628" s="533"/>
      <c r="AI628" s="533"/>
      <c r="AJ628" s="1"/>
      <c r="AK628" s="533"/>
      <c r="AL628" s="533"/>
      <c r="AM628" s="533"/>
      <c r="AN628" s="1"/>
      <c r="AO628" s="1"/>
    </row>
    <row r="629" spans="1:41" ht="13.5" hidden="1" customHeight="1" thickBot="1" x14ac:dyDescent="0.3">
      <c r="A629" s="376"/>
      <c r="B629" s="605" t="s">
        <v>18</v>
      </c>
      <c r="C629" s="830" t="s">
        <v>1197</v>
      </c>
      <c r="D629" s="655"/>
      <c r="E629" s="806"/>
      <c r="F629" s="718" t="s">
        <v>739</v>
      </c>
      <c r="G629" s="391" t="s">
        <v>1244</v>
      </c>
      <c r="H629" s="320">
        <f>VLOOKUP(C629,A!A$1:H$669,8,FALSE)</f>
        <v>1</v>
      </c>
      <c r="I629" s="328" t="s">
        <v>30</v>
      </c>
      <c r="J629" s="405">
        <v>5021353015324</v>
      </c>
      <c r="K629" s="384">
        <v>5021353014617</v>
      </c>
      <c r="L629" s="335"/>
      <c r="M629" s="329"/>
      <c r="N629" s="377"/>
      <c r="O629" s="533">
        <f>VLOOKUP(C629,A!A$1:G$669,2,FALSE)</f>
        <v>0</v>
      </c>
      <c r="P629" s="533" t="s">
        <v>727</v>
      </c>
      <c r="Q629" s="533" t="str">
        <f>IF(S629=0,"",COUNTIF(Q$12:Q628,"&gt;0")+1)</f>
        <v/>
      </c>
      <c r="R629" s="533" t="str">
        <f>IF(S629=0,"",COUNTIF(R$12:R628,"&gt;0")+1)</f>
        <v/>
      </c>
      <c r="S629" s="533">
        <f t="shared" si="108"/>
        <v>0</v>
      </c>
      <c r="T629" s="533">
        <v>25</v>
      </c>
      <c r="U629" s="533">
        <v>0.17499999999999999</v>
      </c>
      <c r="V629" s="533">
        <v>-1</v>
      </c>
      <c r="W629" s="533"/>
      <c r="X629" s="533"/>
      <c r="Y629" s="533"/>
      <c r="Z629" s="533" t="str">
        <f>IFERROR(IF(AND(O629="y",IF(AND(A629&lt;&gt;"",A629=0),0,1)),H629*-100-A629*1000-T629,""),"")</f>
        <v/>
      </c>
      <c r="AA629" s="533" t="str">
        <f>IFERROR(RANK(Z629,Z$627:Z$639,0)+COUNTIF(Z$627:Z629,Z629)-1,"")</f>
        <v/>
      </c>
      <c r="AB629" s="533">
        <f t="shared" si="109"/>
        <v>0</v>
      </c>
      <c r="AC629" s="533"/>
      <c r="AD629" s="533"/>
      <c r="AE629" s="533"/>
      <c r="AF629" s="533"/>
      <c r="AG629" s="533"/>
      <c r="AH629" s="533"/>
      <c r="AI629" s="533"/>
      <c r="AJ629" s="1"/>
      <c r="AK629" s="533"/>
      <c r="AL629" s="533"/>
      <c r="AM629" s="533"/>
      <c r="AN629" s="1"/>
      <c r="AO629" s="1"/>
    </row>
    <row r="630" spans="1:41" ht="13.5" hidden="1" customHeight="1" thickBot="1" x14ac:dyDescent="0.3">
      <c r="A630" s="976"/>
      <c r="B630" s="977" t="s">
        <v>18</v>
      </c>
      <c r="C630" s="994" t="s">
        <v>1070</v>
      </c>
      <c r="D630" s="995"/>
      <c r="E630" s="996"/>
      <c r="F630" s="997" t="s">
        <v>731</v>
      </c>
      <c r="G630" s="998" t="s">
        <v>1244</v>
      </c>
      <c r="H630" s="128">
        <f>VLOOKUP(C630,A!A$1:H$669,8,FALSE)</f>
        <v>1</v>
      </c>
      <c r="I630" s="951" t="s">
        <v>30</v>
      </c>
      <c r="J630" s="978">
        <v>5021353014617</v>
      </c>
      <c r="K630" s="954">
        <v>5021353014617</v>
      </c>
      <c r="L630" s="979"/>
      <c r="M630" s="980"/>
      <c r="N630" s="981"/>
      <c r="O630" s="533">
        <f>VLOOKUP(C630,A!A$1:G$669,2,FALSE)</f>
        <v>0</v>
      </c>
      <c r="P630" s="533" t="s">
        <v>727</v>
      </c>
      <c r="Q630" s="533" t="str">
        <f>IF(S630=0,"",COUNTIF(Q$12:Q629,"&gt;0")+1)</f>
        <v/>
      </c>
      <c r="R630" s="533" t="str">
        <f>IF(S630=0,"",COUNTIF(R$12:R629,"&gt;0")+1)</f>
        <v/>
      </c>
      <c r="S630" s="533">
        <f t="shared" si="108"/>
        <v>0</v>
      </c>
      <c r="T630" s="533">
        <v>25</v>
      </c>
      <c r="U630" s="533">
        <v>0.17499999999999999</v>
      </c>
      <c r="V630" s="533">
        <v>-1</v>
      </c>
      <c r="W630" s="533"/>
      <c r="X630" s="533"/>
      <c r="Y630" s="533"/>
      <c r="Z630" s="533" t="str">
        <f>IFERROR(IF(O630="y",H630*-100-A630*1000-T630,""),"")</f>
        <v/>
      </c>
      <c r="AA630" s="533" t="str">
        <f>IFERROR(RANK(Z630,Z$627:Z$639,0)+COUNTIF(Z$627:Z630,Z630)-1,"")</f>
        <v/>
      </c>
      <c r="AB630" s="533">
        <f t="shared" si="109"/>
        <v>0</v>
      </c>
      <c r="AC630" s="533"/>
      <c r="AD630" s="533"/>
      <c r="AE630" s="533"/>
      <c r="AF630" s="533"/>
      <c r="AG630" s="533"/>
      <c r="AH630" s="533"/>
      <c r="AI630" s="533"/>
      <c r="AJ630" s="1"/>
      <c r="AK630" s="533"/>
      <c r="AL630" s="533"/>
      <c r="AM630" s="533"/>
      <c r="AN630" s="1"/>
      <c r="AO630" s="1"/>
    </row>
    <row r="631" spans="1:41" ht="13.5" customHeight="1" thickBot="1" x14ac:dyDescent="0.3">
      <c r="A631" s="1016"/>
      <c r="B631" s="1017" t="s">
        <v>18</v>
      </c>
      <c r="C631" s="1018" t="s">
        <v>1842</v>
      </c>
      <c r="D631" s="1019"/>
      <c r="E631" s="1020"/>
      <c r="F631" s="1021" t="s">
        <v>291</v>
      </c>
      <c r="G631" s="1035" t="s">
        <v>1244</v>
      </c>
      <c r="H631" s="1022">
        <f>VLOOKUP(C631,A!A$1:H$669,8,FALSE)</f>
        <v>1</v>
      </c>
      <c r="I631" s="1023" t="s">
        <v>30</v>
      </c>
      <c r="J631" s="1024">
        <v>5021353014617</v>
      </c>
      <c r="K631" s="1025">
        <v>5021353014617</v>
      </c>
      <c r="L631" s="1026"/>
      <c r="M631" s="1027"/>
      <c r="N631" s="1028"/>
      <c r="O631" s="533" t="str">
        <f>VLOOKUP(C631,A!A$1:G$669,2,FALSE)</f>
        <v>y</v>
      </c>
      <c r="P631" s="533" t="s">
        <v>727</v>
      </c>
      <c r="Q631" s="533" t="str">
        <f>IF(S631=0,"",COUNTIF(Q$12:Q630,"&gt;0")+1)</f>
        <v/>
      </c>
      <c r="R631" s="533" t="str">
        <f>IF(S631=0,"",COUNTIF(R$12:R630,"&gt;0")+1)</f>
        <v/>
      </c>
      <c r="S631" s="533">
        <f t="shared" si="108"/>
        <v>0</v>
      </c>
      <c r="T631" s="533">
        <v>25</v>
      </c>
      <c r="U631" s="533">
        <v>0.17499999999999999</v>
      </c>
      <c r="V631" s="533">
        <v>-1</v>
      </c>
      <c r="W631" s="533"/>
      <c r="X631" s="533"/>
      <c r="Y631" s="533"/>
      <c r="Z631" s="533">
        <f>IFERROR(IF(O631="y",H631*-100-A631*1000-T631,""),"")</f>
        <v>-125</v>
      </c>
      <c r="AA631" s="533">
        <f>IFERROR(RANK(Z631,Z$627:Z$639,0)+COUNTIF(Z$627:Z631,Z631)-1,"")</f>
        <v>1</v>
      </c>
      <c r="AB631" s="533">
        <f t="shared" si="109"/>
        <v>0</v>
      </c>
      <c r="AC631" s="533"/>
      <c r="AD631" s="533"/>
      <c r="AE631" s="533"/>
      <c r="AF631" s="533"/>
      <c r="AG631" s="533"/>
      <c r="AH631" s="533"/>
      <c r="AI631" s="533"/>
      <c r="AJ631" s="1"/>
      <c r="AK631" s="533"/>
      <c r="AL631" s="533"/>
      <c r="AM631" s="533"/>
      <c r="AN631" s="1"/>
      <c r="AO631" s="1"/>
    </row>
    <row r="632" spans="1:41" ht="13.5" hidden="1" customHeight="1" thickBot="1" x14ac:dyDescent="0.3">
      <c r="A632" s="999"/>
      <c r="B632" s="1000" t="s">
        <v>18</v>
      </c>
      <c r="C632" s="1001" t="s">
        <v>1193</v>
      </c>
      <c r="D632" s="1002"/>
      <c r="E632" s="1003"/>
      <c r="F632" s="1004" t="s">
        <v>314</v>
      </c>
      <c r="G632" s="1035" t="s">
        <v>1244</v>
      </c>
      <c r="H632" s="136">
        <f>VLOOKUP(C632,A!A$1:H$669,8,FALSE)</f>
        <v>1</v>
      </c>
      <c r="I632" s="1005" t="s">
        <v>30</v>
      </c>
      <c r="J632" s="1006">
        <v>5021353015355</v>
      </c>
      <c r="K632" s="905">
        <v>5021353014617</v>
      </c>
      <c r="L632" s="1007"/>
      <c r="M632" s="1008"/>
      <c r="N632" s="1009"/>
      <c r="O632" s="533">
        <f>VLOOKUP(C632,A!A$1:G$669,2,FALSE)</f>
        <v>0</v>
      </c>
      <c r="P632" s="533" t="s">
        <v>727</v>
      </c>
      <c r="Q632" s="533" t="str">
        <f>IF(S632=0,"",COUNTIF(Q$12:Q631,"&gt;0")+1)</f>
        <v/>
      </c>
      <c r="R632" s="533" t="str">
        <f>IF(S632=0,"",COUNTIF(R$12:R631,"&gt;0")+1)</f>
        <v/>
      </c>
      <c r="S632" s="533">
        <f t="shared" si="108"/>
        <v>0</v>
      </c>
      <c r="T632" s="533">
        <v>25</v>
      </c>
      <c r="U632" s="533">
        <v>0.17499999999999999</v>
      </c>
      <c r="V632" s="533">
        <v>-1</v>
      </c>
      <c r="W632" s="533"/>
      <c r="X632" s="533"/>
      <c r="Y632" s="533"/>
      <c r="Z632" s="533" t="str">
        <f>IFERROR(IF(AND(O632="y",IF(AND(A632&lt;&gt;"",A632=0),0,1)),H632*-100-A632*1000-T632,""),"")</f>
        <v/>
      </c>
      <c r="AA632" s="533" t="str">
        <f>IFERROR(RANK(Z632,Z$627:Z$639,0)+COUNTIF(Z$627:Z632,Z632)-1,"")</f>
        <v/>
      </c>
      <c r="AB632" s="533">
        <f t="shared" si="109"/>
        <v>0</v>
      </c>
      <c r="AC632" s="533"/>
      <c r="AD632" s="533"/>
      <c r="AE632" s="533"/>
      <c r="AF632" s="533"/>
      <c r="AG632" s="533"/>
      <c r="AH632" s="533"/>
      <c r="AI632" s="533"/>
      <c r="AJ632" s="1"/>
      <c r="AK632" s="533"/>
      <c r="AL632" s="533"/>
      <c r="AM632" s="533"/>
      <c r="AN632" s="1"/>
      <c r="AO632" s="1"/>
    </row>
    <row r="633" spans="1:41" ht="13.5" customHeight="1" thickBot="1" x14ac:dyDescent="0.3">
      <c r="A633" s="1029"/>
      <c r="B633" s="1041" t="s">
        <v>18</v>
      </c>
      <c r="C633" s="1045" t="s">
        <v>1073</v>
      </c>
      <c r="D633" s="1042"/>
      <c r="E633" s="1043"/>
      <c r="F633" s="1044" t="s">
        <v>740</v>
      </c>
      <c r="G633" s="1035" t="s">
        <v>1244</v>
      </c>
      <c r="H633" s="1036">
        <v>1</v>
      </c>
      <c r="I633" s="908"/>
      <c r="J633" s="1037">
        <v>5021353015287</v>
      </c>
      <c r="K633" s="1038">
        <v>5021353014617</v>
      </c>
      <c r="L633" s="1039"/>
      <c r="M633" s="1038"/>
      <c r="N633" s="1040"/>
      <c r="O633" s="533" t="s">
        <v>32</v>
      </c>
      <c r="P633" s="533" t="s">
        <v>727</v>
      </c>
      <c r="Q633" s="533" t="str">
        <f>IF(S633=0,"",COUNTIF(Q$12:Q632,"&gt;0")+1)</f>
        <v/>
      </c>
      <c r="R633" s="533" t="str">
        <f>IF(S633=0,"",COUNTIF(R$12:R632,"&gt;0")+1)</f>
        <v/>
      </c>
      <c r="S633" s="533">
        <f t="shared" si="108"/>
        <v>0</v>
      </c>
      <c r="T633" s="533">
        <v>25</v>
      </c>
      <c r="U633" s="533">
        <v>0.17499999999999999</v>
      </c>
      <c r="V633" s="533">
        <v>-1</v>
      </c>
      <c r="W633" s="533"/>
      <c r="X633" s="533"/>
      <c r="Y633" s="533"/>
      <c r="Z633" s="533">
        <v>-2125</v>
      </c>
      <c r="AA633" s="533">
        <v>1</v>
      </c>
      <c r="AB633" s="533">
        <v>0</v>
      </c>
      <c r="AC633" s="533"/>
      <c r="AD633" s="533"/>
      <c r="AE633" s="533"/>
      <c r="AF633" s="533"/>
      <c r="AG633" s="533"/>
      <c r="AH633" s="533"/>
      <c r="AI633" s="533"/>
      <c r="AJ633" s="1"/>
      <c r="AK633" s="533"/>
      <c r="AL633" s="533"/>
      <c r="AM633" s="533"/>
      <c r="AN633" s="1"/>
      <c r="AO633" s="1"/>
    </row>
    <row r="634" spans="1:41" ht="13.5" hidden="1" customHeight="1" thickBot="1" x14ac:dyDescent="0.3">
      <c r="A634" s="1029"/>
      <c r="B634" s="1030" t="s">
        <v>18</v>
      </c>
      <c r="C634" s="1031" t="str">
        <f>A!A426</f>
        <v>Floating Tub Callitriche</v>
      </c>
      <c r="D634" s="1032"/>
      <c r="E634" s="1033"/>
      <c r="F634" s="1034" t="s">
        <v>740</v>
      </c>
      <c r="G634" s="1035" t="s">
        <v>1244</v>
      </c>
      <c r="H634" s="1036">
        <f>VLOOKUP(C634,A!A$1:H$669,8,FALSE)</f>
        <v>1</v>
      </c>
      <c r="I634" s="908"/>
      <c r="J634" s="1037">
        <v>5021353015287</v>
      </c>
      <c r="K634" s="1038">
        <v>5021353014617</v>
      </c>
      <c r="L634" s="1039"/>
      <c r="M634" s="1038"/>
      <c r="N634" s="1040"/>
      <c r="O634" s="533">
        <f>VLOOKUP(C634,A!A$1:G$669,2,FALSE)</f>
        <v>0</v>
      </c>
      <c r="P634" s="533" t="s">
        <v>727</v>
      </c>
      <c r="Q634" s="533" t="str">
        <f>IF(S634=0,"",COUNTIF(Q$12:Q633,"&gt;0")+1)</f>
        <v/>
      </c>
      <c r="R634" s="533" t="str">
        <f>IF(S634=0,"",COUNTIF(R$12:R633,"&gt;0")+1)</f>
        <v/>
      </c>
      <c r="S634" s="533">
        <f t="shared" si="108"/>
        <v>0</v>
      </c>
      <c r="T634" s="533">
        <v>25</v>
      </c>
      <c r="U634" s="533">
        <v>0.17499999999999999</v>
      </c>
      <c r="V634" s="533">
        <v>-1</v>
      </c>
      <c r="W634" s="533"/>
      <c r="X634" s="533"/>
      <c r="Y634" s="533"/>
      <c r="Z634" s="533" t="str">
        <f>IFERROR(IF(AND(O634="y",IF(AND(A634&lt;&gt;"",A634=0),0,1)),H634*-100-A634*1000-T634,""),"")</f>
        <v/>
      </c>
      <c r="AA634" s="533" t="str">
        <f>IFERROR(RANK(Z634,Z$627:Z$639,0)+COUNTIF(Z$627:Z634,Z634)-1,"")</f>
        <v/>
      </c>
      <c r="AB634" s="533">
        <f t="shared" si="109"/>
        <v>0</v>
      </c>
      <c r="AC634" s="533"/>
      <c r="AD634" s="533"/>
      <c r="AE634" s="533"/>
      <c r="AF634" s="533"/>
      <c r="AG634" s="533"/>
      <c r="AH634" s="533"/>
      <c r="AI634" s="533"/>
      <c r="AJ634" s="1"/>
      <c r="AK634" s="533"/>
      <c r="AL634" s="533"/>
      <c r="AM634" s="533"/>
      <c r="AN634" s="1"/>
      <c r="AO634" s="1"/>
    </row>
    <row r="635" spans="1:41" ht="11.25" hidden="1" customHeight="1" thickBot="1" x14ac:dyDescent="0.3">
      <c r="A635" s="380"/>
      <c r="B635" s="902" t="s">
        <v>18</v>
      </c>
      <c r="C635" s="832" t="s">
        <v>1071</v>
      </c>
      <c r="D635" s="657"/>
      <c r="E635" s="808"/>
      <c r="F635" s="719" t="s">
        <v>730</v>
      </c>
      <c r="G635" s="903" t="s">
        <v>1244</v>
      </c>
      <c r="H635" s="80">
        <f>VLOOKUP(C635,A!A$1:H$669,8,FALSE)</f>
        <v>1</v>
      </c>
      <c r="I635" s="135"/>
      <c r="J635" s="904">
        <v>5021353015300</v>
      </c>
      <c r="K635" s="905">
        <v>5021353014617</v>
      </c>
      <c r="L635" s="970"/>
      <c r="M635" s="906"/>
      <c r="N635" s="907"/>
      <c r="O635" s="533">
        <f>VLOOKUP(C635,A!A$1:G$669,2,FALSE)</f>
        <v>0</v>
      </c>
      <c r="P635" s="533" t="s">
        <v>727</v>
      </c>
      <c r="Q635" s="533" t="str">
        <f>IF(S635=0,"",COUNTIF(Q$12:Q634,"&gt;0")+1)</f>
        <v/>
      </c>
      <c r="R635" s="533" t="str">
        <f>IF(S635=0,"",COUNTIF(R$12:R634,"&gt;0")+1)</f>
        <v/>
      </c>
      <c r="S635" s="533">
        <f t="shared" si="108"/>
        <v>0</v>
      </c>
      <c r="T635" s="533">
        <v>25</v>
      </c>
      <c r="U635" s="533">
        <v>0.17499999999999999</v>
      </c>
      <c r="V635" s="533">
        <v>-1</v>
      </c>
      <c r="W635" s="533"/>
      <c r="X635" s="533"/>
      <c r="Y635" s="533"/>
      <c r="Z635" s="533" t="str">
        <f>IFERROR(IF(O635="y",H635*-100-A635*1000-T635,""),"")</f>
        <v/>
      </c>
      <c r="AA635" s="533" t="str">
        <f>IFERROR(RANK(Z635,Z$627:Z$639,0)+COUNTIF(Z$627:Z635,Z635)-1,"")</f>
        <v/>
      </c>
      <c r="AB635" s="533">
        <f t="shared" si="109"/>
        <v>0</v>
      </c>
      <c r="AC635" s="533"/>
      <c r="AD635" s="533"/>
      <c r="AE635" s="533"/>
      <c r="AF635" s="533"/>
      <c r="AG635" s="533"/>
      <c r="AH635" s="533"/>
      <c r="AI635" s="533"/>
      <c r="AJ635" s="1"/>
      <c r="AK635" s="533"/>
      <c r="AL635" s="533"/>
      <c r="AM635" s="533"/>
      <c r="AN635" s="1"/>
      <c r="AO635" s="1"/>
    </row>
    <row r="636" spans="1:41" ht="13.5" hidden="1" customHeight="1" thickBot="1" x14ac:dyDescent="0.3">
      <c r="A636" s="379"/>
      <c r="B636" s="606" t="s">
        <v>18</v>
      </c>
      <c r="C636" s="833" t="s">
        <v>1196</v>
      </c>
      <c r="D636" s="810"/>
      <c r="E636" s="811"/>
      <c r="F636" s="812" t="s">
        <v>738</v>
      </c>
      <c r="G636" s="813" t="s">
        <v>1244</v>
      </c>
      <c r="H636" s="347">
        <f>VLOOKUP(C636,A!A$1:H$669,8,FALSE)</f>
        <v>1</v>
      </c>
      <c r="I636" s="814" t="s">
        <v>30</v>
      </c>
      <c r="J636" s="815">
        <v>5021353015317</v>
      </c>
      <c r="K636" s="816">
        <v>5021353014617</v>
      </c>
      <c r="L636" s="817"/>
      <c r="M636" s="818"/>
      <c r="N636" s="819"/>
      <c r="O636" s="533">
        <f>VLOOKUP(C636,A!A$1:G$669,2,FALSE)</f>
        <v>0</v>
      </c>
      <c r="P636" s="533" t="s">
        <v>727</v>
      </c>
      <c r="Q636" s="533" t="str">
        <f>IF(S636=0,"",COUNTIF(Q$12:Q635,"&gt;0")+1)</f>
        <v/>
      </c>
      <c r="R636" s="533" t="str">
        <f>IF(S636=0,"",COUNTIF(R$12:R635,"&gt;0")+1)</f>
        <v/>
      </c>
      <c r="S636" s="533">
        <f t="shared" si="108"/>
        <v>0</v>
      </c>
      <c r="T636" s="533">
        <v>25</v>
      </c>
      <c r="U636" s="533">
        <v>0.17499999999999999</v>
      </c>
      <c r="V636" s="533">
        <v>-1</v>
      </c>
      <c r="W636" s="533"/>
      <c r="X636" s="533"/>
      <c r="Y636" s="533"/>
      <c r="Z636" s="533" t="str">
        <f>IFERROR(IF(AND(O636="y",IF(AND(A636&lt;&gt;"",A636=0),0,1)),H636*-100-A636*1000-T636,""),"")</f>
        <v/>
      </c>
      <c r="AA636" s="533" t="str">
        <f>IFERROR(RANK(Z636,Z$627:Z$639,0)+COUNTIF(Z$627:Z636,Z636)-1,"")</f>
        <v/>
      </c>
      <c r="AB636" s="533">
        <f t="shared" si="109"/>
        <v>0</v>
      </c>
      <c r="AC636" s="533"/>
      <c r="AD636" s="533"/>
      <c r="AE636" s="533"/>
      <c r="AF636" s="533"/>
      <c r="AG636" s="533"/>
      <c r="AH636" s="533"/>
      <c r="AI636" s="533"/>
      <c r="AJ636" s="1"/>
      <c r="AK636" s="533"/>
      <c r="AL636" s="533"/>
      <c r="AM636" s="533"/>
      <c r="AN636" s="1"/>
      <c r="AO636" s="1"/>
    </row>
    <row r="637" spans="1:41" ht="11.25" hidden="1" customHeight="1" x14ac:dyDescent="0.25">
      <c r="A637" s="380"/>
      <c r="B637" s="606" t="s">
        <v>18</v>
      </c>
      <c r="C637" s="834" t="s">
        <v>1072</v>
      </c>
      <c r="D637" s="781"/>
      <c r="E637" s="820"/>
      <c r="F637" s="821" t="s">
        <v>732</v>
      </c>
      <c r="G637" s="813" t="s">
        <v>1244</v>
      </c>
      <c r="H637" s="367">
        <f>VLOOKUP(C637,A!A$1:H$669,8,FALSE)</f>
        <v>2</v>
      </c>
      <c r="I637" s="782"/>
      <c r="J637" s="783">
        <v>5021353015270</v>
      </c>
      <c r="K637" s="784">
        <v>5021353014617</v>
      </c>
      <c r="L637" s="822"/>
      <c r="M637" s="784"/>
      <c r="N637" s="823"/>
      <c r="O637" s="533">
        <f>VLOOKUP(C637,A!A$1:G$669,2,FALSE)</f>
        <v>0</v>
      </c>
      <c r="P637" s="533" t="s">
        <v>727</v>
      </c>
      <c r="Q637" s="533" t="str">
        <f>IF(S637=0,"",COUNTIF(Q$12:Q636,"&gt;0")+1)</f>
        <v/>
      </c>
      <c r="R637" s="533" t="str">
        <f>IF(S637=0,"",COUNTIF(R$12:R636,"&gt;0")+1)</f>
        <v/>
      </c>
      <c r="S637" s="533">
        <f t="shared" si="108"/>
        <v>0</v>
      </c>
      <c r="T637" s="533">
        <v>25</v>
      </c>
      <c r="U637" s="533">
        <v>0.17499999999999999</v>
      </c>
      <c r="V637" s="533">
        <v>-1</v>
      </c>
      <c r="W637" s="533"/>
      <c r="X637" s="533"/>
      <c r="Y637" s="533"/>
      <c r="Z637" s="533" t="str">
        <f>IFERROR(IF(O637="y",H637*-100-A637*1000-T637,""),"")</f>
        <v/>
      </c>
      <c r="AA637" s="533" t="str">
        <f>IFERROR(RANK(Z637,Z$627:Z$639,0)+COUNTIF(Z$627:Z637,Z637)-1,"")</f>
        <v/>
      </c>
      <c r="AB637" s="533">
        <f t="shared" si="109"/>
        <v>0</v>
      </c>
      <c r="AC637" s="533"/>
      <c r="AD637" s="533"/>
      <c r="AE637" s="533"/>
      <c r="AF637" s="533"/>
      <c r="AG637" s="533"/>
      <c r="AH637" s="533"/>
      <c r="AI637" s="533"/>
      <c r="AJ637" s="1"/>
      <c r="AK637" s="533"/>
      <c r="AL637" s="533"/>
      <c r="AM637" s="533"/>
      <c r="AN637" s="1"/>
      <c r="AO637" s="1"/>
    </row>
    <row r="638" spans="1:41" ht="11.25" hidden="1" customHeight="1" thickBot="1" x14ac:dyDescent="0.3">
      <c r="A638" s="378"/>
      <c r="B638" s="606" t="s">
        <v>18</v>
      </c>
      <c r="C638" s="835" t="s">
        <v>1199</v>
      </c>
      <c r="D638" s="967"/>
      <c r="E638" s="824"/>
      <c r="F638" s="825" t="s">
        <v>733</v>
      </c>
      <c r="G638" s="391" t="s">
        <v>1244</v>
      </c>
      <c r="H638" s="320">
        <f>VLOOKUP(C638,A!A$1:H$669,8,FALSE)</f>
        <v>1</v>
      </c>
      <c r="I638" s="328" t="s">
        <v>30</v>
      </c>
      <c r="J638" s="405">
        <v>5021353015232</v>
      </c>
      <c r="K638" s="826">
        <v>5021353014617</v>
      </c>
      <c r="L638" s="335"/>
      <c r="M638" s="329"/>
      <c r="N638" s="377"/>
      <c r="O638" s="533">
        <f>VLOOKUP(C638,A!A$1:G$669,2,FALSE)</f>
        <v>0</v>
      </c>
      <c r="P638" s="533" t="s">
        <v>727</v>
      </c>
      <c r="Q638" s="533" t="str">
        <f>IF(S638=0,"",COUNTIF(Q$12:Q637,"&gt;0")+1)</f>
        <v/>
      </c>
      <c r="R638" s="533" t="str">
        <f>IF(S638=0,"",COUNTIF(R$12:R637,"&gt;0")+1)</f>
        <v/>
      </c>
      <c r="S638" s="533">
        <f t="shared" si="108"/>
        <v>0</v>
      </c>
      <c r="T638" s="533">
        <v>25</v>
      </c>
      <c r="U638" s="533">
        <v>0.17499999999999999</v>
      </c>
      <c r="V638" s="533">
        <v>-1</v>
      </c>
      <c r="W638" s="533"/>
      <c r="X638" s="533"/>
      <c r="Y638" s="533"/>
      <c r="Z638" s="533" t="str">
        <f>IFERROR(IF(O638="y",H638*-100-A638*1000-T638,""),"")</f>
        <v/>
      </c>
      <c r="AA638" s="533" t="str">
        <f>IFERROR(RANK(Z638,Z$627:Z$639,0)+COUNTIF(Z$627:Z638,Z638)-1,"")</f>
        <v/>
      </c>
      <c r="AB638" s="533">
        <f t="shared" si="109"/>
        <v>0</v>
      </c>
      <c r="AC638" s="533"/>
      <c r="AD638" s="533"/>
      <c r="AE638" s="533"/>
      <c r="AF638" s="533"/>
      <c r="AG638" s="533"/>
      <c r="AH638" s="533"/>
      <c r="AI638" s="533"/>
      <c r="AJ638" s="1"/>
      <c r="AK638" s="533"/>
      <c r="AL638" s="533"/>
      <c r="AM638" s="533"/>
      <c r="AN638" s="1"/>
      <c r="AO638" s="1"/>
    </row>
    <row r="639" spans="1:41" ht="13.5" hidden="1" customHeight="1" thickBot="1" x14ac:dyDescent="0.3">
      <c r="A639" s="401"/>
      <c r="B639" s="607" t="s">
        <v>18</v>
      </c>
      <c r="C639" s="836" t="s">
        <v>1192</v>
      </c>
      <c r="D639" s="658"/>
      <c r="E639" s="809"/>
      <c r="F639" s="715" t="s">
        <v>734</v>
      </c>
      <c r="G639" s="849" t="s">
        <v>1244</v>
      </c>
      <c r="H639" s="408">
        <f>VLOOKUP(C639,A!A$1:H$669,8,FALSE)</f>
        <v>1</v>
      </c>
      <c r="I639" s="409"/>
      <c r="J639" s="410">
        <v>5021353014983</v>
      </c>
      <c r="K639" s="850">
        <v>5021353014617</v>
      </c>
      <c r="L639" s="412"/>
      <c r="M639" s="411"/>
      <c r="N639" s="413"/>
      <c r="O639" s="533">
        <f>VLOOKUP(C639,A!A$1:G$669,2,FALSE)</f>
        <v>0</v>
      </c>
      <c r="P639" s="533" t="s">
        <v>727</v>
      </c>
      <c r="Q639" s="533" t="str">
        <f>IF(S639=0,"",COUNTIF(Q$12:Q638,"&gt;0")+1)</f>
        <v/>
      </c>
      <c r="R639" s="533" t="str">
        <f>IF(S639=0,"",COUNTIF(R$12:R638,"&gt;0")+1)</f>
        <v/>
      </c>
      <c r="S639" s="533">
        <f t="shared" si="108"/>
        <v>0</v>
      </c>
      <c r="T639" s="533">
        <v>25</v>
      </c>
      <c r="U639" s="533">
        <v>0.17499999999999999</v>
      </c>
      <c r="V639" s="533">
        <v>-1</v>
      </c>
      <c r="W639" s="533"/>
      <c r="X639" s="533"/>
      <c r="Y639" s="533"/>
      <c r="Z639" s="533" t="str">
        <f>IFERROR(IF(O639="y",H639*-100-A639*1000-T639,""),"")</f>
        <v/>
      </c>
      <c r="AA639" s="533" t="str">
        <f>IFERROR(RANK(Z639,Z$627:Z$639,0)+COUNTIF(Z$627:Z639,Z639)-1,"")</f>
        <v/>
      </c>
      <c r="AB639" s="533">
        <f t="shared" si="109"/>
        <v>0</v>
      </c>
      <c r="AC639" s="533"/>
      <c r="AD639" s="533"/>
      <c r="AE639" s="533"/>
      <c r="AF639" s="533"/>
      <c r="AG639" s="533"/>
      <c r="AH639" s="533"/>
      <c r="AI639" s="533"/>
      <c r="AJ639" s="1"/>
      <c r="AK639" s="533"/>
      <c r="AL639" s="533"/>
      <c r="AM639" s="533"/>
      <c r="AN639" s="1"/>
      <c r="AO639" s="1"/>
    </row>
    <row r="640" spans="1:41" x14ac:dyDescent="0.25">
      <c r="A640" s="23">
        <f>A625*5+SUM(A626:A639)</f>
        <v>0</v>
      </c>
      <c r="B640" s="601" t="s">
        <v>18</v>
      </c>
      <c r="C640" s="96" t="s">
        <v>1790</v>
      </c>
      <c r="J640" s="4"/>
      <c r="L640" s="374"/>
      <c r="M640" s="2"/>
      <c r="N640" s="134"/>
      <c r="O640" s="1068"/>
      <c r="P640" s="533" t="s">
        <v>727</v>
      </c>
      <c r="Q640" s="533" t="str">
        <f>IF(S640=0,"",COUNTIF(Q$12:Q639,"&gt;0")+1)</f>
        <v/>
      </c>
      <c r="R640" s="533" t="str">
        <f>IF(S640=0,"",COUNTIF(R$12:R639,"&gt;0")+1)</f>
        <v/>
      </c>
      <c r="S640" s="533">
        <f t="shared" si="108"/>
        <v>0</v>
      </c>
      <c r="T640" s="533"/>
      <c r="U640" s="533"/>
      <c r="V640" s="533"/>
      <c r="W640" s="533"/>
      <c r="X640" s="533"/>
      <c r="Y640" s="533"/>
      <c r="Z640" s="533"/>
      <c r="AA640" s="533"/>
      <c r="AB640" s="533"/>
      <c r="AC640" s="533"/>
      <c r="AD640" s="533"/>
      <c r="AE640" s="533"/>
      <c r="AF640" s="533"/>
      <c r="AG640" s="533"/>
      <c r="AH640" s="533"/>
      <c r="AI640" s="533"/>
      <c r="AJ640" s="1"/>
      <c r="AK640" s="533"/>
      <c r="AL640" s="533"/>
      <c r="AM640" s="533"/>
      <c r="AN640" s="1"/>
      <c r="AO640" s="1"/>
    </row>
    <row r="641" spans="1:44" ht="13.5" customHeight="1" thickBot="1" x14ac:dyDescent="0.3">
      <c r="A641" s="23"/>
      <c r="B641" s="601"/>
      <c r="C641" s="96"/>
      <c r="J641" s="4"/>
      <c r="L641" s="374"/>
      <c r="M641" s="2"/>
      <c r="N641" s="134"/>
      <c r="O641" s="1068"/>
      <c r="P641" s="533"/>
      <c r="Q641" s="533"/>
      <c r="R641" s="533"/>
      <c r="S641" s="533"/>
      <c r="T641" s="533"/>
      <c r="U641" s="533"/>
      <c r="V641" s="533"/>
      <c r="W641" s="533"/>
      <c r="X641" s="533"/>
      <c r="Y641" s="533"/>
      <c r="Z641" s="533"/>
      <c r="AA641" s="533"/>
      <c r="AB641" s="533"/>
      <c r="AC641" s="533"/>
      <c r="AD641" s="533"/>
      <c r="AE641" s="533"/>
      <c r="AF641" s="533"/>
      <c r="AG641" s="533"/>
      <c r="AH641" s="533"/>
      <c r="AI641" s="533"/>
      <c r="AJ641" s="1"/>
      <c r="AK641" s="533"/>
      <c r="AL641" s="533"/>
      <c r="AM641" s="533"/>
      <c r="AN641" s="533"/>
      <c r="AO641" s="533"/>
      <c r="AP641" s="533"/>
      <c r="AQ641" s="533"/>
      <c r="AR641" s="533"/>
    </row>
    <row r="642" spans="1:44" ht="12" hidden="1" customHeight="1" x14ac:dyDescent="0.25">
      <c r="A642" s="1224" t="s">
        <v>11</v>
      </c>
      <c r="B642" s="1225"/>
      <c r="C642" s="1243" t="s">
        <v>1793</v>
      </c>
      <c r="D642" s="1244"/>
      <c r="E642" s="1244"/>
      <c r="F642" s="1244"/>
      <c r="G642" s="1244"/>
      <c r="H642" s="29" t="s">
        <v>1792</v>
      </c>
      <c r="I642" s="387"/>
      <c r="J642" s="416"/>
      <c r="K642" s="416"/>
      <c r="L642" s="416"/>
      <c r="M642" s="416"/>
      <c r="N642" s="388"/>
      <c r="O642" s="1068"/>
      <c r="P642" s="533"/>
      <c r="Q642" s="533"/>
      <c r="R642" s="533"/>
      <c r="S642" s="533"/>
      <c r="T642" s="533"/>
      <c r="U642" s="533"/>
      <c r="V642" s="533"/>
      <c r="W642" s="533"/>
      <c r="X642" s="533"/>
      <c r="Y642" s="533"/>
      <c r="Z642" s="533"/>
      <c r="AA642" s="533"/>
      <c r="AB642" s="533"/>
      <c r="AC642" s="533"/>
      <c r="AD642" s="533"/>
      <c r="AE642" s="533"/>
      <c r="AF642" s="533"/>
      <c r="AG642" s="533"/>
      <c r="AH642" s="533"/>
      <c r="AI642" s="533"/>
      <c r="AJ642" s="1"/>
      <c r="AK642" s="533"/>
      <c r="AL642" s="533"/>
      <c r="AM642" s="533"/>
      <c r="AN642" s="533"/>
      <c r="AO642" s="533"/>
      <c r="AP642" s="533"/>
      <c r="AQ642" s="533"/>
      <c r="AR642" s="533"/>
    </row>
    <row r="643" spans="1:44" ht="12" hidden="1" customHeight="1" x14ac:dyDescent="0.25">
      <c r="A643" s="1247" t="s">
        <v>682</v>
      </c>
      <c r="B643" s="1248"/>
      <c r="C643" s="1245"/>
      <c r="D643" s="1246"/>
      <c r="E643" s="1246"/>
      <c r="F643" s="1246"/>
      <c r="G643" s="1246"/>
      <c r="H643" s="775" t="s">
        <v>15</v>
      </c>
      <c r="I643" s="776"/>
      <c r="J643" s="777"/>
      <c r="K643" s="777"/>
      <c r="L643" s="777"/>
      <c r="M643" s="777"/>
      <c r="N643" s="778"/>
      <c r="O643" s="1068"/>
      <c r="P643" s="533"/>
      <c r="Q643" s="533"/>
      <c r="R643" s="533"/>
      <c r="S643" s="533"/>
      <c r="T643" s="533"/>
      <c r="U643" s="533"/>
      <c r="V643" s="533"/>
      <c r="W643" s="533"/>
      <c r="X643" s="533"/>
      <c r="Y643" s="533"/>
      <c r="Z643" s="533"/>
      <c r="AA643" s="533"/>
      <c r="AB643" s="533"/>
      <c r="AC643" s="533"/>
      <c r="AD643" s="533"/>
      <c r="AE643" s="533"/>
      <c r="AF643" s="533"/>
      <c r="AG643" s="533"/>
      <c r="AH643" s="533"/>
      <c r="AI643" s="533"/>
      <c r="AJ643" s="1"/>
      <c r="AK643" s="533"/>
      <c r="AL643" s="533"/>
      <c r="AM643" s="533"/>
      <c r="AN643" s="533"/>
      <c r="AO643" s="533"/>
      <c r="AP643" s="533"/>
      <c r="AQ643" s="533"/>
      <c r="AR643" s="533"/>
    </row>
    <row r="644" spans="1:44" ht="13.5" hidden="1" customHeight="1" x14ac:dyDescent="0.25">
      <c r="A644" s="779"/>
      <c r="B644" s="780" t="s">
        <v>510</v>
      </c>
      <c r="C644" s="803" t="s">
        <v>729</v>
      </c>
      <c r="D644" s="781"/>
      <c r="E644" s="820"/>
      <c r="F644" s="787" t="s">
        <v>730</v>
      </c>
      <c r="G644" s="790" t="s">
        <v>1788</v>
      </c>
      <c r="H644" s="367">
        <f>VLOOKUP(C644,A!A$1:H$669,8,FALSE)</f>
        <v>1</v>
      </c>
      <c r="I644" s="782"/>
      <c r="J644" s="783">
        <v>5021353015300</v>
      </c>
      <c r="K644" s="784">
        <v>5021353014617</v>
      </c>
      <c r="L644" s="788"/>
      <c r="M644" s="785"/>
      <c r="N644" s="786"/>
      <c r="O644" s="533">
        <f>VLOOKUP(C644,A!A$1:G$669,2,FALSE)</f>
        <v>0</v>
      </c>
      <c r="P644" s="1071" t="s">
        <v>729</v>
      </c>
      <c r="Q644" s="533" t="str">
        <f>IF(S644=0,"",COUNTIF(Q$12:Q643,"&gt;0")+1)</f>
        <v/>
      </c>
      <c r="R644" s="533" t="str">
        <f>IF(S644=0,"",COUNTIF(R$12:R643,"&gt;0")+1)</f>
        <v/>
      </c>
      <c r="S644" s="533">
        <f>A644+Y644+AB644</f>
        <v>0</v>
      </c>
      <c r="T644" s="533">
        <v>25</v>
      </c>
      <c r="U644" s="533">
        <v>0.17499999999999999</v>
      </c>
      <c r="V644" s="533">
        <v>-1</v>
      </c>
      <c r="W644" s="533"/>
      <c r="X644" s="533"/>
      <c r="Y644" s="533"/>
      <c r="Z644" s="533" t="str">
        <f t="shared" ref="Z644" si="110">IFERROR(IF(O644="y",H644*-100-A644*1000-T644,""),"")</f>
        <v/>
      </c>
      <c r="AA644" s="533" t="str">
        <f>IFERROR(RANK(Z644,Z$627:Z$639,0)+COUNTIF(Z$627:Z644,Z644)-1,"")</f>
        <v/>
      </c>
      <c r="AB644" s="533">
        <f t="shared" ref="AB644" si="111">IF(AA644&lt;=AB$624,1,0)+IF(O644="y",AB$623,0)</f>
        <v>0</v>
      </c>
      <c r="AC644" s="533"/>
      <c r="AD644" s="533"/>
      <c r="AE644" s="533"/>
      <c r="AF644" s="533"/>
      <c r="AG644" s="533"/>
      <c r="AH644" s="533"/>
      <c r="AI644" s="533"/>
      <c r="AJ644" s="1"/>
      <c r="AK644" s="533"/>
      <c r="AL644" s="533"/>
      <c r="AM644" s="533"/>
      <c r="AN644" s="533"/>
      <c r="AO644" s="533"/>
      <c r="AP644" s="533"/>
      <c r="AQ644" s="533"/>
      <c r="AR644" s="533"/>
    </row>
    <row r="645" spans="1:44" ht="15" hidden="1" customHeight="1" x14ac:dyDescent="0.25">
      <c r="A645" s="23">
        <f>A644</f>
        <v>0</v>
      </c>
      <c r="B645" s="601" t="s">
        <v>510</v>
      </c>
      <c r="C645" s="96" t="s">
        <v>1789</v>
      </c>
      <c r="J645" s="4"/>
      <c r="L645" s="374"/>
      <c r="M645" s="2"/>
      <c r="N645" s="134"/>
      <c r="O645" s="1068"/>
      <c r="P645" s="1071" t="s">
        <v>729</v>
      </c>
      <c r="Q645" s="533" t="str">
        <f>IF(S645=0,"",COUNTIF(Q$12:Q644,"&gt;0")+1)</f>
        <v/>
      </c>
      <c r="R645" s="533"/>
      <c r="S645" s="533">
        <f>A645</f>
        <v>0</v>
      </c>
      <c r="T645" s="533"/>
      <c r="U645" s="533"/>
      <c r="V645" s="533"/>
      <c r="W645" s="533"/>
      <c r="X645" s="533"/>
      <c r="Y645" s="533"/>
      <c r="Z645" s="533"/>
      <c r="AA645" s="533"/>
      <c r="AB645" s="533"/>
      <c r="AC645" s="533"/>
      <c r="AD645" s="533"/>
      <c r="AE645" s="533"/>
      <c r="AF645" s="533"/>
      <c r="AG645" s="533"/>
      <c r="AH645" s="533"/>
      <c r="AI645" s="533"/>
      <c r="AJ645" s="1"/>
      <c r="AK645" s="533"/>
      <c r="AL645" s="533"/>
      <c r="AM645" s="533"/>
      <c r="AN645" s="533"/>
      <c r="AO645" s="533"/>
      <c r="AP645" s="533"/>
      <c r="AQ645" s="533"/>
      <c r="AR645" s="533"/>
    </row>
    <row r="646" spans="1:44" ht="13.5" hidden="1" customHeight="1" x14ac:dyDescent="0.25">
      <c r="A646" s="23"/>
      <c r="B646" s="601"/>
      <c r="C646" s="96"/>
      <c r="J646" s="4"/>
      <c r="L646" s="374"/>
      <c r="M646" s="2"/>
      <c r="N646" s="134"/>
      <c r="O646" s="1068"/>
      <c r="P646" s="533"/>
      <c r="Q646" s="533"/>
      <c r="R646" s="533"/>
      <c r="S646" s="533"/>
      <c r="T646" s="533"/>
      <c r="U646" s="533"/>
      <c r="V646" s="533"/>
      <c r="W646" s="533"/>
      <c r="X646" s="533"/>
      <c r="Y646" s="533"/>
      <c r="Z646" s="533"/>
      <c r="AA646" s="533"/>
      <c r="AB646" s="533"/>
      <c r="AC646" s="533"/>
      <c r="AD646" s="533"/>
      <c r="AE646" s="533"/>
      <c r="AF646" s="533"/>
      <c r="AG646" s="533"/>
      <c r="AH646" s="533"/>
      <c r="AI646" s="533"/>
      <c r="AJ646" s="1"/>
      <c r="AK646" s="533"/>
      <c r="AL646" s="533"/>
      <c r="AM646" s="533"/>
      <c r="AN646" s="533"/>
      <c r="AO646" s="533"/>
      <c r="AP646" s="533"/>
      <c r="AQ646" s="533"/>
      <c r="AR646" s="533"/>
    </row>
    <row r="647" spans="1:44" ht="6" hidden="1" customHeight="1" thickBot="1" x14ac:dyDescent="0.3">
      <c r="A647" s="2"/>
      <c r="L647" s="374"/>
      <c r="M647" s="2"/>
      <c r="P647" s="533"/>
      <c r="Q647" s="533" t="str">
        <f>IF(S647=0,"",COUNTIF(Q$12:Q640,"&gt;0")+1)</f>
        <v/>
      </c>
      <c r="R647" s="533" t="str">
        <f>IF(S647=0,"",COUNTIF(R$12:R640,"&gt;0")+1)</f>
        <v/>
      </c>
      <c r="S647" s="533"/>
      <c r="T647" s="533"/>
      <c r="U647" s="533"/>
      <c r="V647" s="533"/>
      <c r="W647" s="533"/>
      <c r="X647" s="533"/>
      <c r="Y647" s="533"/>
      <c r="Z647" s="533"/>
      <c r="AA647" s="533"/>
      <c r="AB647" s="533"/>
      <c r="AC647" s="533"/>
      <c r="AD647" s="533"/>
      <c r="AE647" s="533"/>
      <c r="AF647" s="533"/>
      <c r="AG647" s="533"/>
      <c r="AH647" s="533"/>
      <c r="AI647" s="533"/>
      <c r="AJ647" s="1"/>
      <c r="AK647" s="533"/>
      <c r="AL647" s="533"/>
      <c r="AM647" s="533"/>
      <c r="AN647" s="533"/>
      <c r="AO647" s="533"/>
      <c r="AP647" s="533"/>
      <c r="AQ647" s="533"/>
      <c r="AR647" s="533"/>
    </row>
    <row r="648" spans="1:44" ht="10.5" hidden="1" customHeight="1" x14ac:dyDescent="0.25">
      <c r="A648" s="1251" t="s">
        <v>11</v>
      </c>
      <c r="B648" s="1252"/>
      <c r="C648" s="1255" t="s">
        <v>1774</v>
      </c>
      <c r="D648" s="1256"/>
      <c r="E648" s="1256"/>
      <c r="F648" s="1256"/>
      <c r="G648" s="1256"/>
      <c r="H648" s="279"/>
      <c r="I648" s="279"/>
      <c r="J648" s="279"/>
      <c r="K648" s="279"/>
      <c r="L648" s="279"/>
      <c r="M648" s="279"/>
      <c r="N648" s="280"/>
      <c r="P648" s="533"/>
      <c r="Q648" s="533" t="str">
        <f>IF(S648=0,"",COUNTIF(Q$12:Q647,"&gt;0")+1)</f>
        <v/>
      </c>
      <c r="R648" s="533" t="str">
        <f>IF(S648=0,"",COUNTIF(R$12:R647,"&gt;0")+1)</f>
        <v/>
      </c>
      <c r="S648" s="533"/>
      <c r="T648" s="533"/>
      <c r="U648" s="533"/>
      <c r="V648" s="533"/>
      <c r="W648" s="533"/>
      <c r="X648" s="533"/>
      <c r="Y648" s="533"/>
      <c r="Z648" s="533"/>
      <c r="AA648" s="533"/>
      <c r="AB648" s="533"/>
      <c r="AC648" s="533"/>
      <c r="AD648" s="533"/>
      <c r="AE648" s="533"/>
      <c r="AF648" s="533"/>
      <c r="AG648" s="533"/>
      <c r="AH648" s="533"/>
      <c r="AI648" s="533"/>
      <c r="AJ648" s="1"/>
      <c r="AK648" s="533"/>
      <c r="AL648" s="533"/>
      <c r="AM648" s="533"/>
      <c r="AN648" s="533"/>
      <c r="AO648" s="533"/>
      <c r="AP648" s="533"/>
      <c r="AQ648" s="533"/>
      <c r="AR648" s="533"/>
    </row>
    <row r="649" spans="1:44" ht="10.5" hidden="1" customHeight="1" thickBot="1" x14ac:dyDescent="0.3">
      <c r="A649" s="1253"/>
      <c r="B649" s="1254"/>
      <c r="C649" s="1257"/>
      <c r="D649" s="1258"/>
      <c r="E649" s="1258"/>
      <c r="F649" s="1258"/>
      <c r="G649" s="1258"/>
      <c r="H649" s="286" t="s">
        <v>15</v>
      </c>
      <c r="I649" s="281"/>
      <c r="J649" s="281"/>
      <c r="K649" s="281"/>
      <c r="L649" s="281"/>
      <c r="M649" s="281"/>
      <c r="N649" s="282"/>
      <c r="O649" s="1068" t="s">
        <v>17</v>
      </c>
      <c r="P649" s="533"/>
      <c r="Q649" s="533" t="str">
        <f>IF(S649=0,"",COUNTIF(Q$12:Q648,"&gt;0")+1)</f>
        <v/>
      </c>
      <c r="R649" s="533" t="str">
        <f>IF(S649=0,"",COUNTIF(R$12:R648,"&gt;0")+1)</f>
        <v/>
      </c>
      <c r="S649" s="533"/>
      <c r="T649" s="533"/>
      <c r="U649" s="533"/>
      <c r="V649" s="533"/>
      <c r="W649" s="533"/>
      <c r="X649" s="533"/>
      <c r="Y649" s="533"/>
      <c r="Z649" s="533"/>
      <c r="AA649" s="533"/>
      <c r="AB649" s="533"/>
      <c r="AC649" s="533"/>
      <c r="AD649" s="533"/>
      <c r="AE649" s="533"/>
      <c r="AF649" s="533"/>
      <c r="AG649" s="533"/>
      <c r="AH649" s="533"/>
      <c r="AI649" s="533"/>
      <c r="AJ649" s="1"/>
      <c r="AK649" s="533"/>
      <c r="AL649" s="533"/>
      <c r="AM649" s="533"/>
      <c r="AN649" s="533"/>
      <c r="AO649" s="533"/>
      <c r="AP649" s="533"/>
      <c r="AQ649" s="533"/>
      <c r="AR649" s="533"/>
    </row>
    <row r="650" spans="1:44" ht="12" hidden="1" customHeight="1" x14ac:dyDescent="0.25">
      <c r="A650" s="138"/>
      <c r="B650" s="608" t="s">
        <v>741</v>
      </c>
      <c r="C650" s="939" t="s">
        <v>742</v>
      </c>
      <c r="D650" s="659"/>
      <c r="E650" s="881"/>
      <c r="F650" s="287" t="s">
        <v>743</v>
      </c>
      <c r="G650" s="139" t="s">
        <v>1144</v>
      </c>
      <c r="H650" s="80">
        <f>VLOOKUP(C650,A!A$1:H$669,8,FALSE)</f>
        <v>2</v>
      </c>
      <c r="I650" s="283"/>
      <c r="J650" s="284">
        <f>IF(VLOOKUP(C650,A!A$1:H$669,4,FALSE)="y",1,0)</f>
        <v>0</v>
      </c>
      <c r="K650" s="284">
        <f>IF(VLOOKUP(C650,A!A$1:H$669,5,FALSE)="y",1,0)</f>
        <v>0</v>
      </c>
      <c r="L650" s="371"/>
      <c r="M650" s="285">
        <f>VLOOKUP(C650,A!A$1:H$669,6,FALSE)</f>
        <v>0</v>
      </c>
      <c r="N650" s="372">
        <v>5</v>
      </c>
      <c r="O650" s="533">
        <f>VLOOKUP(C650,A!A$1:G$669,2,FALSE)</f>
        <v>0</v>
      </c>
      <c r="P650" s="533" t="s">
        <v>744</v>
      </c>
      <c r="Q650" s="533" t="str">
        <f>IF(S650=0,"",COUNTIF(Q$12:Q649,"&gt;0")+1)</f>
        <v/>
      </c>
      <c r="R650" s="533" t="str">
        <f>IF(S650=0,"",COUNTIF(R$12:R649,"&gt;0")+1)</f>
        <v/>
      </c>
      <c r="S650" s="533">
        <f t="shared" ref="S650:S656" si="112">A650</f>
        <v>0</v>
      </c>
      <c r="T650" s="533"/>
      <c r="U650" s="533"/>
      <c r="V650" s="533">
        <v>-4</v>
      </c>
      <c r="W650" s="533"/>
      <c r="X650" s="533"/>
      <c r="Y650" s="533"/>
      <c r="Z650" s="533"/>
      <c r="AA650" s="533"/>
      <c r="AB650" s="533"/>
      <c r="AC650" s="533"/>
      <c r="AD650" s="533"/>
      <c r="AE650" s="533"/>
      <c r="AF650" s="533"/>
      <c r="AG650" s="533"/>
      <c r="AH650" s="533"/>
      <c r="AI650" s="533"/>
      <c r="AJ650" s="1"/>
      <c r="AK650" s="533"/>
      <c r="AL650" s="533"/>
      <c r="AM650" s="533"/>
      <c r="AN650" s="533"/>
      <c r="AO650" s="533"/>
      <c r="AP650" s="533"/>
      <c r="AQ650" s="533"/>
      <c r="AR650" s="533"/>
    </row>
    <row r="651" spans="1:44" ht="11.25" hidden="1" customHeight="1" x14ac:dyDescent="0.25">
      <c r="A651" s="140"/>
      <c r="B651" s="609" t="s">
        <v>741</v>
      </c>
      <c r="C651" s="940" t="s">
        <v>973</v>
      </c>
      <c r="D651" s="648"/>
      <c r="E651" s="867"/>
      <c r="F651" s="141" t="s">
        <v>974</v>
      </c>
      <c r="G651" s="142" t="s">
        <v>1145</v>
      </c>
      <c r="H651" s="27">
        <f>VLOOKUP(C651,A!A$1:H$669,8,FALSE)</f>
        <v>1</v>
      </c>
      <c r="I651" s="143"/>
      <c r="J651" s="213">
        <f>IF(VLOOKUP(C651,A!A$1:H$669,4,FALSE)="y",1,0)</f>
        <v>0</v>
      </c>
      <c r="K651" s="213">
        <f>IF(VLOOKUP(C651,A!A$1:H$669,5,FALSE)="y",1,0)</f>
        <v>0</v>
      </c>
      <c r="L651" s="330"/>
      <c r="M651" s="80">
        <f>VLOOKUP(C651,A!A$1:H$669,6,FALSE)</f>
        <v>0</v>
      </c>
      <c r="N651" s="144">
        <v>5</v>
      </c>
      <c r="O651" s="533">
        <f>VLOOKUP(C651,A!A$1:G$669,2,FALSE)</f>
        <v>0</v>
      </c>
      <c r="P651" s="533" t="s">
        <v>744</v>
      </c>
      <c r="Q651" s="533" t="str">
        <f>IF(S651=0,"",COUNTIF(Q$12:Q650,"&gt;0")+1)</f>
        <v/>
      </c>
      <c r="R651" s="533" t="str">
        <f>IF(S651=0,"",COUNTIF(R$12:R650,"&gt;0")+1)</f>
        <v/>
      </c>
      <c r="S651" s="533">
        <f t="shared" si="112"/>
        <v>0</v>
      </c>
      <c r="T651" s="533"/>
      <c r="U651" s="533"/>
      <c r="V651" s="533">
        <v>-4</v>
      </c>
      <c r="W651" s="533"/>
      <c r="X651" s="533"/>
      <c r="Y651" s="533"/>
      <c r="Z651" s="533"/>
      <c r="AA651" s="533"/>
      <c r="AB651" s="533"/>
      <c r="AC651" s="533"/>
      <c r="AD651" s="533"/>
      <c r="AE651" s="533"/>
      <c r="AF651" s="533"/>
      <c r="AG651" s="533"/>
      <c r="AH651" s="533"/>
      <c r="AI651" s="533"/>
      <c r="AJ651" s="1"/>
      <c r="AK651" s="533"/>
      <c r="AL651" s="533"/>
      <c r="AM651" s="533"/>
      <c r="AN651" s="533"/>
      <c r="AO651" s="533"/>
      <c r="AP651" s="533"/>
      <c r="AQ651" s="533"/>
      <c r="AR651" s="533"/>
    </row>
    <row r="652" spans="1:44" ht="13.5" hidden="1" customHeight="1" x14ac:dyDescent="0.25">
      <c r="A652" s="305"/>
      <c r="B652" s="609" t="s">
        <v>741</v>
      </c>
      <c r="C652" s="744" t="s">
        <v>745</v>
      </c>
      <c r="D652" s="648"/>
      <c r="E652" s="867"/>
      <c r="F652" s="748" t="s">
        <v>730</v>
      </c>
      <c r="G652" s="752" t="s">
        <v>1769</v>
      </c>
      <c r="H652" s="80">
        <v>1</v>
      </c>
      <c r="I652" s="143"/>
      <c r="J652" s="213">
        <f>IF(VLOOKUP(C652,A!A$1:H$669,4,FALSE)="y",1,0)</f>
        <v>0</v>
      </c>
      <c r="K652" s="213">
        <f>IF(VLOOKUP(C652,A!A$1:H$669,5,FALSE)="y",1,0)</f>
        <v>0</v>
      </c>
      <c r="L652" s="330"/>
      <c r="M652" s="80"/>
      <c r="N652" s="144">
        <v>5</v>
      </c>
      <c r="O652" s="533">
        <f>VLOOKUP(C652,A!A$1:G$669,2,FALSE)</f>
        <v>0</v>
      </c>
      <c r="P652" s="533" t="s">
        <v>744</v>
      </c>
      <c r="Q652" s="533" t="str">
        <f>IF(S652=0,"",COUNTIF(Q$12:Q651,"&gt;0")+1)</f>
        <v/>
      </c>
      <c r="R652" s="533" t="str">
        <f>IF(S652=0,"",COUNTIF(R$12:R651,"&gt;0")+1)</f>
        <v/>
      </c>
      <c r="S652" s="533">
        <f t="shared" si="112"/>
        <v>0</v>
      </c>
      <c r="T652" s="533">
        <v>25</v>
      </c>
      <c r="U652" s="533">
        <v>0.01</v>
      </c>
      <c r="V652" s="533">
        <v>-4</v>
      </c>
      <c r="W652" s="533"/>
      <c r="X652" s="533"/>
      <c r="Y652" s="533"/>
      <c r="Z652" s="533"/>
      <c r="AA652" s="533"/>
      <c r="AB652" s="533"/>
      <c r="AC652" s="533"/>
      <c r="AD652" s="533"/>
      <c r="AE652" s="533"/>
      <c r="AF652" s="533"/>
      <c r="AG652" s="533"/>
      <c r="AH652" s="533"/>
      <c r="AI652" s="533"/>
      <c r="AJ652" s="1"/>
      <c r="AK652" s="533"/>
      <c r="AL652" s="533"/>
      <c r="AM652" s="533"/>
      <c r="AN652" s="533"/>
      <c r="AO652" s="533"/>
      <c r="AP652" s="533"/>
      <c r="AQ652" s="533"/>
      <c r="AR652" s="533"/>
    </row>
    <row r="653" spans="1:44" ht="11.25" hidden="1" customHeight="1" x14ac:dyDescent="0.25">
      <c r="A653" s="145"/>
      <c r="B653" s="609" t="s">
        <v>741</v>
      </c>
      <c r="C653" s="745" t="s">
        <v>746</v>
      </c>
      <c r="D653" s="650"/>
      <c r="E653" s="882"/>
      <c r="F653" s="749" t="s">
        <v>732</v>
      </c>
      <c r="G653" s="753" t="s">
        <v>1144</v>
      </c>
      <c r="H653" s="276">
        <f>VLOOKUP(C653,A!A$1:H$669,8,FALSE)</f>
        <v>2</v>
      </c>
      <c r="I653" s="147"/>
      <c r="J653" s="28">
        <f>IF(VLOOKUP(C653,A!A$1:H$669,4,FALSE)="y",1,0)</f>
        <v>0</v>
      </c>
      <c r="K653" s="28">
        <f>IF(VLOOKUP(C653,A!A$1:H$669,5,FALSE)="y",1,0)</f>
        <v>0</v>
      </c>
      <c r="L653" s="330"/>
      <c r="M653" s="80">
        <f>VLOOKUP(C653,A!A$1:H$669,6,FALSE)</f>
        <v>0</v>
      </c>
      <c r="N653" s="144">
        <v>5</v>
      </c>
      <c r="O653" s="533">
        <f>VLOOKUP(C653,A!A$1:G$669,2,FALSE)</f>
        <v>0</v>
      </c>
      <c r="P653" s="533" t="s">
        <v>744</v>
      </c>
      <c r="Q653" s="533" t="str">
        <f>IF(S653=0,"",COUNTIF(Q$12:Q652,"&gt;0")+1)</f>
        <v/>
      </c>
      <c r="R653" s="533" t="str">
        <f>IF(S653=0,"",COUNTIF(R$12:R652,"&gt;0")+1)</f>
        <v/>
      </c>
      <c r="S653" s="533">
        <f t="shared" si="112"/>
        <v>0</v>
      </c>
      <c r="T653" s="533">
        <v>25</v>
      </c>
      <c r="U653" s="533">
        <v>0.01</v>
      </c>
      <c r="V653" s="533">
        <v>-4</v>
      </c>
      <c r="W653" s="533"/>
      <c r="X653" s="533"/>
      <c r="Y653" s="533"/>
      <c r="Z653" s="533"/>
      <c r="AA653" s="533"/>
      <c r="AB653" s="533"/>
      <c r="AC653" s="533"/>
      <c r="AD653" s="533"/>
      <c r="AE653" s="533"/>
      <c r="AF653" s="533"/>
      <c r="AG653" s="533"/>
      <c r="AH653" s="533"/>
      <c r="AI653" s="533"/>
      <c r="AJ653" s="1"/>
      <c r="AK653" s="533"/>
      <c r="AL653" s="533"/>
      <c r="AM653" s="533"/>
      <c r="AN653" s="533"/>
      <c r="AO653" s="533"/>
      <c r="AP653" s="533"/>
      <c r="AQ653" s="533"/>
      <c r="AR653" s="533"/>
    </row>
    <row r="654" spans="1:44" ht="13.5" hidden="1" customHeight="1" x14ac:dyDescent="0.25">
      <c r="A654" s="140"/>
      <c r="B654" s="610" t="s">
        <v>741</v>
      </c>
      <c r="C654" s="746" t="s">
        <v>747</v>
      </c>
      <c r="D654" s="728"/>
      <c r="E654" s="711"/>
      <c r="F654" s="750" t="s">
        <v>733</v>
      </c>
      <c r="G654" s="752" t="s">
        <v>1769</v>
      </c>
      <c r="H654" s="27">
        <f>VLOOKUP(C654,A!A$1:H$669,8,FALSE)</f>
        <v>1</v>
      </c>
      <c r="I654" s="143"/>
      <c r="J654" s="28">
        <f>IF(VLOOKUP(C654,A!A$1:H$669,4,FALSE)="y",1,0)</f>
        <v>0</v>
      </c>
      <c r="K654" s="28">
        <f>IF(VLOOKUP(C654,A!A$1:H$669,5,FALSE)="y",1,0)</f>
        <v>0</v>
      </c>
      <c r="L654" s="330"/>
      <c r="M654" s="80">
        <f>VLOOKUP(C654,A!A$1:H$669,6,FALSE)</f>
        <v>0</v>
      </c>
      <c r="N654" s="675">
        <v>5</v>
      </c>
      <c r="O654" s="533">
        <f>VLOOKUP(C654,A!A$1:G$669,2,FALSE)</f>
        <v>0</v>
      </c>
      <c r="P654" s="533" t="s">
        <v>744</v>
      </c>
      <c r="Q654" s="533" t="str">
        <f>IF(S654=0,"",COUNTIF(Q$12:Q653,"&gt;0")+1)</f>
        <v/>
      </c>
      <c r="R654" s="533" t="str">
        <f>IF(S654=0,"",COUNTIF(R$12:R653,"&gt;0")+1)</f>
        <v/>
      </c>
      <c r="S654" s="533">
        <f t="shared" si="112"/>
        <v>0</v>
      </c>
      <c r="T654" s="533">
        <v>25</v>
      </c>
      <c r="U654" s="533">
        <v>0.01</v>
      </c>
      <c r="V654" s="533">
        <v>-4</v>
      </c>
      <c r="W654" s="533"/>
      <c r="X654" s="533"/>
      <c r="Y654" s="533"/>
      <c r="Z654" s="533"/>
      <c r="AA654" s="533"/>
      <c r="AB654" s="533"/>
      <c r="AC654" s="533"/>
      <c r="AD654" s="533"/>
      <c r="AE654" s="533"/>
      <c r="AF654" s="533"/>
      <c r="AG654" s="533"/>
      <c r="AH654" s="533"/>
      <c r="AI654" s="533"/>
      <c r="AJ654" s="1"/>
      <c r="AK654" s="533"/>
      <c r="AL654" s="533"/>
      <c r="AM654" s="533"/>
      <c r="AN654" s="533"/>
      <c r="AO654" s="533"/>
      <c r="AP654" s="533"/>
      <c r="AQ654" s="533"/>
      <c r="AR654" s="533"/>
    </row>
    <row r="655" spans="1:44" ht="13.5" hidden="1" customHeight="1" x14ac:dyDescent="0.25">
      <c r="A655" s="148"/>
      <c r="B655" s="611" t="s">
        <v>741</v>
      </c>
      <c r="C655" s="747" t="s">
        <v>748</v>
      </c>
      <c r="D655" s="734"/>
      <c r="E655" s="875"/>
      <c r="F655" s="751" t="s">
        <v>749</v>
      </c>
      <c r="G655" s="752" t="s">
        <v>1769</v>
      </c>
      <c r="H655" s="27">
        <f>VLOOKUP(C655,A!A$1:H$669,8,FALSE)</f>
        <v>1</v>
      </c>
      <c r="I655" s="143"/>
      <c r="J655" s="28">
        <f>IF(VLOOKUP(C655,A!A$1:H$669,4,FALSE)="y",1,0)</f>
        <v>0</v>
      </c>
      <c r="K655" s="28">
        <f>IF(VLOOKUP(C655,A!A$1:H$669,5,FALSE)="y",1,0)</f>
        <v>0</v>
      </c>
      <c r="L655" s="330"/>
      <c r="M655" s="80">
        <f>VLOOKUP(C655,A!A$1:H$669,6,FALSE)</f>
        <v>0</v>
      </c>
      <c r="N655" s="676">
        <v>5</v>
      </c>
      <c r="O655" s="533">
        <f>VLOOKUP(C655,A!A$1:G$669,2,FALSE)</f>
        <v>0</v>
      </c>
      <c r="P655" s="533" t="s">
        <v>744</v>
      </c>
      <c r="Q655" s="533" t="str">
        <f>IF(S655=0,"",COUNTIF(Q$12:Q654,"&gt;0")+1)</f>
        <v/>
      </c>
      <c r="R655" s="533" t="str">
        <f>IF(S655=0,"",COUNTIF(R$12:R654,"&gt;0")+1)</f>
        <v/>
      </c>
      <c r="S655" s="533">
        <f t="shared" si="112"/>
        <v>0</v>
      </c>
      <c r="T655" s="533">
        <v>25</v>
      </c>
      <c r="U655" s="533">
        <v>0.01</v>
      </c>
      <c r="V655" s="533">
        <v>-4</v>
      </c>
      <c r="W655" s="533"/>
      <c r="X655" s="533"/>
      <c r="Y655" s="533"/>
      <c r="Z655" s="533"/>
      <c r="AA655" s="533"/>
      <c r="AB655" s="533"/>
      <c r="AC655" s="533"/>
      <c r="AD655" s="533"/>
      <c r="AE655" s="533"/>
      <c r="AF655" s="533"/>
      <c r="AG655" s="533"/>
      <c r="AH655" s="533"/>
      <c r="AI655" s="533"/>
      <c r="AJ655" s="1"/>
      <c r="AK655" s="533"/>
      <c r="AL655" s="533"/>
      <c r="AM655" s="533"/>
      <c r="AN655" s="533"/>
      <c r="AO655" s="533"/>
      <c r="AP655" s="533"/>
      <c r="AQ655" s="533"/>
      <c r="AR655" s="533"/>
    </row>
    <row r="656" spans="1:44" ht="15.75" hidden="1" customHeight="1" thickBot="1" x14ac:dyDescent="0.3">
      <c r="A656" s="150"/>
      <c r="B656" s="612" t="s">
        <v>741</v>
      </c>
      <c r="C656" s="941" t="s">
        <v>750</v>
      </c>
      <c r="D656" s="660"/>
      <c r="E656" s="883"/>
      <c r="F656" s="151" t="s">
        <v>734</v>
      </c>
      <c r="G656" s="152" t="s">
        <v>1146</v>
      </c>
      <c r="H656" s="153">
        <f>VLOOKUP(C656,A!A$1:H$669,8,FALSE)</f>
        <v>1</v>
      </c>
      <c r="I656" s="147"/>
      <c r="J656" s="154">
        <f>IF(VLOOKUP(C656,A!A$1:H$669,4,FALSE)="y",1,0)</f>
        <v>0</v>
      </c>
      <c r="K656" s="154">
        <f>IF(VLOOKUP(C656,A!A$1:H$669,5,FALSE)="y",1,0)</f>
        <v>0</v>
      </c>
      <c r="L656" s="155" t="str">
        <f>IF(VLOOKUP(C656,A!A$1:H$669,3,FALSE)="y","NEW","")</f>
        <v/>
      </c>
      <c r="M656" s="156">
        <f>VLOOKUP(C656,A!A$1:H$669,6,FALSE)</f>
        <v>0</v>
      </c>
      <c r="N656" s="157">
        <v>5</v>
      </c>
      <c r="O656" s="533">
        <f>VLOOKUP(C656,A!A$1:G$669,2,FALSE)</f>
        <v>0</v>
      </c>
      <c r="P656" s="533" t="s">
        <v>744</v>
      </c>
      <c r="Q656" s="533" t="str">
        <f>IF(S656=0,"",COUNTIF(Q$12:Q655,"&gt;0")+1)</f>
        <v/>
      </c>
      <c r="R656" s="533" t="str">
        <f>IF(S656=0,"",COUNTIF(R$12:R655,"&gt;0")+1)</f>
        <v/>
      </c>
      <c r="S656" s="533">
        <f t="shared" si="112"/>
        <v>0</v>
      </c>
      <c r="T656" s="533"/>
      <c r="U656" s="533"/>
      <c r="V656" s="533">
        <v>-4</v>
      </c>
      <c r="W656" s="533"/>
      <c r="X656" s="533"/>
      <c r="Y656" s="533"/>
      <c r="Z656" s="533"/>
      <c r="AA656" s="533"/>
      <c r="AB656" s="533"/>
      <c r="AC656" s="533"/>
      <c r="AD656" s="533"/>
      <c r="AE656" s="533"/>
      <c r="AF656" s="533"/>
      <c r="AG656" s="533"/>
      <c r="AH656" s="533"/>
      <c r="AI656" s="533"/>
      <c r="AJ656" s="1"/>
      <c r="AK656" s="533"/>
      <c r="AL656" s="533"/>
      <c r="AM656" s="533"/>
      <c r="AN656" s="533"/>
      <c r="AO656" s="533"/>
      <c r="AP656" s="533"/>
      <c r="AQ656" s="533"/>
      <c r="AR656" s="533"/>
    </row>
    <row r="657" spans="1:44" ht="15" hidden="1" customHeight="1" x14ac:dyDescent="0.25">
      <c r="A657" s="158">
        <f>SUM(A650:A656)</f>
        <v>0</v>
      </c>
      <c r="B657" s="613" t="s">
        <v>741</v>
      </c>
      <c r="C657" s="159" t="s">
        <v>1780</v>
      </c>
      <c r="D657" s="735"/>
      <c r="E657" s="884"/>
      <c r="F657" s="160"/>
      <c r="G657" s="161"/>
      <c r="H657" s="162"/>
      <c r="I657" s="162"/>
      <c r="J657" s="163"/>
      <c r="K657" s="163"/>
      <c r="L657" s="163"/>
      <c r="M657" s="163"/>
      <c r="N657" s="163"/>
      <c r="P657" s="533" t="s">
        <v>744</v>
      </c>
      <c r="Q657" s="533" t="str">
        <f>IF(S657=0,"",COUNTIF(Q$12:Q656,"&gt;0")+1)</f>
        <v/>
      </c>
      <c r="R657" s="533"/>
      <c r="S657" s="533">
        <f>A657</f>
        <v>0</v>
      </c>
      <c r="T657" s="533"/>
      <c r="U657" s="533"/>
      <c r="V657" s="533"/>
      <c r="W657" s="533"/>
      <c r="X657" s="533"/>
      <c r="Y657" s="533"/>
      <c r="Z657" s="533"/>
      <c r="AA657" s="533"/>
      <c r="AB657" s="533"/>
      <c r="AC657" s="533"/>
      <c r="AD657" s="533"/>
      <c r="AE657" s="533"/>
      <c r="AF657" s="533"/>
      <c r="AG657" s="533"/>
      <c r="AH657" s="533"/>
      <c r="AI657" s="533"/>
      <c r="AJ657" s="1"/>
      <c r="AK657" s="533"/>
      <c r="AL657" s="533"/>
      <c r="AM657" s="533"/>
      <c r="AN657" s="533"/>
      <c r="AO657" s="533"/>
      <c r="AP657" s="533"/>
      <c r="AQ657" s="533"/>
      <c r="AR657" s="533"/>
    </row>
    <row r="658" spans="1:44" ht="15.75" hidden="1" customHeight="1" thickBot="1" x14ac:dyDescent="0.3">
      <c r="A658" s="2"/>
      <c r="L658" s="3"/>
      <c r="M658" s="2"/>
      <c r="P658" s="533"/>
      <c r="Q658" s="533" t="str">
        <f>IF(S658=0,"",COUNTIF(Q$12:Q657,"&gt;0")+1)</f>
        <v/>
      </c>
      <c r="R658" s="533" t="str">
        <f>IF(S658=0,"",COUNTIF(R$12:R657,"&gt;0")+1)</f>
        <v/>
      </c>
      <c r="S658" s="533"/>
      <c r="T658" s="533"/>
      <c r="U658" s="533"/>
      <c r="V658" s="533"/>
      <c r="W658" s="533"/>
      <c r="X658" s="533"/>
      <c r="Y658" s="533"/>
      <c r="Z658" s="533"/>
      <c r="AA658" s="533"/>
      <c r="AB658" s="533"/>
      <c r="AC658" s="533"/>
      <c r="AD658" s="533"/>
      <c r="AE658" s="533"/>
      <c r="AF658" s="533"/>
      <c r="AG658" s="533"/>
      <c r="AH658" s="533"/>
      <c r="AI658" s="533"/>
      <c r="AJ658" s="1"/>
      <c r="AK658" s="533"/>
      <c r="AL658" s="533"/>
      <c r="AM658" s="533"/>
      <c r="AN658" s="533"/>
      <c r="AO658" s="533"/>
      <c r="AP658" s="533"/>
      <c r="AQ658" s="533"/>
      <c r="AR658" s="533"/>
    </row>
    <row r="659" spans="1:44" ht="12" customHeight="1" x14ac:dyDescent="0.25">
      <c r="A659" s="1204" t="s">
        <v>11</v>
      </c>
      <c r="B659" s="1205"/>
      <c r="C659" s="1212" t="s">
        <v>1863</v>
      </c>
      <c r="D659" s="1213"/>
      <c r="E659" s="1213"/>
      <c r="F659" s="1213"/>
      <c r="G659" s="1213"/>
      <c r="H659" s="181"/>
      <c r="I659" s="181"/>
      <c r="J659" s="181"/>
      <c r="K659" s="181"/>
      <c r="L659" s="181"/>
      <c r="M659" s="181"/>
      <c r="N659" s="182"/>
      <c r="O659" s="1068"/>
      <c r="P659" s="533"/>
      <c r="Q659" s="533" t="str">
        <f>IF(S659=0,"",COUNTIF(Q$12:Q658,"&gt;0")+1)</f>
        <v/>
      </c>
      <c r="R659" s="533" t="str">
        <f>IF(S659=0,"",COUNTIF(R$12:R658,"&gt;0")+1)</f>
        <v/>
      </c>
      <c r="S659" s="533"/>
      <c r="T659" s="533"/>
      <c r="U659" s="533"/>
      <c r="V659" s="533"/>
      <c r="W659" s="533"/>
      <c r="X659" s="533"/>
      <c r="Y659" s="533"/>
      <c r="Z659" s="533"/>
      <c r="AA659" s="533"/>
      <c r="AB659" s="533"/>
      <c r="AC659" s="533"/>
      <c r="AD659" s="533"/>
      <c r="AE659" s="533"/>
      <c r="AF659" s="533"/>
      <c r="AG659" s="533"/>
      <c r="AH659" s="533"/>
      <c r="AI659" s="533"/>
      <c r="AJ659" s="1"/>
      <c r="AK659" s="533"/>
      <c r="AL659" s="533"/>
      <c r="AM659" s="533"/>
      <c r="AN659" s="533"/>
      <c r="AO659" s="533"/>
      <c r="AP659" s="533"/>
      <c r="AQ659" s="533"/>
      <c r="AR659" s="533"/>
    </row>
    <row r="660" spans="1:44" ht="12" customHeight="1" thickBot="1" x14ac:dyDescent="0.3">
      <c r="A660" s="1073" t="s">
        <v>1845</v>
      </c>
      <c r="B660" s="1074"/>
      <c r="C660" s="1214"/>
      <c r="D660" s="1215"/>
      <c r="E660" s="1215"/>
      <c r="F660" s="1215"/>
      <c r="G660" s="1215"/>
      <c r="H660" s="1053"/>
      <c r="I660" s="1054"/>
      <c r="J660" s="184"/>
      <c r="K660" s="184"/>
      <c r="L660" s="183"/>
      <c r="M660" s="184"/>
      <c r="N660" s="185" t="s">
        <v>16</v>
      </c>
      <c r="O660" s="1070"/>
      <c r="P660" s="533"/>
      <c r="Q660" s="533" t="str">
        <f>IF(S660=0,"",COUNTIF(Q$12:Q659,"&gt;0")+1)</f>
        <v/>
      </c>
      <c r="R660" s="533" t="str">
        <f>IF(S660=0,"",COUNTIF(R$12:R659,"&gt;0")+1)</f>
        <v/>
      </c>
      <c r="S660" s="533"/>
      <c r="T660" s="533"/>
      <c r="U660" s="533"/>
      <c r="V660" s="533"/>
      <c r="W660" s="533"/>
      <c r="X660" s="533"/>
      <c r="Y660" s="533"/>
      <c r="Z660" s="533"/>
      <c r="AA660" s="533"/>
      <c r="AB660" s="533"/>
      <c r="AC660" s="533"/>
      <c r="AD660" s="533"/>
      <c r="AE660" s="533"/>
      <c r="AF660" s="533"/>
      <c r="AG660" s="533"/>
      <c r="AH660" s="533"/>
      <c r="AI660" s="533"/>
      <c r="AJ660" s="1"/>
      <c r="AK660" s="533"/>
      <c r="AL660" s="533"/>
      <c r="AM660" s="533"/>
      <c r="AN660" s="533"/>
      <c r="AO660" s="533"/>
      <c r="AP660" s="533"/>
      <c r="AQ660" s="533"/>
      <c r="AR660" s="533"/>
    </row>
    <row r="661" spans="1:44" ht="12" hidden="1" customHeight="1" x14ac:dyDescent="0.25">
      <c r="A661" s="186"/>
      <c r="B661" s="188" t="s">
        <v>510</v>
      </c>
      <c r="C661" s="187" t="s">
        <v>771</v>
      </c>
      <c r="D661" s="662"/>
      <c r="E661" s="886"/>
      <c r="F661" s="188"/>
      <c r="G661" s="189" t="s">
        <v>772</v>
      </c>
      <c r="H661" s="198"/>
      <c r="I661" s="190"/>
      <c r="J661" s="191">
        <f>IF(VLOOKUP(C661,A!A$1:H$669,4,FALSE)="y",1,0)</f>
        <v>0</v>
      </c>
      <c r="K661" s="191">
        <f>IF(VLOOKUP(C661,A!A$1:H$669,5,FALSE)="y",1,0)</f>
        <v>0</v>
      </c>
      <c r="L661" s="362"/>
      <c r="M661" s="190">
        <f>VLOOKUP(C661,A!A$1:H$669,6,FALSE)</f>
        <v>0</v>
      </c>
      <c r="N661" s="192">
        <v>4</v>
      </c>
      <c r="O661" s="533">
        <f>VLOOKUP(C661,A!A$1:G$669,2,FALSE)</f>
        <v>0</v>
      </c>
      <c r="P661" s="533" t="str">
        <f>"1L "&amp;G$670&amp;" Waterlilies"</f>
        <v>1L Small Waterlilies</v>
      </c>
      <c r="Q661" s="533" t="str">
        <f>IF(S661=0,"",COUNTIF(Q$12:Q660,"&gt;0")+1)</f>
        <v/>
      </c>
      <c r="R661" s="533" t="str">
        <f>IF(S661=0,"",COUNTIF(R$12:R660,"&gt;0")+1)</f>
        <v/>
      </c>
      <c r="S661" s="533">
        <f t="shared" ref="S661:S670" si="113">A661</f>
        <v>0</v>
      </c>
      <c r="T661" s="533">
        <v>35</v>
      </c>
      <c r="U661" s="533">
        <v>0.06</v>
      </c>
      <c r="V661" s="533">
        <v>-4</v>
      </c>
      <c r="W661" s="533"/>
      <c r="X661" s="533"/>
      <c r="Y661" s="533"/>
      <c r="Z661" s="533"/>
      <c r="AA661" s="533"/>
      <c r="AB661" s="533"/>
      <c r="AC661" s="533"/>
      <c r="AD661" s="533"/>
      <c r="AE661" s="533"/>
      <c r="AF661" s="533"/>
      <c r="AG661" s="533"/>
      <c r="AH661" s="533"/>
      <c r="AI661" s="533"/>
      <c r="AJ661" s="1"/>
      <c r="AK661" s="533"/>
      <c r="AL661" s="533"/>
      <c r="AM661" s="533"/>
      <c r="AN661" s="533"/>
      <c r="AO661" s="533"/>
      <c r="AP661" s="533"/>
      <c r="AQ661" s="533"/>
      <c r="AR661" s="533"/>
    </row>
    <row r="662" spans="1:44" ht="12" hidden="1" customHeight="1" x14ac:dyDescent="0.25">
      <c r="A662" s="170"/>
      <c r="B662" s="104" t="s">
        <v>510</v>
      </c>
      <c r="C662" s="24" t="s">
        <v>773</v>
      </c>
      <c r="D662" s="642"/>
      <c r="E662" s="861"/>
      <c r="F662" s="311">
        <v>5021353003086</v>
      </c>
      <c r="G662" s="26" t="s">
        <v>758</v>
      </c>
      <c r="H662" s="27"/>
      <c r="I662" s="27"/>
      <c r="J662" s="28">
        <f>IF(VLOOKUP(C662,A!A$1:H$669,4,FALSE)="y",1,0)</f>
        <v>0</v>
      </c>
      <c r="K662" s="28">
        <f>IF(VLOOKUP(C662,A!A$1:H$669,5,FALSE)="y",1,0)</f>
        <v>0</v>
      </c>
      <c r="L662" s="330"/>
      <c r="M662" s="80">
        <f>VLOOKUP(C662,A!A$1:H$669,6,FALSE)</f>
        <v>0</v>
      </c>
      <c r="N662" s="171">
        <v>4</v>
      </c>
      <c r="O662" s="533">
        <f>VLOOKUP(C662,A!A$1:G$669,2,FALSE)</f>
        <v>0</v>
      </c>
      <c r="P662" s="533" t="str">
        <f t="shared" ref="P662:P670" si="114">"1L "&amp;G$670&amp;" Waterlilies"</f>
        <v>1L Small Waterlilies</v>
      </c>
      <c r="Q662" s="533" t="str">
        <f>IF(S662=0,"",COUNTIF(Q$12:Q661,"&gt;0")+1)</f>
        <v/>
      </c>
      <c r="R662" s="533" t="str">
        <f>IF(S662=0,"",COUNTIF(R$12:R661,"&gt;0")+1)</f>
        <v/>
      </c>
      <c r="S662" s="533">
        <f t="shared" si="113"/>
        <v>0</v>
      </c>
      <c r="T662" s="533">
        <v>35</v>
      </c>
      <c r="U662" s="533">
        <v>0.06</v>
      </c>
      <c r="V662" s="533">
        <v>-4</v>
      </c>
      <c r="W662" s="533"/>
      <c r="X662" s="533"/>
      <c r="Y662" s="533"/>
      <c r="Z662" s="533"/>
      <c r="AA662" s="533"/>
      <c r="AB662" s="533"/>
      <c r="AC662" s="533"/>
      <c r="AD662" s="533"/>
      <c r="AE662" s="533"/>
      <c r="AF662" s="533"/>
      <c r="AG662" s="533"/>
      <c r="AH662" s="533"/>
      <c r="AI662" s="533"/>
      <c r="AJ662" s="1"/>
      <c r="AK662" s="533"/>
      <c r="AL662" s="533"/>
      <c r="AM662" s="533"/>
      <c r="AN662" s="533"/>
      <c r="AO662" s="533"/>
      <c r="AP662" s="533"/>
      <c r="AQ662" s="533"/>
      <c r="AR662" s="533"/>
    </row>
    <row r="663" spans="1:44" ht="12" hidden="1" customHeight="1" x14ac:dyDescent="0.25">
      <c r="A663" s="170"/>
      <c r="B663" s="104" t="s">
        <v>510</v>
      </c>
      <c r="C663" s="24" t="s">
        <v>774</v>
      </c>
      <c r="D663" s="642"/>
      <c r="E663" s="861"/>
      <c r="F663" s="311">
        <v>5021353003291</v>
      </c>
      <c r="G663" s="26" t="s">
        <v>759</v>
      </c>
      <c r="H663" s="27"/>
      <c r="I663" s="27"/>
      <c r="J663" s="28">
        <f>IF(VLOOKUP(C663,A!A$1:H$669,4,FALSE)="y",1,0)</f>
        <v>0</v>
      </c>
      <c r="K663" s="28">
        <f>IF(VLOOKUP(C663,A!A$1:H$669,5,FALSE)="y",1,0)</f>
        <v>0</v>
      </c>
      <c r="L663" s="330"/>
      <c r="M663" s="80">
        <f>VLOOKUP(C663,A!A$1:H$669,6,FALSE)</f>
        <v>0</v>
      </c>
      <c r="N663" s="171">
        <v>4</v>
      </c>
      <c r="O663" s="533">
        <f>VLOOKUP(C663,A!A$1:G$669,2,FALSE)</f>
        <v>0</v>
      </c>
      <c r="P663" s="533" t="str">
        <f>"1L "&amp;G$670&amp;" Waterlilies"</f>
        <v>1L Small Waterlilies</v>
      </c>
      <c r="Q663" s="533" t="str">
        <f>IF(S663=0,"",COUNTIF(Q$12:Q662,"&gt;0")+1)</f>
        <v/>
      </c>
      <c r="R663" s="533" t="str">
        <f>IF(S663=0,"",COUNTIF(R$12:R662,"&gt;0")+1)</f>
        <v/>
      </c>
      <c r="S663" s="533">
        <f t="shared" si="113"/>
        <v>0</v>
      </c>
      <c r="T663" s="533">
        <v>35</v>
      </c>
      <c r="U663" s="533">
        <v>0.06</v>
      </c>
      <c r="V663" s="533">
        <v>-4</v>
      </c>
      <c r="W663" s="533"/>
      <c r="X663" s="533"/>
      <c r="Y663" s="533"/>
      <c r="Z663" s="533"/>
      <c r="AA663" s="533"/>
      <c r="AB663" s="533"/>
      <c r="AC663" s="533"/>
      <c r="AD663" s="533"/>
      <c r="AE663" s="533"/>
      <c r="AF663" s="533"/>
      <c r="AG663" s="533"/>
      <c r="AH663" s="533"/>
      <c r="AI663" s="533"/>
      <c r="AJ663" s="1"/>
      <c r="AK663" s="533"/>
      <c r="AL663" s="533"/>
      <c r="AM663" s="533"/>
      <c r="AN663" s="533"/>
      <c r="AO663" s="533"/>
      <c r="AP663" s="533"/>
      <c r="AQ663" s="533"/>
      <c r="AR663" s="533"/>
    </row>
    <row r="664" spans="1:44" ht="12" hidden="1" customHeight="1" x14ac:dyDescent="0.25">
      <c r="A664" s="170"/>
      <c r="B664" s="104" t="s">
        <v>510</v>
      </c>
      <c r="C664" s="24" t="s">
        <v>775</v>
      </c>
      <c r="D664" s="642"/>
      <c r="E664" s="861"/>
      <c r="F664" s="311">
        <v>5021353014853</v>
      </c>
      <c r="G664" s="26" t="s">
        <v>760</v>
      </c>
      <c r="H664" s="27"/>
      <c r="I664" s="27"/>
      <c r="J664" s="28">
        <f>IF(VLOOKUP(C664,A!A$1:H$669,4,FALSE)="y",1,0)</f>
        <v>0</v>
      </c>
      <c r="K664" s="28">
        <f>IF(VLOOKUP(C664,A!A$1:H$669,5,FALSE)="y",1,0)</f>
        <v>0</v>
      </c>
      <c r="L664" s="330"/>
      <c r="M664" s="80">
        <f>VLOOKUP(C664,A!A$1:H$669,6,FALSE)</f>
        <v>0</v>
      </c>
      <c r="N664" s="171">
        <v>4</v>
      </c>
      <c r="O664" s="533">
        <f>VLOOKUP(C664,A!A$1:G$669,2,FALSE)</f>
        <v>0</v>
      </c>
      <c r="P664" s="533" t="str">
        <f t="shared" si="114"/>
        <v>1L Small Waterlilies</v>
      </c>
      <c r="Q664" s="533" t="str">
        <f>IF(S664=0,"",COUNTIF(Q$12:Q663,"&gt;0")+1)</f>
        <v/>
      </c>
      <c r="R664" s="533" t="str">
        <f>IF(S664=0,"",COUNTIF(R$12:R663,"&gt;0")+1)</f>
        <v/>
      </c>
      <c r="S664" s="533">
        <f t="shared" si="113"/>
        <v>0</v>
      </c>
      <c r="T664" s="533">
        <v>35</v>
      </c>
      <c r="U664" s="533">
        <v>0.06</v>
      </c>
      <c r="V664" s="533">
        <v>-4</v>
      </c>
      <c r="W664" s="533"/>
      <c r="X664" s="533"/>
      <c r="Y664" s="533"/>
      <c r="Z664" s="533"/>
      <c r="AA664" s="533"/>
      <c r="AB664" s="533"/>
      <c r="AC664" s="533"/>
      <c r="AD664" s="533"/>
      <c r="AE664" s="533"/>
      <c r="AF664" s="533"/>
      <c r="AG664" s="533"/>
      <c r="AH664" s="533"/>
      <c r="AI664" s="533"/>
      <c r="AJ664" s="1"/>
      <c r="AK664" s="533"/>
      <c r="AL664" s="533"/>
      <c r="AM664" s="533"/>
      <c r="AN664" s="533"/>
      <c r="AO664" s="533"/>
      <c r="AP664" s="533"/>
      <c r="AQ664" s="533"/>
      <c r="AR664" s="533"/>
    </row>
    <row r="665" spans="1:44" ht="13.5" hidden="1" customHeight="1" x14ac:dyDescent="0.25">
      <c r="A665" s="170"/>
      <c r="B665" s="104" t="s">
        <v>510</v>
      </c>
      <c r="C665" s="1216" t="s">
        <v>1256</v>
      </c>
      <c r="D665" s="1217"/>
      <c r="E665" s="1217"/>
      <c r="F665" s="311">
        <v>5021353003345</v>
      </c>
      <c r="G665" s="26" t="s">
        <v>761</v>
      </c>
      <c r="H665" s="27"/>
      <c r="I665" s="27"/>
      <c r="J665" s="28">
        <f>IF(VLOOKUP(C665,A!A$1:H$669,4,FALSE)="y",1,0)</f>
        <v>0</v>
      </c>
      <c r="K665" s="28"/>
      <c r="L665" s="334"/>
      <c r="M665" s="27">
        <f>VLOOKUP(C665,A!A$1:H$669,6,FALSE)</f>
        <v>0</v>
      </c>
      <c r="N665" s="171">
        <v>4</v>
      </c>
      <c r="O665" s="533">
        <f>VLOOKUP(C665,A!A$1:G$669,2,FALSE)</f>
        <v>0</v>
      </c>
      <c r="P665" s="533" t="str">
        <f t="shared" si="114"/>
        <v>1L Small Waterlilies</v>
      </c>
      <c r="Q665" s="533" t="str">
        <f>IF(S665=0,"",COUNTIF(Q$12:Q664,"&gt;0")+1)</f>
        <v/>
      </c>
      <c r="R665" s="533" t="str">
        <f>IF(S665=0,"",COUNTIF(R$12:R664,"&gt;0")+1)</f>
        <v/>
      </c>
      <c r="S665" s="533">
        <f t="shared" si="113"/>
        <v>0</v>
      </c>
      <c r="T665" s="533">
        <v>35</v>
      </c>
      <c r="U665" s="533">
        <v>0.06</v>
      </c>
      <c r="V665" s="533">
        <v>-4</v>
      </c>
      <c r="W665" s="533"/>
      <c r="X665" s="533"/>
      <c r="Y665" s="533"/>
      <c r="Z665" s="533"/>
      <c r="AA665" s="533"/>
      <c r="AB665" s="533"/>
      <c r="AC665" s="533"/>
      <c r="AD665" s="533"/>
      <c r="AE665" s="533"/>
      <c r="AF665" s="533"/>
      <c r="AG665" s="533"/>
      <c r="AH665" s="533"/>
      <c r="AI665" s="533"/>
      <c r="AJ665" s="1"/>
      <c r="AK665" s="533"/>
      <c r="AL665" s="533"/>
      <c r="AM665" s="533"/>
      <c r="AN665" s="533"/>
      <c r="AO665" s="533"/>
      <c r="AP665" s="533"/>
      <c r="AQ665" s="533"/>
      <c r="AR665" s="533"/>
    </row>
    <row r="666" spans="1:44" ht="13.5" customHeight="1" thickBot="1" x14ac:dyDescent="0.3">
      <c r="A666" s="172"/>
      <c r="B666" s="1052" t="s">
        <v>751</v>
      </c>
      <c r="C666" s="1051" t="s">
        <v>1853</v>
      </c>
      <c r="D666" s="1048"/>
      <c r="E666" s="1048"/>
      <c r="F666" s="1049">
        <v>5021353003345</v>
      </c>
      <c r="G666" s="26" t="s">
        <v>1854</v>
      </c>
      <c r="H666" s="128"/>
      <c r="I666" s="128"/>
      <c r="J666" s="193"/>
      <c r="K666" s="193"/>
      <c r="L666" s="301"/>
      <c r="M666" s="128"/>
      <c r="N666" s="292">
        <v>4</v>
      </c>
      <c r="O666" s="533" t="str">
        <f>VLOOKUP(C666,A!A$1:G$669,2,FALSE)</f>
        <v>y</v>
      </c>
      <c r="P666" s="533" t="str">
        <f t="shared" ref="P666" si="115">"1L "&amp;G$670&amp;" Waterlilies"</f>
        <v>1L Small Waterlilies</v>
      </c>
      <c r="Q666" s="533" t="str">
        <f>IF(S666=0,"",COUNTIF(Q$12:Q665,"&gt;0")+1)</f>
        <v/>
      </c>
      <c r="R666" s="533" t="str">
        <f>IF(S666=0,"",COUNTIF(R$12:R665,"&gt;0")+1)</f>
        <v/>
      </c>
      <c r="S666" s="533">
        <f t="shared" ref="S666" si="116">A666</f>
        <v>0</v>
      </c>
      <c r="T666" s="533">
        <v>35</v>
      </c>
      <c r="U666" s="533">
        <v>0.06</v>
      </c>
      <c r="V666" s="533">
        <v>-4</v>
      </c>
      <c r="W666" s="533"/>
      <c r="X666" s="533"/>
      <c r="Y666" s="533"/>
      <c r="Z666" s="533"/>
      <c r="AA666" s="533"/>
      <c r="AB666" s="533"/>
      <c r="AC666" s="533"/>
      <c r="AD666" s="533"/>
      <c r="AE666" s="533"/>
      <c r="AF666" s="533"/>
      <c r="AG666" s="533"/>
      <c r="AH666" s="533"/>
      <c r="AI666" s="533"/>
      <c r="AJ666" s="1"/>
      <c r="AK666" s="533"/>
      <c r="AL666" s="533"/>
      <c r="AM666" s="533"/>
      <c r="AN666" s="533"/>
      <c r="AO666" s="533"/>
      <c r="AP666" s="533"/>
      <c r="AQ666" s="533"/>
      <c r="AR666" s="533"/>
    </row>
    <row r="667" spans="1:44" ht="12.75" hidden="1" customHeight="1" x14ac:dyDescent="0.25">
      <c r="A667" s="172"/>
      <c r="B667" s="599" t="s">
        <v>510</v>
      </c>
      <c r="C667" s="942" t="s">
        <v>989</v>
      </c>
      <c r="D667" s="838"/>
      <c r="E667" s="838"/>
      <c r="F667" s="300"/>
      <c r="G667" s="291" t="s">
        <v>988</v>
      </c>
      <c r="H667" s="128"/>
      <c r="I667" s="128"/>
      <c r="J667" s="193"/>
      <c r="K667" s="193"/>
      <c r="L667" s="301"/>
      <c r="M667" s="128"/>
      <c r="N667" s="292">
        <v>4</v>
      </c>
      <c r="O667" s="533">
        <f>VLOOKUP(C667,A!A$1:G$669,2,FALSE)</f>
        <v>0</v>
      </c>
      <c r="P667" s="533" t="str">
        <f>"1L "&amp;G$670&amp;" Waterlilies"</f>
        <v>1L Small Waterlilies</v>
      </c>
      <c r="Q667" s="533" t="str">
        <f>IF(S667=0,"",COUNTIF(Q$12:Q665,"&gt;0")+1)</f>
        <v/>
      </c>
      <c r="R667" s="533" t="str">
        <f>IF(S667=0,"",COUNTIF(R$12:R665,"&gt;0")+1)</f>
        <v/>
      </c>
      <c r="S667" s="533">
        <f t="shared" si="113"/>
        <v>0</v>
      </c>
      <c r="T667" s="533">
        <v>35</v>
      </c>
      <c r="U667" s="533">
        <v>0.06</v>
      </c>
      <c r="V667" s="533">
        <v>-4</v>
      </c>
      <c r="W667" s="533"/>
      <c r="X667" s="533"/>
      <c r="Y667" s="533"/>
      <c r="Z667" s="533"/>
      <c r="AA667" s="533"/>
      <c r="AB667" s="533"/>
      <c r="AC667" s="533"/>
      <c r="AD667" s="533"/>
      <c r="AE667" s="533"/>
      <c r="AF667" s="533"/>
      <c r="AG667" s="533"/>
      <c r="AH667" s="533"/>
      <c r="AI667" s="533"/>
      <c r="AJ667" s="1"/>
      <c r="AK667" s="533"/>
      <c r="AL667" s="533"/>
      <c r="AM667" s="533"/>
      <c r="AN667" s="533"/>
      <c r="AO667" s="533"/>
      <c r="AP667" s="533"/>
      <c r="AQ667" s="533"/>
      <c r="AR667" s="533"/>
    </row>
    <row r="668" spans="1:44" ht="11.25" hidden="1" customHeight="1" thickBot="1" x14ac:dyDescent="0.3">
      <c r="A668" s="173"/>
      <c r="B668" s="614" t="s">
        <v>510</v>
      </c>
      <c r="C668" s="943" t="s">
        <v>776</v>
      </c>
      <c r="D668" s="839"/>
      <c r="E668" s="839"/>
      <c r="F668" s="199">
        <v>5021353003086</v>
      </c>
      <c r="G668" s="176" t="s">
        <v>758</v>
      </c>
      <c r="H668" s="200"/>
      <c r="I668" s="195"/>
      <c r="J668" s="196">
        <f>IF(VLOOKUP(C668,A!A$1:H$669,4,FALSE)="y",1,0)</f>
        <v>0</v>
      </c>
      <c r="K668" s="196"/>
      <c r="L668" s="331"/>
      <c r="M668" s="195">
        <f>VLOOKUP(C668,A!A$1:H$669,6,FALSE)</f>
        <v>0</v>
      </c>
      <c r="N668" s="177">
        <v>4</v>
      </c>
      <c r="O668" s="533">
        <f>VLOOKUP(C668,A!A$1:G$669,2,FALSE)</f>
        <v>0</v>
      </c>
      <c r="P668" s="533" t="str">
        <f t="shared" si="114"/>
        <v>1L Small Waterlilies</v>
      </c>
      <c r="Q668" s="533" t="str">
        <f>IF(S668=0,"",COUNTIF(Q$12:Q667,"&gt;0")+1)</f>
        <v/>
      </c>
      <c r="R668" s="533" t="str">
        <f>IF(S668=0,"",COUNTIF(R$12:R667,"&gt;0")+1)</f>
        <v/>
      </c>
      <c r="S668" s="533">
        <f t="shared" si="113"/>
        <v>0</v>
      </c>
      <c r="T668" s="533">
        <v>35</v>
      </c>
      <c r="U668" s="533">
        <v>0.06</v>
      </c>
      <c r="V668" s="533">
        <v>-4</v>
      </c>
      <c r="W668" s="533"/>
      <c r="X668" s="533"/>
      <c r="Y668" s="533"/>
      <c r="Z668" s="533"/>
      <c r="AA668" s="533"/>
      <c r="AB668" s="533"/>
      <c r="AC668" s="533"/>
      <c r="AD668" s="533"/>
      <c r="AE668" s="533"/>
      <c r="AF668" s="533"/>
      <c r="AG668" s="533"/>
      <c r="AH668" s="533"/>
      <c r="AI668" s="533"/>
      <c r="AJ668" s="1"/>
      <c r="AK668" s="533"/>
      <c r="AL668" s="533"/>
      <c r="AM668" s="533"/>
      <c r="AN668" s="533"/>
      <c r="AO668" s="533"/>
      <c r="AP668" s="533"/>
      <c r="AQ668" s="533"/>
      <c r="AR668" s="533"/>
    </row>
    <row r="669" spans="1:44" ht="13.5" hidden="1" customHeight="1" thickBot="1" x14ac:dyDescent="0.3">
      <c r="A669" s="201"/>
      <c r="B669" s="615" t="s">
        <v>510</v>
      </c>
      <c r="C669" s="944" t="s">
        <v>777</v>
      </c>
      <c r="D669" s="840"/>
      <c r="E669" s="840"/>
      <c r="F669" s="312">
        <v>5021353003291</v>
      </c>
      <c r="G669" s="203" t="s">
        <v>759</v>
      </c>
      <c r="H669" s="204"/>
      <c r="I669" s="136"/>
      <c r="J669" s="28">
        <f>IF(VLOOKUP(C669,A!A$1:H$669,4,FALSE)="y",1,0)</f>
        <v>0</v>
      </c>
      <c r="K669" s="205"/>
      <c r="L669" s="333"/>
      <c r="M669" s="136">
        <f>VLOOKUP(C669,A!A$1:H$669,6,FALSE)</f>
        <v>0</v>
      </c>
      <c r="N669" s="207">
        <v>4</v>
      </c>
      <c r="O669" s="533">
        <f>VLOOKUP(C669,A!A$1:G$669,2,FALSE)</f>
        <v>0</v>
      </c>
      <c r="P669" s="533" t="str">
        <f t="shared" si="114"/>
        <v>1L Small Waterlilies</v>
      </c>
      <c r="Q669" s="533" t="str">
        <f>IF(S669=0,"",COUNTIF(Q$12:Q668,"&gt;0")+1)</f>
        <v/>
      </c>
      <c r="R669" s="533" t="str">
        <f>IF(S669=0,"",COUNTIF(R$12:R668,"&gt;0")+1)</f>
        <v/>
      </c>
      <c r="S669" s="533">
        <f t="shared" si="113"/>
        <v>0</v>
      </c>
      <c r="T669" s="533">
        <v>35</v>
      </c>
      <c r="U669" s="533">
        <v>0.06</v>
      </c>
      <c r="V669" s="533">
        <v>-4</v>
      </c>
      <c r="W669" s="533"/>
      <c r="X669" s="533"/>
      <c r="Y669" s="533"/>
      <c r="Z669" s="533"/>
      <c r="AA669" s="533"/>
      <c r="AB669" s="533"/>
      <c r="AC669" s="533"/>
      <c r="AD669" s="533"/>
      <c r="AE669" s="533"/>
      <c r="AF669" s="533"/>
      <c r="AG669" s="533"/>
      <c r="AH669" s="533"/>
      <c r="AI669" s="533"/>
      <c r="AJ669" s="1"/>
      <c r="AK669" s="533"/>
      <c r="AL669" s="533"/>
      <c r="AM669" s="533"/>
      <c r="AN669" s="533"/>
      <c r="AO669" s="533"/>
      <c r="AP669" s="533"/>
      <c r="AQ669" s="533"/>
      <c r="AR669" s="533"/>
    </row>
    <row r="670" spans="1:44" ht="12" customHeight="1" x14ac:dyDescent="0.25">
      <c r="A670" s="137">
        <f>SUM(A661:A669)</f>
        <v>0</v>
      </c>
      <c r="B670" s="616" t="s">
        <v>510</v>
      </c>
      <c r="C670" s="178" t="str">
        <f>"Total 1L "&amp;G670&amp;" Waterlilies (x4)"</f>
        <v>Total 1L Small Waterlilies (x4)</v>
      </c>
      <c r="D670" s="661"/>
      <c r="E670" s="885"/>
      <c r="F670" s="164"/>
      <c r="G670" s="208" t="str">
        <f>IF(I660&lt;&gt;"","Pygmaea","Small")</f>
        <v>Small</v>
      </c>
      <c r="H670" s="164"/>
      <c r="I670" s="164"/>
      <c r="J670" s="164"/>
      <c r="K670" s="164"/>
      <c r="L670" s="179"/>
      <c r="M670" s="164"/>
      <c r="N670" s="180"/>
      <c r="O670" s="1068"/>
      <c r="P670" s="533" t="str">
        <f t="shared" si="114"/>
        <v>1L Small Waterlilies</v>
      </c>
      <c r="Q670" s="533" t="str">
        <f>IF(S670=0,"",COUNTIF(Q$12:Q669,"&gt;0")+1)</f>
        <v/>
      </c>
      <c r="R670" s="533"/>
      <c r="S670" s="533">
        <f t="shared" si="113"/>
        <v>0</v>
      </c>
      <c r="T670" s="533"/>
      <c r="U670" s="533"/>
      <c r="V670" s="533"/>
      <c r="W670" s="533"/>
      <c r="X670" s="533"/>
      <c r="Y670" s="533"/>
      <c r="Z670" s="533"/>
      <c r="AA670" s="533"/>
      <c r="AB670" s="533"/>
      <c r="AC670" s="533"/>
      <c r="AD670" s="533"/>
      <c r="AE670" s="533"/>
      <c r="AF670" s="533"/>
      <c r="AG670" s="533"/>
      <c r="AH670" s="533"/>
      <c r="AI670" s="533"/>
      <c r="AJ670" s="1"/>
      <c r="AK670" s="533"/>
      <c r="AL670" s="533"/>
      <c r="AM670" s="533"/>
      <c r="AN670" s="533"/>
      <c r="AO670" s="533"/>
      <c r="AP670" s="533"/>
      <c r="AQ670" s="533"/>
      <c r="AR670" s="533"/>
    </row>
    <row r="671" spans="1:44" ht="12" customHeight="1" thickBot="1" x14ac:dyDescent="0.3">
      <c r="A671" s="23"/>
      <c r="B671" s="601"/>
      <c r="C671" s="96"/>
      <c r="G671" s="4"/>
      <c r="L671" s="3"/>
      <c r="M671" s="2"/>
      <c r="N671" s="134"/>
      <c r="O671" s="1068"/>
      <c r="P671" s="533"/>
      <c r="Q671" s="533"/>
      <c r="R671" s="533"/>
      <c r="S671" s="533"/>
      <c r="T671" s="533"/>
      <c r="U671" s="533"/>
      <c r="V671" s="533"/>
      <c r="W671" s="533"/>
      <c r="X671" s="533"/>
      <c r="Y671" s="533"/>
      <c r="Z671" s="533"/>
      <c r="AA671" s="533"/>
      <c r="AB671" s="533"/>
      <c r="AC671" s="533"/>
      <c r="AD671" s="533"/>
      <c r="AE671" s="533"/>
      <c r="AF671" s="533"/>
      <c r="AG671" s="533"/>
      <c r="AH671" s="533"/>
      <c r="AI671" s="533"/>
      <c r="AJ671" s="1"/>
      <c r="AK671" s="533"/>
      <c r="AL671" s="533"/>
      <c r="AM671" s="533"/>
      <c r="AN671" s="533"/>
      <c r="AO671" s="533"/>
      <c r="AP671" s="533"/>
      <c r="AQ671" s="533"/>
      <c r="AR671" s="533"/>
    </row>
    <row r="672" spans="1:44" ht="12" customHeight="1" x14ac:dyDescent="0.25">
      <c r="A672" s="1204" t="s">
        <v>11</v>
      </c>
      <c r="B672" s="1205"/>
      <c r="C672" s="1212" t="s">
        <v>1864</v>
      </c>
      <c r="D672" s="1213"/>
      <c r="E672" s="1213"/>
      <c r="F672" s="1213"/>
      <c r="G672" s="1213"/>
      <c r="H672" s="181"/>
      <c r="I672" s="181"/>
      <c r="J672" s="181"/>
      <c r="K672" s="181"/>
      <c r="L672" s="181"/>
      <c r="M672" s="181"/>
      <c r="N672" s="182"/>
      <c r="O672" s="1068"/>
      <c r="P672" s="533"/>
      <c r="Q672" s="533" t="str">
        <f>IF(S672=0,"",COUNTIF(Q$12:Q671,"&gt;0")+1)</f>
        <v/>
      </c>
      <c r="R672" s="533" t="str">
        <f>IF(S672=0,"",COUNTIF(R$12:R671,"&gt;0")+1)</f>
        <v/>
      </c>
      <c r="S672" s="533"/>
      <c r="T672" s="533"/>
      <c r="U672" s="533"/>
      <c r="V672" s="533"/>
      <c r="W672" s="533"/>
      <c r="X672" s="533"/>
      <c r="Y672" s="533"/>
      <c r="Z672" s="533"/>
      <c r="AA672" s="533"/>
      <c r="AB672" s="533"/>
      <c r="AC672" s="533"/>
      <c r="AD672" s="533"/>
      <c r="AE672" s="533"/>
      <c r="AF672" s="533"/>
      <c r="AG672" s="533"/>
      <c r="AH672" s="533"/>
      <c r="AI672" s="533"/>
      <c r="AJ672" s="1"/>
      <c r="AK672" s="533"/>
      <c r="AL672" s="533"/>
      <c r="AM672" s="533"/>
      <c r="AN672" s="533"/>
      <c r="AO672" s="533"/>
      <c r="AP672" s="533"/>
      <c r="AQ672" s="533"/>
      <c r="AR672" s="533"/>
    </row>
    <row r="673" spans="1:44" ht="12" customHeight="1" thickBot="1" x14ac:dyDescent="0.3">
      <c r="A673" s="1073" t="s">
        <v>1845</v>
      </c>
      <c r="B673" s="1074"/>
      <c r="C673" s="1214"/>
      <c r="D673" s="1215"/>
      <c r="E673" s="1215"/>
      <c r="F673" s="1215"/>
      <c r="G673" s="1215"/>
      <c r="H673" s="1053"/>
      <c r="I673" s="1054"/>
      <c r="J673" s="184"/>
      <c r="K673" s="184"/>
      <c r="L673" s="183"/>
      <c r="M673" s="184"/>
      <c r="N673" s="185" t="s">
        <v>16</v>
      </c>
      <c r="O673" s="1070"/>
      <c r="P673" s="533"/>
      <c r="Q673" s="533" t="str">
        <f>IF(S673=0,"",COUNTIF(Q$12:Q672,"&gt;0")+1)</f>
        <v/>
      </c>
      <c r="R673" s="533" t="str">
        <f>IF(S673=0,"",COUNTIF(R$12:R672,"&gt;0")+1)</f>
        <v/>
      </c>
      <c r="S673" s="533"/>
      <c r="T673" s="533"/>
      <c r="U673" s="533"/>
      <c r="V673" s="533"/>
      <c r="W673" s="533"/>
      <c r="X673" s="533"/>
      <c r="Y673" s="533"/>
      <c r="Z673" s="533"/>
      <c r="AA673" s="533"/>
      <c r="AB673" s="533"/>
      <c r="AC673" s="533"/>
      <c r="AD673" s="533"/>
      <c r="AE673" s="533"/>
      <c r="AF673" s="533"/>
      <c r="AG673" s="533"/>
      <c r="AH673" s="533"/>
      <c r="AI673" s="533"/>
      <c r="AJ673" s="1"/>
      <c r="AK673" s="533"/>
      <c r="AL673" s="533"/>
      <c r="AM673" s="533"/>
      <c r="AN673" s="533"/>
      <c r="AO673" s="533"/>
      <c r="AP673" s="533"/>
      <c r="AQ673" s="533"/>
      <c r="AR673" s="533"/>
    </row>
    <row r="674" spans="1:44" ht="12" hidden="1" customHeight="1" x14ac:dyDescent="0.25">
      <c r="A674" s="186"/>
      <c r="B674" s="188" t="s">
        <v>751</v>
      </c>
      <c r="C674" s="1013" t="s">
        <v>762</v>
      </c>
      <c r="D674" s="662"/>
      <c r="E674" s="886"/>
      <c r="F674" s="1050"/>
      <c r="G674" s="189" t="s">
        <v>772</v>
      </c>
      <c r="H674" s="198"/>
      <c r="I674" s="190"/>
      <c r="J674" s="191">
        <f>IF(VLOOKUP(C674,A!A$1:H$669,4,FALSE)="y",1,0)</f>
        <v>0</v>
      </c>
      <c r="K674" s="191">
        <f>IF(VLOOKUP(C674,A!A$1:H$669,5,FALSE)="y",1,0)</f>
        <v>0</v>
      </c>
      <c r="L674" s="362"/>
      <c r="M674" s="190">
        <f>VLOOKUP(C674,A!A$1:H$669,6,FALSE)</f>
        <v>0</v>
      </c>
      <c r="N674" s="192">
        <v>4</v>
      </c>
      <c r="O674" s="533">
        <f>VLOOKUP(C674,A!A$1:G$669,2,FALSE)</f>
        <v>0</v>
      </c>
      <c r="P674" s="533" t="s">
        <v>1850</v>
      </c>
      <c r="Q674" s="533" t="str">
        <f>IF(S674=0,"",COUNTIF(Q$12:Q673,"&gt;0")+1)</f>
        <v/>
      </c>
      <c r="R674" s="533" t="str">
        <f>IF(S674=0,"",COUNTIF(R$12:R673,"&gt;0")+1)</f>
        <v/>
      </c>
      <c r="S674" s="533">
        <f t="shared" ref="S674:S677" si="117">A674</f>
        <v>0</v>
      </c>
      <c r="T674" s="533">
        <v>30</v>
      </c>
      <c r="U674" s="533">
        <v>7.0000000000000007E-2</v>
      </c>
      <c r="V674" s="533">
        <v>-4</v>
      </c>
      <c r="W674" s="533"/>
      <c r="X674" s="533"/>
      <c r="Y674" s="533"/>
      <c r="Z674" s="533"/>
      <c r="AA674" s="533"/>
      <c r="AB674" s="533"/>
      <c r="AC674" s="533"/>
      <c r="AD674" s="533"/>
      <c r="AE674" s="533"/>
      <c r="AF674" s="533"/>
      <c r="AG674" s="533"/>
      <c r="AH674" s="533"/>
      <c r="AI674" s="533"/>
      <c r="AJ674" s="1"/>
      <c r="AK674" s="533"/>
      <c r="AL674" s="533"/>
      <c r="AM674" s="533"/>
      <c r="AN674" s="533"/>
      <c r="AO674" s="533"/>
      <c r="AP674" s="533"/>
      <c r="AQ674" s="533"/>
      <c r="AR674" s="533"/>
    </row>
    <row r="675" spans="1:44" ht="13.5" customHeight="1" thickBot="1" x14ac:dyDescent="0.3">
      <c r="A675" s="170"/>
      <c r="B675" s="104" t="s">
        <v>751</v>
      </c>
      <c r="C675" s="696" t="s">
        <v>765</v>
      </c>
      <c r="D675" s="642"/>
      <c r="E675" s="861"/>
      <c r="F675" s="311">
        <v>5021353014174</v>
      </c>
      <c r="G675" s="26" t="s">
        <v>764</v>
      </c>
      <c r="H675" s="1022">
        <f>VLOOKUP(C675,A!A$1:H$669,8,FALSE)</f>
        <v>1</v>
      </c>
      <c r="I675" s="1023"/>
      <c r="J675" s="1024">
        <v>5021353014617</v>
      </c>
      <c r="K675" s="1025"/>
      <c r="L675" s="1026"/>
      <c r="M675" s="1027"/>
      <c r="N675" s="1028"/>
      <c r="O675" s="533" t="str">
        <f>VLOOKUP(C675,A!A$1:G$669,2,FALSE)</f>
        <v>y</v>
      </c>
      <c r="P675" s="533" t="s">
        <v>1850</v>
      </c>
      <c r="Q675" s="533" t="str">
        <f>IF(S675=0,"",COUNTIF(Q$12:Q674,"&gt;0")+1)</f>
        <v/>
      </c>
      <c r="R675" s="533" t="str">
        <f>IF(S675=0,"",COUNTIF(R$12:R674,"&gt;0")+1)</f>
        <v/>
      </c>
      <c r="S675" s="533">
        <f t="shared" si="117"/>
        <v>0</v>
      </c>
      <c r="T675" s="533">
        <v>30</v>
      </c>
      <c r="U675" s="533">
        <v>7.0000000000000007E-2</v>
      </c>
      <c r="V675" s="533">
        <v>-4</v>
      </c>
      <c r="W675" s="533"/>
      <c r="X675" s="533"/>
      <c r="Y675" s="533"/>
      <c r="Z675" s="533"/>
      <c r="AA675" s="533"/>
      <c r="AB675" s="533"/>
      <c r="AC675" s="533"/>
      <c r="AD675" s="533"/>
      <c r="AE675" s="533"/>
      <c r="AF675" s="533"/>
      <c r="AG675" s="533"/>
      <c r="AH675" s="533"/>
      <c r="AI675" s="533"/>
      <c r="AJ675" s="1"/>
      <c r="AK675" s="533"/>
      <c r="AL675" s="533"/>
      <c r="AM675" s="533"/>
      <c r="AN675" s="1"/>
      <c r="AO675" s="1"/>
    </row>
    <row r="676" spans="1:44" ht="13.5" customHeight="1" thickBot="1" x14ac:dyDescent="0.3">
      <c r="A676" s="170"/>
      <c r="B676" s="104" t="s">
        <v>751</v>
      </c>
      <c r="C676" s="696" t="s">
        <v>766</v>
      </c>
      <c r="D676" s="642"/>
      <c r="E676" s="861"/>
      <c r="F676" s="311">
        <v>5021353014291</v>
      </c>
      <c r="G676" s="26" t="s">
        <v>764</v>
      </c>
      <c r="H676" s="1022">
        <f>VLOOKUP(C676,A!A$1:H$669,8,FALSE)</f>
        <v>1</v>
      </c>
      <c r="I676" s="1023"/>
      <c r="J676" s="1024">
        <v>5021353014617</v>
      </c>
      <c r="K676" s="1025"/>
      <c r="L676" s="1026"/>
      <c r="M676" s="1027"/>
      <c r="N676" s="1028"/>
      <c r="O676" s="533" t="str">
        <f>VLOOKUP(C676,A!A$1:G$669,2,FALSE)</f>
        <v>y</v>
      </c>
      <c r="P676" s="533" t="s">
        <v>1850</v>
      </c>
      <c r="Q676" s="533" t="str">
        <f>IF(S676=0,"",COUNTIF(Q$12:Q675,"&gt;0")+1)</f>
        <v/>
      </c>
      <c r="R676" s="533" t="str">
        <f>IF(S676=0,"",COUNTIF(R$12:R675,"&gt;0")+1)</f>
        <v/>
      </c>
      <c r="S676" s="533">
        <f t="shared" si="117"/>
        <v>0</v>
      </c>
      <c r="T676" s="533">
        <v>30</v>
      </c>
      <c r="U676" s="533">
        <v>7.0000000000000007E-2</v>
      </c>
      <c r="V676" s="533">
        <v>-4</v>
      </c>
      <c r="W676" s="533"/>
      <c r="X676" s="533"/>
      <c r="Y676" s="533"/>
      <c r="Z676" s="533"/>
      <c r="AA676" s="533"/>
      <c r="AB676" s="533"/>
      <c r="AC676" s="533"/>
      <c r="AD676" s="533"/>
      <c r="AE676" s="533"/>
      <c r="AF676" s="533"/>
      <c r="AG676" s="533"/>
      <c r="AH676" s="533"/>
      <c r="AI676" s="533"/>
      <c r="AJ676" s="1"/>
      <c r="AK676" s="533"/>
      <c r="AL676" s="533"/>
      <c r="AM676" s="533"/>
      <c r="AN676" s="1"/>
      <c r="AO676" s="1"/>
    </row>
    <row r="677" spans="1:44" ht="13.5" customHeight="1" thickBot="1" x14ac:dyDescent="0.3">
      <c r="A677" s="170"/>
      <c r="B677" s="104" t="s">
        <v>751</v>
      </c>
      <c r="C677" s="696" t="s">
        <v>767</v>
      </c>
      <c r="D677" s="642"/>
      <c r="E677" s="861"/>
      <c r="F677" s="311">
        <v>5021353014204</v>
      </c>
      <c r="G677" s="26" t="s">
        <v>764</v>
      </c>
      <c r="H677" s="1022">
        <f>VLOOKUP(C677,A!A$1:H$669,8,FALSE)</f>
        <v>1</v>
      </c>
      <c r="I677" s="1023"/>
      <c r="J677" s="1024">
        <v>5021353014617</v>
      </c>
      <c r="K677" s="1025"/>
      <c r="L677" s="1026"/>
      <c r="M677" s="1027"/>
      <c r="N677" s="1028"/>
      <c r="O677" s="533" t="str">
        <f>VLOOKUP(C677,A!A$1:G$669,2,FALSE)</f>
        <v>y</v>
      </c>
      <c r="P677" s="533" t="s">
        <v>1850</v>
      </c>
      <c r="Q677" s="533" t="str">
        <f>IF(S677=0,"",COUNTIF(Q$12:Q676,"&gt;0")+1)</f>
        <v/>
      </c>
      <c r="R677" s="533" t="str">
        <f>IF(S677=0,"",COUNTIF(R$12:R676,"&gt;0")+1)</f>
        <v/>
      </c>
      <c r="S677" s="533">
        <f t="shared" si="117"/>
        <v>0</v>
      </c>
      <c r="T677" s="533">
        <v>30</v>
      </c>
      <c r="U677" s="533">
        <v>7.0000000000000007E-2</v>
      </c>
      <c r="V677" s="533">
        <v>-4</v>
      </c>
      <c r="W677" s="533"/>
      <c r="X677" s="533"/>
      <c r="Y677" s="533"/>
      <c r="Z677" s="533"/>
      <c r="AA677" s="533"/>
      <c r="AB677" s="533"/>
      <c r="AC677" s="533"/>
      <c r="AD677" s="533"/>
      <c r="AE677" s="533"/>
      <c r="AF677" s="533"/>
      <c r="AG677" s="533"/>
      <c r="AH677" s="533"/>
      <c r="AI677" s="533"/>
      <c r="AJ677" s="1"/>
      <c r="AK677" s="533"/>
      <c r="AL677" s="533"/>
      <c r="AM677" s="533"/>
      <c r="AN677" s="1"/>
      <c r="AO677" s="1"/>
    </row>
    <row r="678" spans="1:44" ht="13.5" customHeight="1" thickBot="1" x14ac:dyDescent="0.3">
      <c r="A678" s="170"/>
      <c r="B678" s="104" t="s">
        <v>751</v>
      </c>
      <c r="C678" s="696" t="s">
        <v>768</v>
      </c>
      <c r="D678" s="642"/>
      <c r="E678" s="861"/>
      <c r="F678" s="311">
        <v>5021353014181</v>
      </c>
      <c r="G678" s="26" t="s">
        <v>764</v>
      </c>
      <c r="H678" s="1022">
        <f>VLOOKUP(C678,A!A$1:H$669,8,FALSE)</f>
        <v>1</v>
      </c>
      <c r="I678" s="1023"/>
      <c r="J678" s="1024">
        <v>5021353014617</v>
      </c>
      <c r="K678" s="1025"/>
      <c r="L678" s="1026"/>
      <c r="M678" s="1027"/>
      <c r="N678" s="1028"/>
      <c r="O678" s="533" t="str">
        <f>VLOOKUP(C678,A!A$1:G$669,2,FALSE)</f>
        <v>y</v>
      </c>
      <c r="P678" s="533" t="s">
        <v>1850</v>
      </c>
      <c r="Q678" s="533" t="str">
        <f>IF(S678=0,"",COUNTIF(Q$12:Q677,"&gt;0")+1)</f>
        <v/>
      </c>
      <c r="R678" s="533" t="str">
        <f>IF(S678=0,"",COUNTIF(R$12:R677,"&gt;0")+1)</f>
        <v/>
      </c>
      <c r="S678" s="533">
        <f t="shared" ref="S678" si="118">A678</f>
        <v>0</v>
      </c>
      <c r="T678" s="533">
        <v>30</v>
      </c>
      <c r="U678" s="533">
        <v>7.0000000000000007E-2</v>
      </c>
      <c r="V678" s="533">
        <v>-4</v>
      </c>
      <c r="W678" s="533"/>
      <c r="X678" s="533"/>
      <c r="Y678" s="533"/>
      <c r="Z678" s="533"/>
      <c r="AA678" s="533"/>
      <c r="AB678" s="533"/>
      <c r="AC678" s="533"/>
      <c r="AD678" s="533"/>
      <c r="AE678" s="533"/>
      <c r="AF678" s="533"/>
      <c r="AG678" s="533"/>
      <c r="AH678" s="533"/>
      <c r="AI678" s="533"/>
      <c r="AJ678" s="1"/>
      <c r="AK678" s="533"/>
      <c r="AL678" s="533"/>
      <c r="AM678" s="533"/>
      <c r="AN678" s="1"/>
      <c r="AO678" s="1"/>
    </row>
    <row r="679" spans="1:44" ht="12" hidden="1" customHeight="1" thickBot="1" x14ac:dyDescent="0.3">
      <c r="A679" s="170"/>
      <c r="B679" s="104" t="s">
        <v>751</v>
      </c>
      <c r="C679" s="706" t="s">
        <v>769</v>
      </c>
      <c r="D679" s="642"/>
      <c r="E679" s="861"/>
      <c r="F679" s="311">
        <v>5021353014211</v>
      </c>
      <c r="G679" s="26" t="s">
        <v>764</v>
      </c>
      <c r="H679" s="27"/>
      <c r="I679" s="27"/>
      <c r="J679" s="28">
        <f>IF(VLOOKUP(C679,A!A$1:H$669,4,FALSE)="y",1,0)</f>
        <v>0</v>
      </c>
      <c r="K679" s="28">
        <f>IF(VLOOKUP(C679,A!A$1:H$669,5,FALSE)="y",1,0)</f>
        <v>0</v>
      </c>
      <c r="L679" s="330"/>
      <c r="M679" s="80">
        <f>VLOOKUP(C679,A!A$1:H$669,6,FALSE)</f>
        <v>0</v>
      </c>
      <c r="N679" s="171">
        <v>4</v>
      </c>
      <c r="O679" s="533">
        <f>VLOOKUP(C679,A!A$1:G$669,2,FALSE)</f>
        <v>0</v>
      </c>
      <c r="P679" s="533" t="s">
        <v>1850</v>
      </c>
      <c r="Q679" s="533" t="str">
        <f>IF(S679=0,"",COUNTIF(Q$12:Q678,"&gt;0")+1)</f>
        <v/>
      </c>
      <c r="R679" s="533" t="str">
        <f>IF(S679=0,"",COUNTIF(R$12:R678,"&gt;0")+1)</f>
        <v/>
      </c>
      <c r="S679" s="533">
        <f>A679</f>
        <v>0</v>
      </c>
      <c r="T679" s="533">
        <v>30</v>
      </c>
      <c r="U679" s="533">
        <v>7.0000000000000007E-2</v>
      </c>
      <c r="V679" s="533">
        <v>-4</v>
      </c>
      <c r="W679" s="533"/>
      <c r="X679" s="533"/>
      <c r="Y679" s="533"/>
      <c r="Z679" s="533"/>
      <c r="AA679" s="533"/>
      <c r="AB679" s="533"/>
      <c r="AC679" s="533"/>
      <c r="AD679" s="533"/>
      <c r="AE679" s="533"/>
      <c r="AF679" s="533"/>
      <c r="AG679" s="533"/>
      <c r="AH679" s="533"/>
      <c r="AI679" s="533"/>
      <c r="AJ679" s="1"/>
      <c r="AK679" s="533"/>
      <c r="AL679" s="533"/>
      <c r="AM679" s="533"/>
      <c r="AN679" s="1"/>
      <c r="AO679" s="1"/>
    </row>
    <row r="680" spans="1:44" ht="12" customHeight="1" x14ac:dyDescent="0.25">
      <c r="A680" s="137">
        <f>SUM(A672:A679)</f>
        <v>0</v>
      </c>
      <c r="B680" s="616" t="s">
        <v>751</v>
      </c>
      <c r="C680" s="178" t="s">
        <v>1843</v>
      </c>
      <c r="D680" s="661"/>
      <c r="E680" s="885"/>
      <c r="F680" s="164"/>
      <c r="G680" s="208" t="str">
        <f>IF(I671&lt;&gt;"","Pygmaea","Small")</f>
        <v>Small</v>
      </c>
      <c r="H680" s="164"/>
      <c r="I680" s="164"/>
      <c r="J680" s="164"/>
      <c r="K680" s="164"/>
      <c r="L680" s="179"/>
      <c r="M680" s="164"/>
      <c r="N680" s="180"/>
      <c r="O680" s="1068"/>
      <c r="P680" s="533" t="s">
        <v>1850</v>
      </c>
      <c r="Q680" s="533" t="str">
        <f>IF(S680=0,"",COUNTIF(Q$12:Q679,"&gt;0")+1)</f>
        <v/>
      </c>
      <c r="R680" s="533"/>
      <c r="S680" s="533">
        <f t="shared" ref="S680" si="119">A680</f>
        <v>0</v>
      </c>
      <c r="T680" s="533"/>
      <c r="U680" s="533"/>
      <c r="V680" s="533"/>
      <c r="W680" s="533"/>
      <c r="X680" s="533"/>
      <c r="Y680" s="533"/>
      <c r="Z680" s="533"/>
      <c r="AA680" s="533"/>
      <c r="AB680" s="533"/>
      <c r="AC680" s="533"/>
      <c r="AD680" s="533"/>
      <c r="AE680" s="533"/>
      <c r="AF680" s="533"/>
      <c r="AG680" s="533"/>
      <c r="AH680" s="533"/>
      <c r="AI680" s="533"/>
      <c r="AJ680" s="1"/>
      <c r="AK680" s="533"/>
      <c r="AL680" s="533"/>
      <c r="AM680" s="533"/>
      <c r="AN680" s="1"/>
      <c r="AO680" s="1"/>
    </row>
    <row r="681" spans="1:44" ht="12" customHeight="1" thickBot="1" x14ac:dyDescent="0.3">
      <c r="A681" s="23"/>
      <c r="B681" s="601"/>
      <c r="C681" s="96"/>
      <c r="G681" s="4"/>
      <c r="L681" s="3"/>
      <c r="M681" s="2"/>
      <c r="N681" s="134"/>
      <c r="O681" s="1068"/>
      <c r="P681" s="533"/>
      <c r="Q681" s="533"/>
      <c r="R681" s="533"/>
      <c r="S681" s="533"/>
      <c r="T681" s="533"/>
      <c r="U681" s="533"/>
      <c r="V681" s="533"/>
      <c r="W681" s="533"/>
      <c r="X681" s="533"/>
      <c r="Y681" s="533"/>
      <c r="Z681" s="533"/>
      <c r="AA681" s="533"/>
      <c r="AB681" s="533"/>
      <c r="AC681" s="533"/>
      <c r="AD681" s="533"/>
      <c r="AE681" s="533"/>
      <c r="AF681" s="533"/>
      <c r="AG681" s="533"/>
      <c r="AH681" s="533"/>
      <c r="AI681" s="533"/>
      <c r="AJ681" s="1"/>
      <c r="AK681" s="533"/>
      <c r="AL681" s="533"/>
      <c r="AM681" s="533"/>
      <c r="AN681" s="1"/>
      <c r="AO681" s="1"/>
    </row>
    <row r="682" spans="1:44" ht="12" customHeight="1" x14ac:dyDescent="0.25">
      <c r="A682" s="1204" t="s">
        <v>11</v>
      </c>
      <c r="B682" s="1205"/>
      <c r="C682" s="1212" t="s">
        <v>1865</v>
      </c>
      <c r="D682" s="1213"/>
      <c r="E682" s="1213"/>
      <c r="F682" s="1213"/>
      <c r="G682" s="1213"/>
      <c r="H682" s="181"/>
      <c r="I682" s="181"/>
      <c r="J682" s="181"/>
      <c r="K682" s="181"/>
      <c r="L682" s="181"/>
      <c r="M682" s="181"/>
      <c r="N682" s="182"/>
      <c r="O682" s="1068"/>
      <c r="P682" s="533"/>
      <c r="Q682" s="533" t="str">
        <f>IF(S682=0,"",COUNTIF(Q$12:Q678,"&gt;0")+1)</f>
        <v/>
      </c>
      <c r="R682" s="533" t="str">
        <f>IF(S682=0,"",COUNTIF(R$12:R678,"&gt;0")+1)</f>
        <v/>
      </c>
      <c r="S682" s="533"/>
      <c r="T682" s="533"/>
      <c r="U682" s="533"/>
      <c r="V682" s="533"/>
      <c r="W682" s="533"/>
      <c r="X682" s="533"/>
      <c r="Y682" s="533"/>
      <c r="Z682" s="533"/>
      <c r="AA682" s="533"/>
      <c r="AB682" s="533"/>
      <c r="AC682" s="533"/>
      <c r="AD682" s="533"/>
      <c r="AE682" s="533"/>
      <c r="AF682" s="533"/>
      <c r="AG682" s="533"/>
      <c r="AH682" s="533"/>
      <c r="AI682" s="533"/>
      <c r="AJ682" s="1"/>
      <c r="AK682" s="533"/>
      <c r="AL682" s="533"/>
      <c r="AM682" s="533"/>
      <c r="AN682" s="1"/>
      <c r="AO682" s="1"/>
    </row>
    <row r="683" spans="1:44" ht="12" customHeight="1" thickBot="1" x14ac:dyDescent="0.3">
      <c r="A683" s="1073" t="s">
        <v>1845</v>
      </c>
      <c r="B683" s="1074"/>
      <c r="C683" s="1214"/>
      <c r="D683" s="1215"/>
      <c r="E683" s="1215"/>
      <c r="F683" s="1215"/>
      <c r="G683" s="1215"/>
      <c r="H683" s="1053"/>
      <c r="I683" s="1054"/>
      <c r="J683" s="184"/>
      <c r="K683" s="184"/>
      <c r="L683" s="183"/>
      <c r="M683" s="184"/>
      <c r="N683" s="185" t="s">
        <v>16</v>
      </c>
      <c r="O683" s="1070"/>
      <c r="P683" s="533"/>
      <c r="Q683" s="533" t="str">
        <f>IF(S683=0,"",COUNTIF(Q$12:Q682,"&gt;0")+1)</f>
        <v/>
      </c>
      <c r="R683" s="533" t="str">
        <f>IF(S683=0,"",COUNTIF(R$12:R682,"&gt;0")+1)</f>
        <v/>
      </c>
      <c r="S683" s="533"/>
      <c r="T683" s="533"/>
      <c r="U683" s="533"/>
      <c r="V683" s="533"/>
      <c r="W683" s="533"/>
      <c r="X683" s="533"/>
      <c r="Y683" s="533"/>
      <c r="Z683" s="533"/>
      <c r="AA683" s="533"/>
      <c r="AB683" s="533"/>
      <c r="AC683" s="533"/>
      <c r="AD683" s="533"/>
      <c r="AE683" s="533"/>
      <c r="AF683" s="533"/>
      <c r="AG683" s="533"/>
      <c r="AH683" s="533"/>
      <c r="AI683" s="533"/>
      <c r="AJ683" s="1"/>
      <c r="AK683" s="533"/>
      <c r="AL683" s="533"/>
      <c r="AM683" s="533"/>
      <c r="AN683" s="1"/>
      <c r="AO683" s="1"/>
    </row>
    <row r="684" spans="1:44" ht="13.5" customHeight="1" x14ac:dyDescent="0.25">
      <c r="A684" s="170"/>
      <c r="B684" s="104" t="s">
        <v>751</v>
      </c>
      <c r="C684" s="700" t="s">
        <v>882</v>
      </c>
      <c r="D684" s="642"/>
      <c r="E684" s="861"/>
      <c r="F684" s="311">
        <v>8712815038209</v>
      </c>
      <c r="G684" s="26" t="s">
        <v>884</v>
      </c>
      <c r="H684" s="27"/>
      <c r="I684" s="27"/>
      <c r="J684" s="28">
        <f>IF(VLOOKUP(C684,A!A$1:H$669,4,FALSE)="y",1,0)</f>
        <v>1</v>
      </c>
      <c r="K684" s="28">
        <f>IF(VLOOKUP(C684,A!A$1:H$669,5,FALSE)="y",1,0)</f>
        <v>0</v>
      </c>
      <c r="L684" s="330"/>
      <c r="M684" s="80">
        <f>VLOOKUP(C684,A!A$1:H$669,6,FALSE)</f>
        <v>0</v>
      </c>
      <c r="N684" s="171">
        <v>4</v>
      </c>
      <c r="O684" s="533" t="str">
        <f>VLOOKUP(C684,A!A$1:G$669,2,FALSE)</f>
        <v>y</v>
      </c>
      <c r="P684" s="533" t="s">
        <v>1851</v>
      </c>
      <c r="Q684" s="533" t="str">
        <f>IF(S684=0,"",COUNTIF(Q$12:Q683,"&gt;0")+1)</f>
        <v/>
      </c>
      <c r="R684" s="533" t="str">
        <f>IF(S684=0,"",COUNTIF(R$12:R683,"&gt;0")+1)</f>
        <v/>
      </c>
      <c r="S684" s="533">
        <f t="shared" ref="S684:S686" si="120">A684</f>
        <v>0</v>
      </c>
      <c r="T684" s="533">
        <v>30</v>
      </c>
      <c r="U684" s="533">
        <v>7.0000000000000007E-2</v>
      </c>
      <c r="V684" s="533">
        <v>-4</v>
      </c>
      <c r="W684" s="533"/>
      <c r="X684" s="533"/>
      <c r="Y684" s="533"/>
      <c r="Z684" s="533"/>
      <c r="AA684" s="533"/>
      <c r="AB684" s="533"/>
      <c r="AC684" s="533"/>
      <c r="AD684" s="533"/>
      <c r="AE684" s="533"/>
      <c r="AF684" s="533"/>
      <c r="AG684" s="533"/>
      <c r="AH684" s="533"/>
      <c r="AI684" s="533"/>
      <c r="AJ684" s="1"/>
      <c r="AK684" s="533"/>
      <c r="AL684" s="533"/>
      <c r="AM684" s="533"/>
      <c r="AN684" s="1"/>
      <c r="AO684" s="1"/>
    </row>
    <row r="685" spans="1:44" ht="13.5" customHeight="1" thickBot="1" x14ac:dyDescent="0.3">
      <c r="A685" s="170"/>
      <c r="B685" s="104" t="s">
        <v>751</v>
      </c>
      <c r="C685" s="700" t="s">
        <v>888</v>
      </c>
      <c r="D685" s="642"/>
      <c r="E685" s="861"/>
      <c r="F685" s="311">
        <v>8712815038209</v>
      </c>
      <c r="G685" s="26" t="s">
        <v>890</v>
      </c>
      <c r="H685" s="27"/>
      <c r="I685" s="27"/>
      <c r="J685" s="28">
        <f>IF(VLOOKUP(C685,A!A$1:H$669,4,FALSE)="y",1,0)</f>
        <v>1</v>
      </c>
      <c r="K685" s="28">
        <f>IF(VLOOKUP(C685,A!A$1:H$669,5,FALSE)="y",1,0)</f>
        <v>0</v>
      </c>
      <c r="L685" s="330"/>
      <c r="M685" s="80">
        <f>VLOOKUP(C685,A!A$1:H$669,6,FALSE)</f>
        <v>0</v>
      </c>
      <c r="N685" s="171">
        <v>4</v>
      </c>
      <c r="O685" s="533" t="str">
        <f>VLOOKUP(C685,A!A$1:G$669,2,FALSE)</f>
        <v>y</v>
      </c>
      <c r="P685" s="533" t="s">
        <v>1851</v>
      </c>
      <c r="Q685" s="533" t="str">
        <f>IF(S685=0,"",COUNTIF(Q$12:Q684,"&gt;0")+1)</f>
        <v/>
      </c>
      <c r="R685" s="533" t="str">
        <f>IF(S685=0,"",COUNTIF(R$12:R684,"&gt;0")+1)</f>
        <v/>
      </c>
      <c r="S685" s="533">
        <f t="shared" si="120"/>
        <v>0</v>
      </c>
      <c r="T685" s="533">
        <v>30</v>
      </c>
      <c r="U685" s="533">
        <v>7.0000000000000007E-2</v>
      </c>
      <c r="V685" s="533">
        <v>-4</v>
      </c>
      <c r="W685" s="533"/>
      <c r="X685" s="533"/>
      <c r="Y685" s="533"/>
      <c r="Z685" s="533"/>
      <c r="AA685" s="533"/>
      <c r="AB685" s="533"/>
      <c r="AC685" s="533"/>
      <c r="AD685" s="533"/>
      <c r="AE685" s="533"/>
      <c r="AF685" s="533"/>
      <c r="AG685" s="533"/>
      <c r="AH685" s="533"/>
      <c r="AI685" s="533"/>
      <c r="AJ685" s="1"/>
      <c r="AK685" s="533"/>
      <c r="AL685" s="533"/>
      <c r="AM685" s="533"/>
      <c r="AN685" s="1"/>
      <c r="AO685" s="1"/>
    </row>
    <row r="686" spans="1:44" ht="12" customHeight="1" x14ac:dyDescent="0.25">
      <c r="A686" s="137">
        <f>SUM(A683:A685)</f>
        <v>0</v>
      </c>
      <c r="B686" s="616" t="s">
        <v>751</v>
      </c>
      <c r="C686" s="178" t="s">
        <v>1844</v>
      </c>
      <c r="D686" s="661"/>
      <c r="E686" s="885"/>
      <c r="F686" s="164"/>
      <c r="G686" s="208" t="str">
        <f>IF(I682&lt;&gt;"","Pygmaea","Small")</f>
        <v>Small</v>
      </c>
      <c r="H686" s="164"/>
      <c r="I686" s="164"/>
      <c r="J686" s="164"/>
      <c r="K686" s="164"/>
      <c r="L686" s="179"/>
      <c r="M686" s="164"/>
      <c r="N686" s="180"/>
      <c r="O686" s="1068"/>
      <c r="P686" s="533" t="s">
        <v>1851</v>
      </c>
      <c r="Q686" s="533" t="str">
        <f>IF(S686=0,"",COUNTIF(Q$12:Q685,"&gt;0")+1)</f>
        <v/>
      </c>
      <c r="R686" s="533"/>
      <c r="S686" s="533">
        <f t="shared" si="120"/>
        <v>0</v>
      </c>
      <c r="T686" s="533"/>
      <c r="U686" s="533"/>
      <c r="V686" s="533"/>
      <c r="W686" s="533"/>
      <c r="X686" s="533"/>
      <c r="Y686" s="533"/>
      <c r="Z686" s="533"/>
      <c r="AA686" s="533"/>
      <c r="AB686" s="533"/>
      <c r="AC686" s="533"/>
      <c r="AD686" s="533"/>
      <c r="AE686" s="533"/>
      <c r="AF686" s="533"/>
      <c r="AG686" s="533"/>
      <c r="AH686" s="533"/>
      <c r="AI686" s="533"/>
      <c r="AJ686" s="1"/>
      <c r="AK686" s="533"/>
      <c r="AL686" s="533"/>
      <c r="AM686" s="533"/>
      <c r="AN686" s="1"/>
      <c r="AO686" s="1"/>
    </row>
    <row r="687" spans="1:44" ht="12" customHeight="1" thickBot="1" x14ac:dyDescent="0.3">
      <c r="A687" s="361"/>
      <c r="B687" s="202"/>
      <c r="C687" s="361"/>
      <c r="D687" s="665"/>
      <c r="E687" s="887"/>
      <c r="F687" s="361"/>
      <c r="G687" s="361"/>
      <c r="H687" s="361"/>
      <c r="I687" s="361"/>
      <c r="L687" s="3"/>
      <c r="M687" s="2"/>
      <c r="P687" s="533"/>
      <c r="Q687" s="533" t="str">
        <f>IF(S687=0,"",COUNTIF(Q$12:Q670,"&gt;0")+1)</f>
        <v/>
      </c>
      <c r="R687" s="533" t="str">
        <f>IF(S687=0,"",COUNTIF(R$12:R670,"&gt;0")+1)</f>
        <v/>
      </c>
      <c r="S687" s="533"/>
      <c r="T687" s="533"/>
      <c r="U687" s="533"/>
      <c r="V687" s="533"/>
      <c r="W687" s="533"/>
      <c r="X687" s="533"/>
      <c r="Y687" s="533"/>
      <c r="Z687" s="533"/>
      <c r="AA687" s="533"/>
      <c r="AB687" s="533"/>
      <c r="AC687" s="533"/>
      <c r="AD687" s="533"/>
      <c r="AE687" s="533"/>
      <c r="AF687" s="533"/>
      <c r="AG687" s="533"/>
      <c r="AH687" s="533"/>
      <c r="AI687" s="533"/>
      <c r="AJ687" s="1"/>
      <c r="AK687" s="533"/>
      <c r="AL687" s="533"/>
      <c r="AM687" s="533"/>
      <c r="AN687" s="1"/>
      <c r="AO687" s="1"/>
    </row>
    <row r="688" spans="1:44" ht="10.5" customHeight="1" x14ac:dyDescent="0.25">
      <c r="A688" s="1204" t="s">
        <v>11</v>
      </c>
      <c r="B688" s="1205"/>
      <c r="C688" s="1208" t="s">
        <v>1281</v>
      </c>
      <c r="D688" s="1209"/>
      <c r="E688" s="1209"/>
      <c r="F688" s="1209"/>
      <c r="G688" s="1194" t="s">
        <v>507</v>
      </c>
      <c r="H688" s="181"/>
      <c r="I688" s="181"/>
      <c r="J688" s="181"/>
      <c r="K688" s="181"/>
      <c r="L688" s="181"/>
      <c r="M688" s="181"/>
      <c r="N688" s="182"/>
      <c r="P688" s="533"/>
      <c r="Q688" s="533" t="str">
        <f>IF(S688=0,"",COUNTIF(Q$12:Q687,"&gt;0")+1)</f>
        <v/>
      </c>
      <c r="R688" s="533" t="str">
        <f>IF(S688=0,"",COUNTIF(R$12:R687,"&gt;0")+1)</f>
        <v/>
      </c>
      <c r="S688" s="533"/>
      <c r="T688" s="533"/>
      <c r="U688" s="533"/>
      <c r="V688" s="533"/>
      <c r="W688" s="533"/>
      <c r="X688" s="533"/>
      <c r="Y688" s="533"/>
      <c r="Z688" s="533"/>
      <c r="AA688" s="533"/>
      <c r="AB688" s="533"/>
      <c r="AC688" s="533"/>
      <c r="AD688" s="533"/>
      <c r="AE688" s="533"/>
      <c r="AF688" s="533"/>
      <c r="AG688" s="533"/>
      <c r="AH688" s="533"/>
      <c r="AI688" s="533"/>
      <c r="AJ688" s="1"/>
      <c r="AK688" s="533"/>
      <c r="AL688" s="533"/>
      <c r="AM688" s="533"/>
      <c r="AN688" s="1"/>
      <c r="AO688" s="1"/>
    </row>
    <row r="689" spans="1:41" ht="11.25" customHeight="1" thickBot="1" x14ac:dyDescent="0.3">
      <c r="A689" s="1073" t="s">
        <v>1845</v>
      </c>
      <c r="B689" s="1074"/>
      <c r="C689" s="1210"/>
      <c r="D689" s="1211"/>
      <c r="E689" s="1211"/>
      <c r="F689" s="1211"/>
      <c r="G689" s="1195"/>
      <c r="H689" s="183"/>
      <c r="I689" s="184"/>
      <c r="J689" s="184"/>
      <c r="K689" s="184"/>
      <c r="L689" s="206"/>
      <c r="M689" s="184"/>
      <c r="N689" s="185" t="s">
        <v>16</v>
      </c>
      <c r="O689" s="1070"/>
      <c r="P689" s="533"/>
      <c r="Q689" s="533" t="str">
        <f>IF(S689=0,"",COUNTIF(Q$12:Q688,"&gt;0")+1)</f>
        <v/>
      </c>
      <c r="R689" s="533" t="str">
        <f>IF(S689=0,"",COUNTIF(R$12:R688,"&gt;0")+1)</f>
        <v/>
      </c>
      <c r="S689" s="533"/>
      <c r="T689" s="533"/>
      <c r="U689" s="533"/>
      <c r="V689" s="533"/>
      <c r="W689" s="533"/>
      <c r="X689" s="533"/>
      <c r="Y689" s="533"/>
      <c r="Z689" s="533"/>
      <c r="AA689" s="533"/>
      <c r="AB689" s="533"/>
      <c r="AC689" s="533"/>
      <c r="AD689" s="533"/>
      <c r="AE689" s="533"/>
      <c r="AF689" s="533"/>
      <c r="AG689" s="533"/>
      <c r="AH689" s="533"/>
      <c r="AI689" s="533"/>
      <c r="AJ689" s="1"/>
      <c r="AK689" s="533"/>
      <c r="AL689" s="533"/>
      <c r="AM689" s="533"/>
      <c r="AN689" s="1"/>
      <c r="AO689" s="1"/>
    </row>
    <row r="690" spans="1:41" ht="13.5" customHeight="1" x14ac:dyDescent="0.25">
      <c r="A690" s="167"/>
      <c r="B690" s="209" t="s">
        <v>751</v>
      </c>
      <c r="C690" s="702" t="s">
        <v>762</v>
      </c>
      <c r="D690" s="648"/>
      <c r="E690" s="867"/>
      <c r="F690" s="209" t="s">
        <v>763</v>
      </c>
      <c r="G690" s="302" t="s">
        <v>778</v>
      </c>
      <c r="H690" s="210"/>
      <c r="I690" s="23"/>
      <c r="J690" s="28">
        <f>IF(VLOOKUP(C690,A!A$1:O$669,11,FALSE)="y",1,0)</f>
        <v>1</v>
      </c>
      <c r="K690" s="28">
        <f>IF(VLOOKUP(C690,A!A$1:O$669,12,FALSE)="y",1,0)</f>
        <v>0</v>
      </c>
      <c r="L690" s="79"/>
      <c r="M690" s="80">
        <f>VLOOKUP(C690,A!A$1:O$669,13,FALSE)</f>
        <v>0</v>
      </c>
      <c r="N690" s="169">
        <v>4</v>
      </c>
      <c r="O690" s="533" t="str">
        <f>VLOOKUP(C690,A!A$1:O$669,9,FALSE)</f>
        <v>y</v>
      </c>
      <c r="P690" s="533" t="s">
        <v>779</v>
      </c>
      <c r="Q690" s="533" t="str">
        <f>IF(S690=0,"",COUNTIF(Q$12:Q689,"&gt;0")+1)</f>
        <v/>
      </c>
      <c r="R690" s="533" t="str">
        <f>IF(S690=0,"",COUNTIF(R$12:R689,"&gt;0")+1)</f>
        <v/>
      </c>
      <c r="S690" s="533">
        <f>A690+Y690</f>
        <v>0</v>
      </c>
      <c r="T690" s="533">
        <v>35</v>
      </c>
      <c r="U690" s="533">
        <v>0.16200000000000001</v>
      </c>
      <c r="V690" s="533">
        <v>-3</v>
      </c>
      <c r="W690" s="533"/>
      <c r="X690" s="533"/>
      <c r="Y690" s="533">
        <f>S38*3+S39*6</f>
        <v>0</v>
      </c>
      <c r="Z690" s="533"/>
      <c r="AA690" s="533"/>
      <c r="AB690" s="533"/>
      <c r="AC690" s="533"/>
      <c r="AD690" s="533"/>
      <c r="AE690" s="533"/>
      <c r="AF690" s="533"/>
      <c r="AG690" s="533"/>
      <c r="AH690" s="533"/>
      <c r="AI690" s="533"/>
      <c r="AJ690" s="1"/>
      <c r="AK690" s="533"/>
      <c r="AL690" s="533"/>
      <c r="AM690" s="533"/>
      <c r="AN690" s="1"/>
      <c r="AO690" s="1"/>
    </row>
    <row r="691" spans="1:41" ht="13.5" customHeight="1" x14ac:dyDescent="0.25">
      <c r="A691" s="170"/>
      <c r="B691" s="104" t="s">
        <v>751</v>
      </c>
      <c r="C691" s="696" t="s">
        <v>765</v>
      </c>
      <c r="D691" s="642"/>
      <c r="E691" s="861"/>
      <c r="F691" s="311">
        <v>5021353014761</v>
      </c>
      <c r="G691" s="26" t="s">
        <v>764</v>
      </c>
      <c r="H691" s="27"/>
      <c r="I691" s="27"/>
      <c r="J691" s="28">
        <f>IF(VLOOKUP(C691,A!A$1:O$669,11,FALSE)="y",1,0)</f>
        <v>1</v>
      </c>
      <c r="K691" s="28">
        <f>IF(VLOOKUP(C691,A!A$1:O$669,12,FALSE)="y",1,0)</f>
        <v>0</v>
      </c>
      <c r="L691" s="544"/>
      <c r="M691" s="80">
        <f>VLOOKUP(C691,A!A$1:O$669,13,FALSE)</f>
        <v>0</v>
      </c>
      <c r="N691" s="171">
        <v>4</v>
      </c>
      <c r="O691" s="533" t="str">
        <f>VLOOKUP(C691,A!A$1:O$669,9,FALSE)</f>
        <v>y</v>
      </c>
      <c r="P691" s="533" t="s">
        <v>779</v>
      </c>
      <c r="Q691" s="533" t="str">
        <f>IF(S691=0,"",COUNTIF(Q$12:Q690,"&gt;0")+1)</f>
        <v/>
      </c>
      <c r="R691" s="533" t="str">
        <f>IF(S691=0,"",COUNTIF(R$12:R690,"&gt;0")+1)</f>
        <v/>
      </c>
      <c r="S691" s="533">
        <f>A691</f>
        <v>0</v>
      </c>
      <c r="T691" s="533">
        <v>35</v>
      </c>
      <c r="U691" s="533">
        <v>0.16200000000000001</v>
      </c>
      <c r="V691" s="533">
        <v>-3</v>
      </c>
      <c r="W691" s="533"/>
      <c r="X691" s="533"/>
      <c r="Y691" s="533"/>
      <c r="Z691" s="533"/>
      <c r="AA691" s="533"/>
      <c r="AB691" s="533"/>
      <c r="AC691" s="533"/>
      <c r="AD691" s="533"/>
      <c r="AE691" s="533"/>
      <c r="AF691" s="533"/>
      <c r="AG691" s="533"/>
      <c r="AH691" s="533"/>
      <c r="AI691" s="533"/>
      <c r="AJ691" s="1"/>
      <c r="AK691" s="533"/>
      <c r="AL691" s="533"/>
      <c r="AM691" s="533"/>
      <c r="AN691" s="1"/>
      <c r="AO691" s="1"/>
    </row>
    <row r="692" spans="1:41" ht="13.5" customHeight="1" x14ac:dyDescent="0.25">
      <c r="A692" s="170"/>
      <c r="B692" s="104" t="s">
        <v>751</v>
      </c>
      <c r="C692" s="696" t="s">
        <v>766</v>
      </c>
      <c r="D692" s="642"/>
      <c r="E692" s="861"/>
      <c r="F692" s="311">
        <v>5021353014785</v>
      </c>
      <c r="G692" s="26" t="s">
        <v>764</v>
      </c>
      <c r="H692" s="27"/>
      <c r="I692" s="27"/>
      <c r="J692" s="28">
        <f>IF(VLOOKUP(C692,A!A$1:O$669,11,FALSE)="y",1,0)</f>
        <v>1</v>
      </c>
      <c r="K692" s="28">
        <f>IF(VLOOKUP(C692,A!A$1:O$669,12,FALSE)="y",1,0)</f>
        <v>0</v>
      </c>
      <c r="L692" s="544"/>
      <c r="M692" s="80">
        <f>VLOOKUP(C692,A!A$1:O$669,13,FALSE)</f>
        <v>0</v>
      </c>
      <c r="N692" s="171">
        <v>4</v>
      </c>
      <c r="O692" s="533" t="str">
        <f>VLOOKUP(C692,A!A$1:O$669,9,FALSE)</f>
        <v>y</v>
      </c>
      <c r="P692" s="533" t="s">
        <v>779</v>
      </c>
      <c r="Q692" s="533" t="str">
        <f>IF(S692=0,"",COUNTIF(Q$12:Q691,"&gt;0")+1)</f>
        <v/>
      </c>
      <c r="R692" s="533" t="str">
        <f>IF(S692=0,"",COUNTIF(R$12:R691,"&gt;0")+1)</f>
        <v/>
      </c>
      <c r="S692" s="533">
        <f>A692</f>
        <v>0</v>
      </c>
      <c r="T692" s="533">
        <v>35</v>
      </c>
      <c r="U692" s="533">
        <v>0.16200000000000001</v>
      </c>
      <c r="V692" s="533">
        <v>-3</v>
      </c>
      <c r="W692" s="533"/>
      <c r="X692" s="533"/>
      <c r="Y692" s="533"/>
      <c r="Z692" s="533"/>
      <c r="AA692" s="533"/>
      <c r="AB692" s="533"/>
      <c r="AC692" s="533"/>
      <c r="AD692" s="533"/>
      <c r="AE692" s="533"/>
      <c r="AF692" s="533"/>
      <c r="AG692" s="533"/>
      <c r="AH692" s="533"/>
      <c r="AI692" s="533"/>
      <c r="AJ692" s="1"/>
      <c r="AK692" s="533"/>
      <c r="AL692" s="533"/>
      <c r="AM692" s="533"/>
      <c r="AN692" s="1"/>
      <c r="AO692" s="1"/>
    </row>
    <row r="693" spans="1:41" ht="13.5" customHeight="1" x14ac:dyDescent="0.25">
      <c r="A693" s="170"/>
      <c r="B693" s="104" t="s">
        <v>751</v>
      </c>
      <c r="C693" s="696" t="s">
        <v>767</v>
      </c>
      <c r="D693" s="642"/>
      <c r="E693" s="861"/>
      <c r="F693" s="311">
        <v>5021353014778</v>
      </c>
      <c r="G693" s="26" t="s">
        <v>764</v>
      </c>
      <c r="H693" s="27"/>
      <c r="I693" s="27"/>
      <c r="J693" s="28">
        <f>IF(VLOOKUP(C693,A!A$1:O$669,11,FALSE)="y",1,0)</f>
        <v>1</v>
      </c>
      <c r="K693" s="28">
        <f>IF(VLOOKUP(C693,A!A$1:O$669,12,FALSE)="y",1,0)</f>
        <v>0</v>
      </c>
      <c r="L693" s="544"/>
      <c r="M693" s="80">
        <f>VLOOKUP(C693,A!A$1:O$669,13,FALSE)</f>
        <v>0</v>
      </c>
      <c r="N693" s="171">
        <v>4</v>
      </c>
      <c r="O693" s="533" t="str">
        <f>VLOOKUP(C693,A!A$1:O$669,9,FALSE)</f>
        <v>y</v>
      </c>
      <c r="P693" s="533" t="s">
        <v>779</v>
      </c>
      <c r="Q693" s="533" t="str">
        <f>IF(S693=0,"",COUNTIF(Q$12:Q692,"&gt;0")+1)</f>
        <v/>
      </c>
      <c r="R693" s="533" t="str">
        <f>IF(S693=0,"",COUNTIF(R$12:R692,"&gt;0")+1)</f>
        <v/>
      </c>
      <c r="S693" s="533">
        <f>A693</f>
        <v>0</v>
      </c>
      <c r="T693" s="533">
        <v>35</v>
      </c>
      <c r="U693" s="533">
        <v>0.16200000000000001</v>
      </c>
      <c r="V693" s="533">
        <v>-3</v>
      </c>
      <c r="W693" s="533"/>
      <c r="X693" s="533"/>
      <c r="Y693" s="533"/>
      <c r="Z693" s="533"/>
      <c r="AA693" s="533"/>
      <c r="AB693" s="533"/>
      <c r="AC693" s="533"/>
      <c r="AD693" s="533"/>
      <c r="AE693" s="533"/>
      <c r="AF693" s="533"/>
      <c r="AG693" s="533"/>
      <c r="AH693" s="533"/>
      <c r="AI693" s="533"/>
      <c r="AJ693" s="1"/>
      <c r="AK693" s="533"/>
      <c r="AL693" s="533"/>
      <c r="AM693" s="533"/>
      <c r="AN693" s="1"/>
      <c r="AO693" s="1"/>
    </row>
    <row r="694" spans="1:41" ht="13.5" customHeight="1" thickBot="1" x14ac:dyDescent="0.3">
      <c r="A694" s="170"/>
      <c r="B694" s="104" t="s">
        <v>751</v>
      </c>
      <c r="C694" s="696" t="s">
        <v>768</v>
      </c>
      <c r="D694" s="642"/>
      <c r="E694" s="861"/>
      <c r="F694" s="311">
        <v>5021353014792</v>
      </c>
      <c r="G694" s="26" t="s">
        <v>764</v>
      </c>
      <c r="H694" s="27"/>
      <c r="I694" s="27"/>
      <c r="J694" s="28">
        <f>IF(VLOOKUP(C694,A!A$1:O$669,11,FALSE)="y",1,0)</f>
        <v>1</v>
      </c>
      <c r="K694" s="28">
        <f>IF(VLOOKUP(C694,A!A$1:O$669,12,FALSE)="y",1,0)</f>
        <v>0</v>
      </c>
      <c r="L694" s="544"/>
      <c r="M694" s="27">
        <f>VLOOKUP(C694,A!A$1:O$669,13,FALSE)</f>
        <v>0</v>
      </c>
      <c r="N694" s="171">
        <v>4</v>
      </c>
      <c r="O694" s="533" t="str">
        <f>VLOOKUP(C694,A!A$1:O$669,9,FALSE)</f>
        <v>y</v>
      </c>
      <c r="P694" s="533" t="s">
        <v>779</v>
      </c>
      <c r="Q694" s="533" t="str">
        <f>IF(S694=0,"",COUNTIF(Q$12:Q693,"&gt;0")+1)</f>
        <v/>
      </c>
      <c r="R694" s="533" t="str">
        <f>IF(S694=0,"",COUNTIF(R$12:R693,"&gt;0")+1)</f>
        <v/>
      </c>
      <c r="S694" s="533">
        <f>A694</f>
        <v>0</v>
      </c>
      <c r="T694" s="533">
        <v>35</v>
      </c>
      <c r="U694" s="533">
        <v>0.16200000000000001</v>
      </c>
      <c r="V694" s="533">
        <v>-3</v>
      </c>
      <c r="W694" s="533"/>
      <c r="X694" s="533"/>
      <c r="Y694" s="533"/>
      <c r="Z694" s="533"/>
      <c r="AA694" s="533"/>
      <c r="AB694" s="533"/>
      <c r="AC694" s="533"/>
      <c r="AD694" s="533"/>
      <c r="AE694" s="533"/>
      <c r="AF694" s="533"/>
      <c r="AG694" s="533"/>
      <c r="AH694" s="533"/>
      <c r="AI694" s="533"/>
      <c r="AJ694" s="1"/>
      <c r="AK694" s="533"/>
      <c r="AL694" s="533"/>
      <c r="AM694" s="533"/>
      <c r="AN694" s="1"/>
      <c r="AO694" s="1"/>
    </row>
    <row r="695" spans="1:41" ht="13.5" hidden="1" customHeight="1" thickBot="1" x14ac:dyDescent="0.3">
      <c r="A695" s="170"/>
      <c r="B695" s="104" t="s">
        <v>751</v>
      </c>
      <c r="C695" s="695" t="s">
        <v>769</v>
      </c>
      <c r="D695" s="728"/>
      <c r="E695" s="711"/>
      <c r="F695" s="311">
        <v>5021353014938</v>
      </c>
      <c r="G695" s="26" t="s">
        <v>764</v>
      </c>
      <c r="H695" s="27"/>
      <c r="I695" s="27"/>
      <c r="J695" s="28">
        <f>IF(VLOOKUP(C695,A!A$1:O$669,11,FALSE)="y",1,0)</f>
        <v>0</v>
      </c>
      <c r="K695" s="28">
        <f>IF(VLOOKUP(C695,A!A$1:O$669,12,FALSE)="y",1,0)</f>
        <v>0</v>
      </c>
      <c r="L695" s="544" t="str">
        <f>IF(T695&lt;35,"Low",IF(T695&gt;40,"High","Med"))</f>
        <v>Med</v>
      </c>
      <c r="M695" s="27">
        <f>VLOOKUP(C695,A!A$1:O$669,13,FALSE)</f>
        <v>0</v>
      </c>
      <c r="N695" s="171">
        <v>4</v>
      </c>
      <c r="O695" s="533">
        <f>VLOOKUP(C695,A!A$1:O$669,9,FALSE)</f>
        <v>0</v>
      </c>
      <c r="P695" s="533" t="s">
        <v>779</v>
      </c>
      <c r="Q695" s="533" t="str">
        <f>IF(S695=0,"",COUNTIF(Q$12:Q694,"&gt;0")+1)</f>
        <v/>
      </c>
      <c r="R695" s="533" t="str">
        <f>IF(S695=0,"",COUNTIF(R$12:R694,"&gt;0")+1)</f>
        <v/>
      </c>
      <c r="S695" s="533">
        <f>A695</f>
        <v>0</v>
      </c>
      <c r="T695" s="533">
        <v>35</v>
      </c>
      <c r="U695" s="533">
        <v>0.16200000000000001</v>
      </c>
      <c r="V695" s="533">
        <v>-3</v>
      </c>
      <c r="W695" s="533"/>
      <c r="X695" s="533"/>
      <c r="Y695" s="533"/>
      <c r="Z695" s="533"/>
      <c r="AA695" s="533"/>
      <c r="AB695" s="533"/>
      <c r="AC695" s="533"/>
      <c r="AD695" s="533"/>
      <c r="AE695" s="533"/>
      <c r="AF695" s="533"/>
      <c r="AG695" s="533"/>
      <c r="AH695" s="533"/>
      <c r="AI695" s="533"/>
      <c r="AJ695" s="1"/>
      <c r="AK695" s="533"/>
      <c r="AL695" s="533"/>
      <c r="AM695" s="533"/>
      <c r="AN695" s="1"/>
      <c r="AO695" s="1"/>
    </row>
    <row r="696" spans="1:41" ht="12.75" customHeight="1" x14ac:dyDescent="0.25">
      <c r="A696" s="137">
        <f>SUM(A690:A695)</f>
        <v>0</v>
      </c>
      <c r="B696" s="616" t="s">
        <v>751</v>
      </c>
      <c r="C696" s="178" t="s">
        <v>1152</v>
      </c>
      <c r="D696" s="661"/>
      <c r="E696" s="885"/>
      <c r="F696" s="164"/>
      <c r="G696" s="164"/>
      <c r="H696" s="164"/>
      <c r="I696" s="164"/>
      <c r="J696" s="164"/>
      <c r="K696" s="164"/>
      <c r="L696" s="179"/>
      <c r="M696" s="164"/>
      <c r="N696" s="180"/>
      <c r="O696" s="1068"/>
      <c r="P696" s="533" t="s">
        <v>779</v>
      </c>
      <c r="Q696" s="533" t="str">
        <f>IF(S696=0,"",COUNTIF(Q$12:Q695,"&gt;0")+1)</f>
        <v/>
      </c>
      <c r="R696" s="533"/>
      <c r="S696" s="533">
        <f>SUM(S690:S694)</f>
        <v>0</v>
      </c>
      <c r="T696" s="533"/>
      <c r="U696" s="533"/>
      <c r="V696" s="533"/>
      <c r="W696" s="533"/>
      <c r="X696" s="533"/>
      <c r="Y696" s="533"/>
      <c r="Z696" s="533"/>
      <c r="AA696" s="533"/>
      <c r="AB696" s="533"/>
      <c r="AC696" s="533"/>
      <c r="AD696" s="533"/>
      <c r="AE696" s="533"/>
      <c r="AF696" s="533"/>
      <c r="AG696" s="533"/>
      <c r="AH696" s="533"/>
      <c r="AI696" s="533"/>
      <c r="AJ696" s="1"/>
      <c r="AK696" s="533"/>
      <c r="AL696" s="533"/>
      <c r="AM696" s="533"/>
      <c r="AN696" s="1"/>
      <c r="AO696" s="1"/>
    </row>
    <row r="697" spans="1:41" ht="12" customHeight="1" thickBot="1" x14ac:dyDescent="0.3">
      <c r="A697" s="2"/>
      <c r="L697" s="3"/>
      <c r="M697" s="2"/>
      <c r="P697" s="533"/>
      <c r="Q697" s="533" t="str">
        <f>IF(S697=0,"",COUNTIF(Q$12:Q696,"&gt;0")+1)</f>
        <v/>
      </c>
      <c r="R697" s="533" t="str">
        <f>IF(S697=0,"",COUNTIF(R$12:R696,"&gt;0")+1)</f>
        <v/>
      </c>
      <c r="S697" s="533"/>
      <c r="T697" s="533"/>
      <c r="U697" s="533"/>
      <c r="V697" s="533"/>
      <c r="W697" s="533"/>
      <c r="X697" s="533"/>
      <c r="Y697" s="533"/>
      <c r="Z697" s="533"/>
      <c r="AA697" s="533"/>
      <c r="AB697" s="533"/>
      <c r="AC697" s="533"/>
      <c r="AD697" s="533"/>
      <c r="AE697" s="533"/>
      <c r="AF697" s="533"/>
      <c r="AG697" s="533"/>
      <c r="AH697" s="533"/>
      <c r="AI697" s="533"/>
      <c r="AJ697" s="1"/>
      <c r="AK697" s="533"/>
      <c r="AL697" s="533"/>
      <c r="AM697" s="533"/>
      <c r="AN697" s="1"/>
      <c r="AO697" s="1"/>
    </row>
    <row r="698" spans="1:41" ht="10.5" customHeight="1" x14ac:dyDescent="0.25">
      <c r="A698" s="1204" t="s">
        <v>11</v>
      </c>
      <c r="B698" s="1205"/>
      <c r="C698" s="1208" t="s">
        <v>1759</v>
      </c>
      <c r="D698" s="1209"/>
      <c r="E698" s="1209"/>
      <c r="F698" s="1209"/>
      <c r="G698" s="1194" t="s">
        <v>507</v>
      </c>
      <c r="H698" s="181" t="s">
        <v>781</v>
      </c>
      <c r="I698" s="181"/>
      <c r="J698" s="181"/>
      <c r="K698" s="181"/>
      <c r="L698" s="181"/>
      <c r="M698" s="181"/>
      <c r="N698" s="182"/>
      <c r="P698" s="533"/>
      <c r="Q698" s="533" t="str">
        <f>IF(S698=0,"",COUNTIF(Q$12:Q697,"&gt;0")+1)</f>
        <v/>
      </c>
      <c r="R698" s="533" t="str">
        <f>IF(S698=0,"",COUNTIF(R$12:R697,"&gt;0")+1)</f>
        <v/>
      </c>
      <c r="S698" s="533"/>
      <c r="T698" s="533"/>
      <c r="U698" s="533"/>
      <c r="V698" s="533"/>
      <c r="W698" s="533"/>
      <c r="X698" s="533"/>
      <c r="Y698" s="533"/>
      <c r="Z698" s="533"/>
      <c r="AA698" s="533"/>
      <c r="AB698" s="533"/>
      <c r="AC698" s="533"/>
      <c r="AD698" s="533"/>
      <c r="AE698" s="533"/>
      <c r="AF698" s="533"/>
      <c r="AG698" s="533"/>
      <c r="AH698" s="533"/>
      <c r="AI698" s="533"/>
      <c r="AJ698" s="1"/>
      <c r="AK698" s="533"/>
      <c r="AL698" s="533"/>
      <c r="AM698" s="533"/>
      <c r="AN698" s="1"/>
      <c r="AO698" s="1"/>
    </row>
    <row r="699" spans="1:41" ht="11.25" customHeight="1" thickBot="1" x14ac:dyDescent="0.3">
      <c r="A699" s="1073" t="s">
        <v>1757</v>
      </c>
      <c r="B699" s="1074"/>
      <c r="C699" s="1210"/>
      <c r="D699" s="1211"/>
      <c r="E699" s="1211"/>
      <c r="F699" s="1211"/>
      <c r="G699" s="1195"/>
      <c r="H699" s="183"/>
      <c r="I699" s="184"/>
      <c r="J699" s="184"/>
      <c r="K699" s="184"/>
      <c r="L699" s="206"/>
      <c r="M699" s="184"/>
      <c r="N699" s="185" t="s">
        <v>16</v>
      </c>
      <c r="P699" s="533"/>
      <c r="Q699" s="533" t="str">
        <f>IF(S699=0,"",COUNTIF(Q$12:Q698,"&gt;0")+1)</f>
        <v/>
      </c>
      <c r="R699" s="533" t="str">
        <f>IF(S699=0,"",COUNTIF(R$12:R698,"&gt;0")+1)</f>
        <v/>
      </c>
      <c r="S699" s="533"/>
      <c r="T699" s="533"/>
      <c r="U699" s="533"/>
      <c r="V699" s="533"/>
      <c r="W699" s="533"/>
      <c r="X699" s="533"/>
      <c r="Y699" s="533"/>
      <c r="Z699" s="533"/>
      <c r="AA699" s="533"/>
      <c r="AB699" s="533"/>
      <c r="AC699" s="533"/>
      <c r="AD699" s="533"/>
      <c r="AE699" s="533"/>
      <c r="AF699" s="533"/>
      <c r="AG699" s="533"/>
      <c r="AH699" s="533"/>
      <c r="AI699" s="533"/>
      <c r="AJ699" s="1"/>
      <c r="AK699" s="533"/>
      <c r="AL699" s="533"/>
      <c r="AM699" s="533"/>
      <c r="AN699" s="1"/>
      <c r="AO699" s="1"/>
    </row>
    <row r="700" spans="1:41" ht="13.5" hidden="1" customHeight="1" x14ac:dyDescent="0.25">
      <c r="A700" s="846"/>
      <c r="B700" s="104" t="s">
        <v>1136</v>
      </c>
      <c r="C700" s="827" t="s">
        <v>782</v>
      </c>
      <c r="D700" s="662"/>
      <c r="E700" s="886"/>
      <c r="F700" s="189" t="s">
        <v>764</v>
      </c>
      <c r="G700" s="189"/>
      <c r="H700" s="198"/>
      <c r="I700" s="80"/>
      <c r="J700" s="28">
        <f>IF(VLOOKUP(C700,A!A$1:O$669,11,FALSE)="y",1,0)</f>
        <v>0</v>
      </c>
      <c r="K700" s="28">
        <f>IF(VLOOKUP(C700,A!A$1:O$669,12,FALSE)="y",1,0)</f>
        <v>0</v>
      </c>
      <c r="L700" s="79"/>
      <c r="M700" s="80">
        <f>VLOOKUP(C700,A!A$1:O$669,13,FALSE)</f>
        <v>0</v>
      </c>
      <c r="N700" s="192">
        <v>4</v>
      </c>
      <c r="O700" s="533" t="s">
        <v>32</v>
      </c>
      <c r="P700" s="533" t="s">
        <v>783</v>
      </c>
      <c r="Q700" s="533" t="str">
        <f>IF(S700=0,"",COUNTIF(Q$12:Q699,"&gt;0")+1)</f>
        <v/>
      </c>
      <c r="R700" s="533" t="str">
        <f>IF(S700=0,"",COUNTIF(R$12:R699,"&gt;0")+1)</f>
        <v/>
      </c>
      <c r="S700" s="533">
        <f t="shared" ref="S700:S731" si="121">A700</f>
        <v>0</v>
      </c>
      <c r="T700" s="533">
        <v>35</v>
      </c>
      <c r="U700" s="533">
        <v>8.1000000000000003E-2</v>
      </c>
      <c r="V700" s="533">
        <v>-3</v>
      </c>
      <c r="W700" s="533"/>
      <c r="X700" s="533"/>
      <c r="Y700" s="533"/>
      <c r="Z700" s="533"/>
      <c r="AA700" s="533"/>
      <c r="AB700" s="533"/>
      <c r="AC700" s="533"/>
      <c r="AD700" s="533"/>
      <c r="AE700" s="533"/>
      <c r="AF700" s="533"/>
      <c r="AG700" s="533"/>
      <c r="AH700" s="533"/>
      <c r="AI700" s="533"/>
      <c r="AJ700" s="1"/>
      <c r="AK700" s="533"/>
      <c r="AL700" s="533"/>
      <c r="AM700" s="533"/>
      <c r="AN700" s="1"/>
      <c r="AO700" s="1"/>
    </row>
    <row r="701" spans="1:41" ht="13.5" customHeight="1" x14ac:dyDescent="0.25">
      <c r="A701" s="170"/>
      <c r="B701" s="104" t="s">
        <v>1136</v>
      </c>
      <c r="C701" s="695" t="s">
        <v>784</v>
      </c>
      <c r="D701" s="334"/>
      <c r="E701" s="28" t="s">
        <v>1006</v>
      </c>
      <c r="F701" s="26" t="s">
        <v>785</v>
      </c>
      <c r="G701" s="26"/>
      <c r="H701" s="211"/>
      <c r="I701" s="27"/>
      <c r="J701" s="28">
        <f>IF(VLOOKUP(C701,A!A$1:O$669,11,FALSE)="y",1,0)</f>
        <v>0</v>
      </c>
      <c r="K701" s="28">
        <f>IF(VLOOKUP(C701,A!A$1:O$669,12,FALSE)="y",1,0)</f>
        <v>0</v>
      </c>
      <c r="L701" s="79"/>
      <c r="M701" s="80">
        <f>VLOOKUP(C701,A!A$1:O$669,13,FALSE)</f>
        <v>0</v>
      </c>
      <c r="N701" s="171">
        <v>4</v>
      </c>
      <c r="O701" s="533" t="str">
        <f>VLOOKUP(C701,A!A$1:O$669,9,FALSE)</f>
        <v>y</v>
      </c>
      <c r="P701" s="533" t="s">
        <v>783</v>
      </c>
      <c r="Q701" s="533" t="str">
        <f>IF(S701=0,"",COUNTIF(Q$12:Q700,"&gt;0")+1)</f>
        <v/>
      </c>
      <c r="R701" s="533" t="str">
        <f>IF(S701=0,"",COUNTIF(R$12:R700,"&gt;0")+1)</f>
        <v/>
      </c>
      <c r="S701" s="533">
        <f t="shared" si="121"/>
        <v>0</v>
      </c>
      <c r="T701" s="533">
        <v>35</v>
      </c>
      <c r="U701" s="533">
        <v>8.1000000000000003E-2</v>
      </c>
      <c r="V701" s="533">
        <v>-3</v>
      </c>
      <c r="W701" s="533"/>
      <c r="X701" s="533"/>
      <c r="Y701" s="533"/>
      <c r="Z701" s="533"/>
      <c r="AA701" s="533"/>
      <c r="AB701" s="533"/>
      <c r="AC701" s="533"/>
      <c r="AD701" s="533"/>
      <c r="AE701" s="533"/>
      <c r="AF701" s="533"/>
      <c r="AG701" s="533"/>
      <c r="AH701" s="533"/>
      <c r="AI701" s="533"/>
      <c r="AJ701" s="1"/>
      <c r="AK701" s="533"/>
      <c r="AL701" s="533"/>
      <c r="AM701" s="533"/>
      <c r="AN701" s="1"/>
      <c r="AO701" s="1"/>
    </row>
    <row r="702" spans="1:41" ht="13.5" customHeight="1" x14ac:dyDescent="0.25">
      <c r="A702" s="172"/>
      <c r="B702" s="599" t="s">
        <v>1136</v>
      </c>
      <c r="C702" s="697" t="s">
        <v>786</v>
      </c>
      <c r="D702" s="301"/>
      <c r="E702" s="193" t="s">
        <v>1006</v>
      </c>
      <c r="F702" s="291" t="s">
        <v>787</v>
      </c>
      <c r="G702" s="291"/>
      <c r="H702" s="363"/>
      <c r="I702" s="128"/>
      <c r="J702" s="193">
        <f>IF(VLOOKUP(C702,A!A$1:O$669,11,FALSE)="y",1,0)</f>
        <v>0</v>
      </c>
      <c r="K702" s="193">
        <f>IF(VLOOKUP(C702,A!A$1:O$669,12,FALSE)="y",1,0)</f>
        <v>0</v>
      </c>
      <c r="L702" s="544"/>
      <c r="M702" s="23">
        <f>VLOOKUP(C702,A!A$1:O$669,13,FALSE)</f>
        <v>0</v>
      </c>
      <c r="N702" s="292">
        <v>4</v>
      </c>
      <c r="O702" s="533" t="str">
        <f>VLOOKUP(C702,A!A$1:O$669,9,FALSE)</f>
        <v>y</v>
      </c>
      <c r="P702" s="533" t="s">
        <v>783</v>
      </c>
      <c r="Q702" s="533" t="str">
        <f>IF(S702=0,"",COUNTIF(Q$12:Q701,"&gt;0")+1)</f>
        <v/>
      </c>
      <c r="R702" s="533" t="str">
        <f>IF(S702=0,"",COUNTIF(R$12:R701,"&gt;0")+1)</f>
        <v/>
      </c>
      <c r="S702" s="533">
        <f t="shared" si="121"/>
        <v>0</v>
      </c>
      <c r="T702" s="533">
        <v>35</v>
      </c>
      <c r="U702" s="533">
        <v>8.1000000000000003E-2</v>
      </c>
      <c r="V702" s="533">
        <v>-3</v>
      </c>
      <c r="W702" s="533"/>
      <c r="X702" s="533"/>
      <c r="Y702" s="533"/>
      <c r="Z702" s="533"/>
      <c r="AA702" s="533"/>
      <c r="AB702" s="533"/>
      <c r="AC702" s="533"/>
      <c r="AD702" s="533"/>
      <c r="AE702" s="533"/>
      <c r="AF702" s="533"/>
      <c r="AG702" s="533"/>
      <c r="AH702" s="533"/>
      <c r="AI702" s="533"/>
      <c r="AJ702" s="1"/>
      <c r="AK702" s="533"/>
      <c r="AL702" s="533"/>
      <c r="AM702" s="533"/>
      <c r="AN702" s="1"/>
      <c r="AO702" s="1"/>
    </row>
    <row r="703" spans="1:41" ht="13.5" hidden="1" customHeight="1" x14ac:dyDescent="0.25">
      <c r="A703" s="364"/>
      <c r="B703" s="617" t="s">
        <v>1136</v>
      </c>
      <c r="C703" s="710" t="s">
        <v>854</v>
      </c>
      <c r="D703" s="672"/>
      <c r="E703" s="820" t="s">
        <v>1007</v>
      </c>
      <c r="F703" s="365" t="s">
        <v>855</v>
      </c>
      <c r="G703" s="365"/>
      <c r="H703" s="366"/>
      <c r="I703" s="367"/>
      <c r="J703" s="368">
        <f>IF(VLOOKUP(C703,A!A$1:O$669,11,FALSE)="y",1,0)</f>
        <v>0</v>
      </c>
      <c r="K703" s="368">
        <f>IF(VLOOKUP(C703,A!A$1:O$669,12,FALSE)="y",1,0)</f>
        <v>0</v>
      </c>
      <c r="L703" s="544"/>
      <c r="M703" s="367">
        <f>VLOOKUP(C703,A!A$1:O$669,13,FALSE)</f>
        <v>0</v>
      </c>
      <c r="N703" s="369">
        <v>4</v>
      </c>
      <c r="O703" s="533">
        <f>VLOOKUP(C703,A!A$1:O$669,9,FALSE)</f>
        <v>0</v>
      </c>
      <c r="P703" s="533" t="s">
        <v>783</v>
      </c>
      <c r="Q703" s="533" t="str">
        <f>IF(S703=0,"",COUNTIF(Q$12:Q702,"&gt;0")+1)</f>
        <v/>
      </c>
      <c r="R703" s="533" t="str">
        <f>IF(S703=0,"",COUNTIF(R$12:R702,"&gt;0")+1)</f>
        <v/>
      </c>
      <c r="S703" s="533">
        <f t="shared" si="121"/>
        <v>0</v>
      </c>
      <c r="T703" s="533">
        <v>35</v>
      </c>
      <c r="U703" s="533">
        <v>8.1000000000000003E-2</v>
      </c>
      <c r="V703" s="533">
        <v>-3</v>
      </c>
      <c r="W703" s="533"/>
      <c r="X703" s="533"/>
      <c r="Y703" s="533"/>
      <c r="Z703" s="533"/>
      <c r="AA703" s="533"/>
      <c r="AB703" s="533"/>
      <c r="AC703" s="533"/>
      <c r="AD703" s="533"/>
      <c r="AE703" s="533"/>
      <c r="AF703" s="533"/>
      <c r="AG703" s="533"/>
      <c r="AH703" s="533"/>
      <c r="AI703" s="533"/>
      <c r="AJ703" s="1"/>
      <c r="AK703" s="533"/>
      <c r="AL703" s="533"/>
      <c r="AM703" s="533"/>
      <c r="AN703" s="533"/>
      <c r="AO703" s="533"/>
    </row>
    <row r="704" spans="1:41" ht="13.5" customHeight="1" x14ac:dyDescent="0.25">
      <c r="A704" s="364"/>
      <c r="B704" s="617" t="s">
        <v>1136</v>
      </c>
      <c r="C704" s="710" t="s">
        <v>788</v>
      </c>
      <c r="D704" s="672"/>
      <c r="E704" s="820" t="s">
        <v>1007</v>
      </c>
      <c r="F704" s="365" t="s">
        <v>789</v>
      </c>
      <c r="G704" s="365"/>
      <c r="H704" s="366"/>
      <c r="I704" s="367"/>
      <c r="J704" s="368">
        <f>IF(VLOOKUP(C704,A!A$1:O$669,11,FALSE)="y",1,0)</f>
        <v>0</v>
      </c>
      <c r="K704" s="368">
        <f>IF(VLOOKUP(C704,A!A$1:O$669,12,FALSE)="y",1,0)</f>
        <v>0</v>
      </c>
      <c r="L704" s="544"/>
      <c r="M704" s="367">
        <f>VLOOKUP(C704,A!A$1:O$669,13,FALSE)</f>
        <v>0</v>
      </c>
      <c r="N704" s="369">
        <v>4</v>
      </c>
      <c r="O704" s="533" t="str">
        <f>VLOOKUP(C704,A!A$1:O$669,9,FALSE)</f>
        <v>y</v>
      </c>
      <c r="P704" s="533" t="s">
        <v>783</v>
      </c>
      <c r="Q704" s="533" t="str">
        <f>IF(S704=0,"",COUNTIF(Q$12:Q703,"&gt;0")+1)</f>
        <v/>
      </c>
      <c r="R704" s="533" t="str">
        <f>IF(S704=0,"",COUNTIF(R$12:R703,"&gt;0")+1)</f>
        <v/>
      </c>
      <c r="S704" s="533">
        <f t="shared" si="121"/>
        <v>0</v>
      </c>
      <c r="T704" s="533">
        <v>35</v>
      </c>
      <c r="U704" s="533">
        <v>8.1000000000000003E-2</v>
      </c>
      <c r="V704" s="533">
        <v>-3</v>
      </c>
      <c r="W704" s="533"/>
      <c r="X704" s="533"/>
      <c r="Y704" s="533"/>
      <c r="Z704" s="533"/>
      <c r="AA704" s="533"/>
      <c r="AB704" s="533"/>
      <c r="AC704" s="533"/>
      <c r="AD704" s="533"/>
      <c r="AE704" s="533"/>
      <c r="AF704" s="533"/>
      <c r="AG704" s="533"/>
      <c r="AH704" s="533"/>
      <c r="AI704" s="533"/>
      <c r="AJ704" s="1"/>
      <c r="AK704" s="533"/>
      <c r="AL704" s="533"/>
      <c r="AM704" s="533"/>
      <c r="AN704" s="533"/>
      <c r="AO704" s="533"/>
    </row>
    <row r="705" spans="1:41" ht="11.25" hidden="1" customHeight="1" x14ac:dyDescent="0.25">
      <c r="A705" s="364"/>
      <c r="B705" s="617" t="s">
        <v>510</v>
      </c>
      <c r="C705" s="710" t="s">
        <v>1047</v>
      </c>
      <c r="D705" s="672"/>
      <c r="E705" s="888" t="s">
        <v>1038</v>
      </c>
      <c r="F705" s="365" t="s">
        <v>1048</v>
      </c>
      <c r="G705" s="365"/>
      <c r="H705" s="366"/>
      <c r="I705" s="367"/>
      <c r="J705" s="368">
        <f>IF(VLOOKUP(C705,A!A$1:O$669,11,FALSE)="y",1,0)</f>
        <v>0</v>
      </c>
      <c r="K705" s="368"/>
      <c r="L705" s="544"/>
      <c r="M705" s="367"/>
      <c r="N705" s="369">
        <v>4</v>
      </c>
      <c r="O705" s="533">
        <f>VLOOKUP(C705,A!A$1:O$669,9,FALSE)</f>
        <v>0</v>
      </c>
      <c r="P705" s="533" t="s">
        <v>783</v>
      </c>
      <c r="Q705" s="533" t="str">
        <f>IF(S705=0,"",COUNTIF(Q$12:Q704,"&gt;0")+1)</f>
        <v/>
      </c>
      <c r="R705" s="533" t="str">
        <f>IF(S705=0,"",COUNTIF(R$12:R704,"&gt;0")+1)</f>
        <v/>
      </c>
      <c r="S705" s="533">
        <f t="shared" si="121"/>
        <v>0</v>
      </c>
      <c r="T705" s="533">
        <v>35</v>
      </c>
      <c r="U705" s="533">
        <v>8.1000000000000003E-2</v>
      </c>
      <c r="V705" s="533">
        <v>-3</v>
      </c>
      <c r="W705" s="533"/>
      <c r="X705" s="533"/>
      <c r="Y705" s="533"/>
      <c r="Z705" s="533"/>
      <c r="AA705" s="533"/>
      <c r="AB705" s="533"/>
      <c r="AC705" s="533"/>
      <c r="AD705" s="533"/>
      <c r="AE705" s="533"/>
      <c r="AF705" s="533"/>
      <c r="AG705" s="533"/>
      <c r="AH705" s="533"/>
      <c r="AI705" s="533"/>
      <c r="AJ705" s="1"/>
      <c r="AK705" s="533"/>
      <c r="AL705" s="533"/>
      <c r="AM705" s="533"/>
      <c r="AN705" s="533"/>
      <c r="AO705" s="533"/>
    </row>
    <row r="706" spans="1:41" ht="12" hidden="1" customHeight="1" x14ac:dyDescent="0.25">
      <c r="A706" s="364"/>
      <c r="B706" s="617" t="s">
        <v>510</v>
      </c>
      <c r="C706" s="710" t="s">
        <v>790</v>
      </c>
      <c r="D706" s="672"/>
      <c r="E706" s="820"/>
      <c r="F706" s="365"/>
      <c r="G706" s="365"/>
      <c r="H706" s="366"/>
      <c r="I706" s="367"/>
      <c r="J706" s="368">
        <f>IF(VLOOKUP(C706,A!A$1:O$669,11,FALSE)="y",1,0)</f>
        <v>0</v>
      </c>
      <c r="K706" s="368"/>
      <c r="L706" s="544"/>
      <c r="M706" s="367">
        <f>VLOOKUP(C706,A!A$1:O$669,13,FALSE)</f>
        <v>0</v>
      </c>
      <c r="N706" s="369">
        <v>4</v>
      </c>
      <c r="O706" s="533">
        <f>VLOOKUP(C706,A!A$1:O$669,9,FALSE)</f>
        <v>0</v>
      </c>
      <c r="P706" s="533" t="s">
        <v>783</v>
      </c>
      <c r="Q706" s="533" t="str">
        <f>IF(S706=0,"",COUNTIF(Q$12:Q705,"&gt;0")+1)</f>
        <v/>
      </c>
      <c r="R706" s="533" t="str">
        <f>IF(S706=0,"",COUNTIF(R$12:R705,"&gt;0")+1)</f>
        <v/>
      </c>
      <c r="S706" s="533">
        <f t="shared" si="121"/>
        <v>0</v>
      </c>
      <c r="T706" s="533">
        <v>35</v>
      </c>
      <c r="U706" s="533">
        <v>8.1000000000000003E-2</v>
      </c>
      <c r="V706" s="533">
        <v>-3</v>
      </c>
      <c r="W706" s="533"/>
      <c r="X706" s="533"/>
      <c r="Y706" s="533"/>
      <c r="Z706" s="533"/>
      <c r="AA706" s="533"/>
      <c r="AB706" s="533"/>
      <c r="AC706" s="533"/>
      <c r="AD706" s="533"/>
      <c r="AE706" s="533"/>
      <c r="AF706" s="533"/>
      <c r="AG706" s="533"/>
      <c r="AH706" s="533"/>
      <c r="AI706" s="533"/>
      <c r="AJ706" s="1"/>
      <c r="AK706" s="533"/>
      <c r="AL706" s="533"/>
      <c r="AM706" s="533"/>
      <c r="AN706" s="533"/>
      <c r="AO706" s="533"/>
    </row>
    <row r="707" spans="1:41" ht="12" hidden="1" customHeight="1" x14ac:dyDescent="0.25">
      <c r="A707" s="364"/>
      <c r="B707" s="617" t="s">
        <v>1136</v>
      </c>
      <c r="C707" s="694" t="s">
        <v>1074</v>
      </c>
      <c r="D707" s="672"/>
      <c r="E707" s="820" t="s">
        <v>1007</v>
      </c>
      <c r="F707" s="365" t="s">
        <v>1062</v>
      </c>
      <c r="G707" s="365"/>
      <c r="H707" s="366"/>
      <c r="I707" s="367"/>
      <c r="J707" s="368">
        <f>IF(VLOOKUP(C707,A!A$1:O$669,11,FALSE)="y",1,0)</f>
        <v>0</v>
      </c>
      <c r="K707" s="368"/>
      <c r="L707" s="544"/>
      <c r="M707" s="367"/>
      <c r="N707" s="369">
        <v>4</v>
      </c>
      <c r="O707" s="533">
        <f>VLOOKUP(C707,A!A$1:O$669,9,FALSE)</f>
        <v>0</v>
      </c>
      <c r="P707" s="533" t="s">
        <v>783</v>
      </c>
      <c r="Q707" s="533" t="str">
        <f>IF(S707=0,"",COUNTIF(Q$12:Q706,"&gt;0")+1)</f>
        <v/>
      </c>
      <c r="R707" s="533" t="str">
        <f>IF(S707=0,"",COUNTIF(R$12:R706,"&gt;0")+1)</f>
        <v/>
      </c>
      <c r="S707" s="533">
        <f t="shared" si="121"/>
        <v>0</v>
      </c>
      <c r="T707" s="533">
        <v>35</v>
      </c>
      <c r="U707" s="533">
        <v>8.1000000000000003E-2</v>
      </c>
      <c r="V707" s="533">
        <v>-3</v>
      </c>
      <c r="W707" s="533"/>
      <c r="X707" s="533"/>
      <c r="Y707" s="533"/>
      <c r="Z707" s="533"/>
      <c r="AA707" s="533"/>
      <c r="AB707" s="533"/>
      <c r="AC707" s="533"/>
      <c r="AD707" s="533"/>
      <c r="AE707" s="533"/>
      <c r="AF707" s="533"/>
      <c r="AG707" s="533"/>
      <c r="AH707" s="533"/>
      <c r="AI707" s="533"/>
      <c r="AJ707" s="1"/>
      <c r="AK707" s="533"/>
      <c r="AL707" s="533"/>
      <c r="AM707" s="533"/>
      <c r="AN707" s="533"/>
      <c r="AO707" s="533"/>
    </row>
    <row r="708" spans="1:41" ht="13.5" customHeight="1" x14ac:dyDescent="0.25">
      <c r="A708" s="364"/>
      <c r="B708" s="617" t="s">
        <v>1136</v>
      </c>
      <c r="C708" s="710" t="s">
        <v>791</v>
      </c>
      <c r="D708" s="672"/>
      <c r="E708" s="820" t="s">
        <v>1007</v>
      </c>
      <c r="F708" s="365" t="s">
        <v>792</v>
      </c>
      <c r="G708" s="365"/>
      <c r="H708" s="366"/>
      <c r="I708" s="367"/>
      <c r="J708" s="368">
        <f>IF(VLOOKUP(C708,A!A$1:O$669,11,FALSE)="y",1,0)</f>
        <v>0</v>
      </c>
      <c r="K708" s="368">
        <f>IF(VLOOKUP(C708,A!A$1:O$669,12,FALSE)="y",1,0)</f>
        <v>0</v>
      </c>
      <c r="L708" s="544"/>
      <c r="M708" s="367">
        <f>VLOOKUP(C708,A!A$1:O$669,13,FALSE)</f>
        <v>0</v>
      </c>
      <c r="N708" s="369">
        <v>4</v>
      </c>
      <c r="O708" s="533" t="str">
        <f>VLOOKUP(C708,A!A$1:O$669,9,FALSE)</f>
        <v>y</v>
      </c>
      <c r="P708" s="533" t="s">
        <v>783</v>
      </c>
      <c r="Q708" s="533" t="str">
        <f>IF(S708=0,"",COUNTIF(Q$12:Q707,"&gt;0")+1)</f>
        <v/>
      </c>
      <c r="R708" s="533" t="str">
        <f>IF(S708=0,"",COUNTIF(R$12:R707,"&gt;0")+1)</f>
        <v/>
      </c>
      <c r="S708" s="533">
        <f t="shared" si="121"/>
        <v>0</v>
      </c>
      <c r="T708" s="533">
        <v>35</v>
      </c>
      <c r="U708" s="533">
        <v>8.1000000000000003E-2</v>
      </c>
      <c r="V708" s="533">
        <v>-3</v>
      </c>
      <c r="W708" s="533"/>
      <c r="X708" s="533"/>
      <c r="Y708" s="533"/>
      <c r="Z708" s="533"/>
      <c r="AA708" s="533"/>
      <c r="AB708" s="533"/>
      <c r="AC708" s="533"/>
      <c r="AD708" s="533"/>
      <c r="AE708" s="533"/>
      <c r="AF708" s="533"/>
      <c r="AG708" s="533"/>
      <c r="AH708" s="533"/>
      <c r="AI708" s="533"/>
      <c r="AJ708" s="1"/>
      <c r="AK708" s="533"/>
      <c r="AL708" s="533"/>
      <c r="AM708" s="533"/>
      <c r="AN708" s="533"/>
      <c r="AO708" s="533"/>
    </row>
    <row r="709" spans="1:41" ht="11.25" hidden="1" customHeight="1" x14ac:dyDescent="0.25">
      <c r="A709" s="364"/>
      <c r="B709" s="617" t="s">
        <v>510</v>
      </c>
      <c r="C709" s="710" t="s">
        <v>793</v>
      </c>
      <c r="D709" s="672"/>
      <c r="E709" s="889" t="s">
        <v>1008</v>
      </c>
      <c r="F709" s="365" t="s">
        <v>794</v>
      </c>
      <c r="G709" s="365"/>
      <c r="H709" s="366"/>
      <c r="I709" s="367"/>
      <c r="J709" s="368">
        <f>IF(VLOOKUP(C709,A!A$1:O$669,11,FALSE)="y",1,0)</f>
        <v>0</v>
      </c>
      <c r="K709" s="368">
        <f>IF(VLOOKUP(C709,A!A$1:O$669,12,FALSE)="y",1,0)</f>
        <v>0</v>
      </c>
      <c r="L709" s="544"/>
      <c r="M709" s="367">
        <f>VLOOKUP(C709,A!A$1:O$669,13,FALSE)</f>
        <v>0</v>
      </c>
      <c r="N709" s="369">
        <v>4</v>
      </c>
      <c r="O709" s="533">
        <f>VLOOKUP(C709,A!A$1:O$669,9,FALSE)</f>
        <v>0</v>
      </c>
      <c r="P709" s="533" t="s">
        <v>783</v>
      </c>
      <c r="Q709" s="533" t="str">
        <f>IF(S709=0,"",COUNTIF(Q$12:Q708,"&gt;0")+1)</f>
        <v/>
      </c>
      <c r="R709" s="533" t="str">
        <f>IF(S709=0,"",COUNTIF(R$12:R708,"&gt;0")+1)</f>
        <v/>
      </c>
      <c r="S709" s="533">
        <f t="shared" si="121"/>
        <v>0</v>
      </c>
      <c r="T709" s="533">
        <v>35</v>
      </c>
      <c r="U709" s="533">
        <v>8.1000000000000003E-2</v>
      </c>
      <c r="V709" s="533">
        <v>-3</v>
      </c>
      <c r="W709" s="533"/>
      <c r="X709" s="533"/>
      <c r="Y709" s="533"/>
      <c r="Z709" s="533"/>
      <c r="AA709" s="533"/>
      <c r="AB709" s="533"/>
      <c r="AC709" s="533"/>
      <c r="AD709" s="533"/>
      <c r="AE709" s="533"/>
      <c r="AF709" s="533"/>
      <c r="AG709" s="533"/>
      <c r="AH709" s="533"/>
      <c r="AI709" s="533"/>
      <c r="AJ709" s="1"/>
      <c r="AK709" s="533"/>
      <c r="AL709" s="533"/>
      <c r="AM709" s="533"/>
      <c r="AN709" s="533"/>
      <c r="AO709" s="533"/>
    </row>
    <row r="710" spans="1:41" ht="13.5" customHeight="1" x14ac:dyDescent="0.25">
      <c r="A710" s="364"/>
      <c r="B710" s="617" t="s">
        <v>1136</v>
      </c>
      <c r="C710" s="710" t="s">
        <v>795</v>
      </c>
      <c r="D710" s="672"/>
      <c r="E710" s="889" t="s">
        <v>1008</v>
      </c>
      <c r="F710" s="365" t="s">
        <v>980</v>
      </c>
      <c r="G710" s="365"/>
      <c r="H710" s="366"/>
      <c r="I710" s="367"/>
      <c r="J710" s="368">
        <f>IF(VLOOKUP(C710,A!A$1:O$669,11,FALSE)="y",1,0)</f>
        <v>0</v>
      </c>
      <c r="K710" s="368">
        <f>IF(VLOOKUP(C710,A!A$1:O$669,12,FALSE)="y",1,0)</f>
        <v>0</v>
      </c>
      <c r="L710" s="544"/>
      <c r="M710" s="367">
        <f>VLOOKUP(C710,A!A$1:O$669,13,FALSE)</f>
        <v>0</v>
      </c>
      <c r="N710" s="369">
        <v>4</v>
      </c>
      <c r="O710" s="533" t="str">
        <f>VLOOKUP(C710,A!A$1:O$669,9,FALSE)</f>
        <v>y</v>
      </c>
      <c r="P710" s="533" t="s">
        <v>783</v>
      </c>
      <c r="Q710" s="533" t="str">
        <f>IF(S710=0,"",COUNTIF(Q$12:Q709,"&gt;0")+1)</f>
        <v/>
      </c>
      <c r="R710" s="533" t="str">
        <f>IF(S710=0,"",COUNTIF(R$12:R709,"&gt;0")+1)</f>
        <v/>
      </c>
      <c r="S710" s="533">
        <f t="shared" si="121"/>
        <v>0</v>
      </c>
      <c r="T710" s="533">
        <v>35</v>
      </c>
      <c r="U710" s="533">
        <v>8.1000000000000003E-2</v>
      </c>
      <c r="V710" s="533">
        <v>-3</v>
      </c>
      <c r="W710" s="533"/>
      <c r="X710" s="533"/>
      <c r="Y710" s="533"/>
      <c r="Z710" s="533"/>
      <c r="AA710" s="533"/>
      <c r="AB710" s="533"/>
      <c r="AC710" s="533"/>
      <c r="AD710" s="533"/>
      <c r="AE710" s="533"/>
      <c r="AF710" s="533"/>
      <c r="AG710" s="533"/>
      <c r="AH710" s="533"/>
      <c r="AI710" s="533"/>
      <c r="AJ710" s="1"/>
      <c r="AK710" s="533"/>
      <c r="AL710" s="533"/>
      <c r="AM710" s="533"/>
      <c r="AN710" s="533"/>
      <c r="AO710" s="533"/>
    </row>
    <row r="711" spans="1:41" ht="12" hidden="1" customHeight="1" x14ac:dyDescent="0.25">
      <c r="A711" s="364"/>
      <c r="B711" s="617" t="s">
        <v>510</v>
      </c>
      <c r="C711" s="710" t="s">
        <v>796</v>
      </c>
      <c r="D711" s="672"/>
      <c r="E711" s="889"/>
      <c r="F711" s="365" t="s">
        <v>981</v>
      </c>
      <c r="G711" s="365"/>
      <c r="H711" s="366"/>
      <c r="I711" s="367"/>
      <c r="J711" s="368">
        <f>IF(VLOOKUP(C711,A!A$1:O$669,11,FALSE)="y",1,0)</f>
        <v>0</v>
      </c>
      <c r="K711" s="368">
        <f>IF(VLOOKUP(C711,A!A$1:O$669,12,FALSE)="y",1,0)</f>
        <v>0</v>
      </c>
      <c r="L711" s="544"/>
      <c r="M711" s="367">
        <f>VLOOKUP(C711,A!A$1:O$669,13,FALSE)</f>
        <v>0</v>
      </c>
      <c r="N711" s="369">
        <v>4</v>
      </c>
      <c r="O711" s="533">
        <f>VLOOKUP(C711,A!A$1:O$669,9,FALSE)</f>
        <v>0</v>
      </c>
      <c r="P711" s="533" t="s">
        <v>783</v>
      </c>
      <c r="Q711" s="533" t="str">
        <f>IF(S711=0,"",COUNTIF(Q$12:Q710,"&gt;0")+1)</f>
        <v/>
      </c>
      <c r="R711" s="533" t="str">
        <f>IF(S711=0,"",COUNTIF(R$12:R710,"&gt;0")+1)</f>
        <v/>
      </c>
      <c r="S711" s="533">
        <f t="shared" si="121"/>
        <v>0</v>
      </c>
      <c r="T711" s="533">
        <v>35</v>
      </c>
      <c r="U711" s="533">
        <v>8.1000000000000003E-2</v>
      </c>
      <c r="V711" s="533">
        <v>-3</v>
      </c>
      <c r="W711" s="533"/>
      <c r="X711" s="533"/>
      <c r="Y711" s="533"/>
      <c r="Z711" s="533"/>
      <c r="AA711" s="533"/>
      <c r="AB711" s="533"/>
      <c r="AC711" s="533"/>
      <c r="AD711" s="533"/>
      <c r="AE711" s="533"/>
      <c r="AF711" s="533"/>
      <c r="AG711" s="533"/>
      <c r="AH711" s="533"/>
      <c r="AI711" s="533"/>
      <c r="AJ711" s="1"/>
      <c r="AK711" s="533"/>
      <c r="AL711" s="533"/>
      <c r="AM711" s="533"/>
      <c r="AN711" s="533"/>
      <c r="AO711" s="533"/>
    </row>
    <row r="712" spans="1:41" ht="13.5" hidden="1" customHeight="1" x14ac:dyDescent="0.25">
      <c r="A712" s="364"/>
      <c r="B712" s="617" t="s">
        <v>1136</v>
      </c>
      <c r="C712" s="710" t="s">
        <v>797</v>
      </c>
      <c r="D712" s="672"/>
      <c r="E712" s="889" t="s">
        <v>1008</v>
      </c>
      <c r="F712" s="365" t="s">
        <v>798</v>
      </c>
      <c r="G712" s="365"/>
      <c r="H712" s="366"/>
      <c r="I712" s="367"/>
      <c r="J712" s="368">
        <f>IF(VLOOKUP(C712,A!A$1:O$669,11,FALSE)="y",1,0)</f>
        <v>0</v>
      </c>
      <c r="K712" s="368">
        <f>IF(VLOOKUP(C712,A!A$1:O$669,12,FALSE)="y",1,0)</f>
        <v>0</v>
      </c>
      <c r="L712" s="544"/>
      <c r="M712" s="367">
        <f>VLOOKUP(C712,A!A$1:O$669,13,FALSE)</f>
        <v>0</v>
      </c>
      <c r="N712" s="369">
        <v>4</v>
      </c>
      <c r="O712" s="533">
        <f>VLOOKUP(C712,A!A$1:O$669,9,FALSE)</f>
        <v>0</v>
      </c>
      <c r="P712" s="533" t="s">
        <v>783</v>
      </c>
      <c r="Q712" s="533" t="str">
        <f>IF(S712=0,"",COUNTIF(Q$12:Q711,"&gt;0")+1)</f>
        <v/>
      </c>
      <c r="R712" s="533" t="str">
        <f>IF(S712=0,"",COUNTIF(R$12:R711,"&gt;0")+1)</f>
        <v/>
      </c>
      <c r="S712" s="533">
        <f t="shared" si="121"/>
        <v>0</v>
      </c>
      <c r="T712" s="533">
        <v>35</v>
      </c>
      <c r="U712" s="533">
        <v>8.1000000000000003E-2</v>
      </c>
      <c r="V712" s="533">
        <v>-3</v>
      </c>
      <c r="W712" s="533"/>
      <c r="X712" s="533"/>
      <c r="Y712" s="533"/>
      <c r="Z712" s="533"/>
      <c r="AA712" s="533"/>
      <c r="AB712" s="533"/>
      <c r="AC712" s="533"/>
      <c r="AD712" s="533"/>
      <c r="AE712" s="533"/>
      <c r="AF712" s="533"/>
      <c r="AG712" s="533"/>
      <c r="AH712" s="533"/>
      <c r="AI712" s="533"/>
      <c r="AJ712" s="1"/>
      <c r="AK712" s="533"/>
      <c r="AL712" s="533"/>
      <c r="AM712" s="533"/>
      <c r="AN712" s="533"/>
      <c r="AO712" s="533"/>
    </row>
    <row r="713" spans="1:41" ht="13.5" hidden="1" customHeight="1" x14ac:dyDescent="0.25">
      <c r="A713" s="364"/>
      <c r="B713" s="617" t="s">
        <v>1136</v>
      </c>
      <c r="C713" s="710" t="s">
        <v>799</v>
      </c>
      <c r="D713" s="672"/>
      <c r="E713" s="890" t="s">
        <v>1020</v>
      </c>
      <c r="F713" s="365" t="s">
        <v>1019</v>
      </c>
      <c r="G713" s="365"/>
      <c r="H713" s="366"/>
      <c r="I713" s="367"/>
      <c r="J713" s="368">
        <f>IF(VLOOKUP(C713,A!A$1:O$669,11,FALSE)="y",1,0)</f>
        <v>0</v>
      </c>
      <c r="K713" s="368">
        <f>IF(VLOOKUP(C713,A!A$1:O$669,12,FALSE)="y",1,0)</f>
        <v>0</v>
      </c>
      <c r="L713" s="544"/>
      <c r="M713" s="367">
        <f>VLOOKUP(C713,A!A$1:O$669,13,FALSE)</f>
        <v>0</v>
      </c>
      <c r="N713" s="369">
        <v>4</v>
      </c>
      <c r="O713" s="533">
        <f>VLOOKUP(C713,A!A$1:O$669,9,FALSE)</f>
        <v>0</v>
      </c>
      <c r="P713" s="533" t="s">
        <v>783</v>
      </c>
      <c r="Q713" s="533" t="str">
        <f>IF(S713=0,"",COUNTIF(Q$12:Q712,"&gt;0")+1)</f>
        <v/>
      </c>
      <c r="R713" s="533" t="str">
        <f>IF(S713=0,"",COUNTIF(R$12:R712,"&gt;0")+1)</f>
        <v/>
      </c>
      <c r="S713" s="533">
        <f t="shared" si="121"/>
        <v>0</v>
      </c>
      <c r="T713" s="533">
        <v>35</v>
      </c>
      <c r="U713" s="533">
        <v>8.1000000000000003E-2</v>
      </c>
      <c r="V713" s="533">
        <v>-3</v>
      </c>
      <c r="W713" s="533"/>
      <c r="X713" s="533"/>
      <c r="Y713" s="533"/>
      <c r="Z713" s="533"/>
      <c r="AA713" s="533"/>
      <c r="AB713" s="533"/>
      <c r="AC713" s="533"/>
      <c r="AD713" s="533"/>
      <c r="AE713" s="533"/>
      <c r="AF713" s="533"/>
      <c r="AG713" s="533"/>
      <c r="AH713" s="533"/>
      <c r="AI713" s="533"/>
      <c r="AJ713" s="1"/>
      <c r="AK713" s="533"/>
      <c r="AL713" s="533"/>
      <c r="AM713" s="533"/>
      <c r="AN713" s="533"/>
      <c r="AO713" s="533"/>
    </row>
    <row r="714" spans="1:41" ht="13.5" hidden="1" customHeight="1" x14ac:dyDescent="0.25">
      <c r="A714" s="364"/>
      <c r="B714" s="617" t="s">
        <v>1136</v>
      </c>
      <c r="C714" s="710" t="s">
        <v>800</v>
      </c>
      <c r="D714" s="672"/>
      <c r="E714" s="820" t="s">
        <v>1007</v>
      </c>
      <c r="F714" s="365" t="s">
        <v>801</v>
      </c>
      <c r="G714" s="365"/>
      <c r="H714" s="366"/>
      <c r="I714" s="367"/>
      <c r="J714" s="368">
        <f>IF(VLOOKUP(C714,A!A$1:O$669,11,FALSE)="y",1,0)</f>
        <v>0</v>
      </c>
      <c r="K714" s="368">
        <f>IF(VLOOKUP(C714,A!A$1:O$669,12,FALSE)="y",1,0)</f>
        <v>0</v>
      </c>
      <c r="L714" s="544"/>
      <c r="M714" s="367">
        <f>VLOOKUP(C714,A!A$1:O$669,13,FALSE)</f>
        <v>0</v>
      </c>
      <c r="N714" s="369">
        <v>4</v>
      </c>
      <c r="O714" s="533">
        <f>VLOOKUP(C714,A!A$1:O$669,9,FALSE)</f>
        <v>0</v>
      </c>
      <c r="P714" s="533" t="s">
        <v>783</v>
      </c>
      <c r="Q714" s="533" t="str">
        <f>IF(S714=0,"",COUNTIF(Q$12:Q713,"&gt;0")+1)</f>
        <v/>
      </c>
      <c r="R714" s="533" t="str">
        <f>IF(S714=0,"",COUNTIF(R$12:R713,"&gt;0")+1)</f>
        <v/>
      </c>
      <c r="S714" s="533">
        <f t="shared" si="121"/>
        <v>0</v>
      </c>
      <c r="T714" s="533">
        <v>35</v>
      </c>
      <c r="U714" s="533">
        <v>8.1000000000000003E-2</v>
      </c>
      <c r="V714" s="533">
        <v>-3</v>
      </c>
      <c r="W714" s="533"/>
      <c r="X714" s="533"/>
      <c r="Y714" s="533"/>
      <c r="Z714" s="533"/>
      <c r="AA714" s="533"/>
      <c r="AB714" s="533"/>
      <c r="AC714" s="533"/>
      <c r="AD714" s="533"/>
      <c r="AE714" s="533"/>
      <c r="AF714" s="533"/>
      <c r="AG714" s="533"/>
      <c r="AH714" s="533"/>
      <c r="AI714" s="533"/>
      <c r="AJ714" s="1"/>
      <c r="AK714" s="533"/>
      <c r="AL714" s="533"/>
      <c r="AM714" s="533"/>
      <c r="AN714" s="533"/>
      <c r="AO714" s="533"/>
    </row>
    <row r="715" spans="1:41" ht="13.5" hidden="1" customHeight="1" x14ac:dyDescent="0.25">
      <c r="A715" s="364"/>
      <c r="B715" s="617" t="s">
        <v>1136</v>
      </c>
      <c r="C715" s="710" t="s">
        <v>802</v>
      </c>
      <c r="D715" s="672"/>
      <c r="E715" s="368" t="s">
        <v>1767</v>
      </c>
      <c r="F715" s="365" t="s">
        <v>1768</v>
      </c>
      <c r="G715" s="365"/>
      <c r="H715" s="366"/>
      <c r="I715" s="367"/>
      <c r="J715" s="368">
        <f>IF(VLOOKUP(C715,A!A$1:O$669,11,FALSE)="y",1,0)</f>
        <v>0</v>
      </c>
      <c r="K715" s="368">
        <f>IF(VLOOKUP(C715,A!A$1:O$669,12,FALSE)="y",1,0)</f>
        <v>0</v>
      </c>
      <c r="L715" s="544"/>
      <c r="M715" s="367">
        <f>VLOOKUP(C715,A!A$1:O$669,13,FALSE)</f>
        <v>0</v>
      </c>
      <c r="N715" s="369">
        <v>4</v>
      </c>
      <c r="O715" s="533">
        <f>VLOOKUP(C715,A!A$1:O$669,9,FALSE)</f>
        <v>0</v>
      </c>
      <c r="P715" s="533" t="s">
        <v>783</v>
      </c>
      <c r="Q715" s="533" t="str">
        <f>IF(S715=0,"",COUNTIF(Q$12:Q714,"&gt;0")+1)</f>
        <v/>
      </c>
      <c r="R715" s="533" t="str">
        <f>IF(S715=0,"",COUNTIF(R$12:R714,"&gt;0")+1)</f>
        <v/>
      </c>
      <c r="S715" s="533">
        <f t="shared" si="121"/>
        <v>0</v>
      </c>
      <c r="T715" s="533">
        <v>35</v>
      </c>
      <c r="U715" s="533">
        <v>8.1000000000000003E-2</v>
      </c>
      <c r="V715" s="533">
        <v>-3</v>
      </c>
      <c r="W715" s="533"/>
      <c r="X715" s="533"/>
      <c r="Y715" s="533"/>
      <c r="Z715" s="533"/>
      <c r="AA715" s="533"/>
      <c r="AB715" s="533"/>
      <c r="AC715" s="533"/>
      <c r="AD715" s="533"/>
      <c r="AE715" s="533"/>
      <c r="AF715" s="533"/>
      <c r="AG715" s="533"/>
      <c r="AH715" s="533"/>
      <c r="AI715" s="533"/>
      <c r="AJ715" s="1"/>
      <c r="AK715" s="533"/>
      <c r="AL715" s="533"/>
      <c r="AM715" s="533"/>
      <c r="AN715" s="533"/>
      <c r="AO715" s="533"/>
    </row>
    <row r="716" spans="1:41" ht="13.5" hidden="1" customHeight="1" x14ac:dyDescent="0.25">
      <c r="A716" s="364"/>
      <c r="B716" s="617" t="s">
        <v>1136</v>
      </c>
      <c r="C716" s="710" t="s">
        <v>803</v>
      </c>
      <c r="D716" s="672"/>
      <c r="E716" s="820" t="s">
        <v>1007</v>
      </c>
      <c r="F716" s="365" t="s">
        <v>1220</v>
      </c>
      <c r="G716" s="365"/>
      <c r="H716" s="366"/>
      <c r="I716" s="367"/>
      <c r="J716" s="368">
        <f>IF(VLOOKUP(C716,A!A$1:O$669,11,FALSE)="y",1,0)</f>
        <v>0</v>
      </c>
      <c r="K716" s="368">
        <f>IF(VLOOKUP(C716,A!A$1:O$669,12,FALSE)="y",1,0)</f>
        <v>0</v>
      </c>
      <c r="L716" s="544"/>
      <c r="M716" s="367">
        <f>VLOOKUP(C716,A!A$1:O$669,13,FALSE)</f>
        <v>0</v>
      </c>
      <c r="N716" s="369">
        <v>4</v>
      </c>
      <c r="O716" s="533">
        <f>VLOOKUP(C716,A!A$1:O$669,9,FALSE)</f>
        <v>0</v>
      </c>
      <c r="P716" s="533" t="s">
        <v>783</v>
      </c>
      <c r="Q716" s="533" t="str">
        <f>IF(S716=0,"",COUNTIF(Q$12:Q715,"&gt;0")+1)</f>
        <v/>
      </c>
      <c r="R716" s="533" t="str">
        <f>IF(S716=0,"",COUNTIF(R$12:R715,"&gt;0")+1)</f>
        <v/>
      </c>
      <c r="S716" s="533">
        <f t="shared" si="121"/>
        <v>0</v>
      </c>
      <c r="T716" s="533">
        <v>35</v>
      </c>
      <c r="U716" s="533">
        <v>8.1000000000000003E-2</v>
      </c>
      <c r="V716" s="533">
        <v>-3</v>
      </c>
      <c r="W716" s="533"/>
      <c r="X716" s="533"/>
      <c r="Y716" s="533"/>
      <c r="Z716" s="533"/>
      <c r="AA716" s="533"/>
      <c r="AB716" s="533"/>
      <c r="AC716" s="533"/>
      <c r="AD716" s="533"/>
      <c r="AE716" s="533"/>
      <c r="AF716" s="533"/>
      <c r="AG716" s="533"/>
      <c r="AH716" s="533"/>
      <c r="AI716" s="533"/>
      <c r="AJ716" s="1"/>
      <c r="AK716" s="533"/>
      <c r="AL716" s="533"/>
      <c r="AM716" s="533"/>
      <c r="AN716" s="533"/>
      <c r="AO716" s="533"/>
    </row>
    <row r="717" spans="1:41" ht="11.25" hidden="1" customHeight="1" x14ac:dyDescent="0.25">
      <c r="A717" s="364"/>
      <c r="B717" s="617" t="s">
        <v>1136</v>
      </c>
      <c r="C717" s="710" t="s">
        <v>804</v>
      </c>
      <c r="D717" s="672"/>
      <c r="E717" s="368"/>
      <c r="F717" s="365"/>
      <c r="G717" s="365"/>
      <c r="H717" s="366"/>
      <c r="I717" s="367"/>
      <c r="J717" s="368">
        <f>IF(VLOOKUP(C717,A!A$1:O$669,11,FALSE)="y",1,0)</f>
        <v>0</v>
      </c>
      <c r="K717" s="368">
        <f>IF(VLOOKUP(C717,A!A$1:O$669,12,FALSE)="y",1,0)</f>
        <v>0</v>
      </c>
      <c r="L717" s="544"/>
      <c r="M717" s="367">
        <f>VLOOKUP(C717,A!A$1:O$669,13,FALSE)</f>
        <v>0</v>
      </c>
      <c r="N717" s="369">
        <v>4</v>
      </c>
      <c r="O717" s="533">
        <f>VLOOKUP(C717,A!A$1:O$669,9,FALSE)</f>
        <v>0</v>
      </c>
      <c r="P717" s="533" t="s">
        <v>783</v>
      </c>
      <c r="Q717" s="533" t="str">
        <f>IF(S717=0,"",COUNTIF(Q$12:Q716,"&gt;0")+1)</f>
        <v/>
      </c>
      <c r="R717" s="533" t="str">
        <f>IF(S717=0,"",COUNTIF(R$12:R716,"&gt;0")+1)</f>
        <v/>
      </c>
      <c r="S717" s="533">
        <f t="shared" si="121"/>
        <v>0</v>
      </c>
      <c r="T717" s="533">
        <v>35</v>
      </c>
      <c r="U717" s="533">
        <v>8.1000000000000003E-2</v>
      </c>
      <c r="V717" s="533">
        <v>-3</v>
      </c>
      <c r="W717" s="533"/>
      <c r="X717" s="533"/>
      <c r="Y717" s="533"/>
      <c r="Z717" s="533"/>
      <c r="AA717" s="533"/>
      <c r="AB717" s="533"/>
      <c r="AC717" s="533"/>
      <c r="AD717" s="533"/>
      <c r="AE717" s="533"/>
      <c r="AF717" s="533"/>
      <c r="AG717" s="533"/>
      <c r="AH717" s="533"/>
      <c r="AI717" s="533"/>
      <c r="AJ717" s="1"/>
      <c r="AK717" s="533"/>
      <c r="AL717" s="533"/>
      <c r="AM717" s="533"/>
      <c r="AN717" s="533"/>
      <c r="AO717" s="533"/>
    </row>
    <row r="718" spans="1:41" ht="12.75" customHeight="1" x14ac:dyDescent="0.25">
      <c r="A718" s="364"/>
      <c r="B718" s="617" t="s">
        <v>1136</v>
      </c>
      <c r="C718" s="710" t="s">
        <v>805</v>
      </c>
      <c r="D718" s="672"/>
      <c r="E718" s="368" t="s">
        <v>1006</v>
      </c>
      <c r="F718" s="365" t="s">
        <v>806</v>
      </c>
      <c r="G718" s="365"/>
      <c r="H718" s="366"/>
      <c r="I718" s="367"/>
      <c r="J718" s="368">
        <f>IF(VLOOKUP(C718,A!A$1:O$669,11,FALSE)="y",1,0)</f>
        <v>0</v>
      </c>
      <c r="K718" s="368">
        <f>IF(VLOOKUP(C718,A!A$1:O$669,12,FALSE)="y",1,0)</f>
        <v>0</v>
      </c>
      <c r="L718" s="544"/>
      <c r="M718" s="367">
        <f>VLOOKUP(C718,A!A$1:O$669,13,FALSE)</f>
        <v>0</v>
      </c>
      <c r="N718" s="369">
        <v>4</v>
      </c>
      <c r="O718" s="533" t="str">
        <f>VLOOKUP(C718,A!A$1:O$669,9,FALSE)</f>
        <v>y</v>
      </c>
      <c r="P718" s="533" t="s">
        <v>783</v>
      </c>
      <c r="Q718" s="533" t="str">
        <f>IF(S718=0,"",COUNTIF(Q$12:Q717,"&gt;0")+1)</f>
        <v/>
      </c>
      <c r="R718" s="533" t="str">
        <f>IF(S718=0,"",COUNTIF(R$12:R717,"&gt;0")+1)</f>
        <v/>
      </c>
      <c r="S718" s="533">
        <f t="shared" si="121"/>
        <v>0</v>
      </c>
      <c r="T718" s="533">
        <v>35</v>
      </c>
      <c r="U718" s="533">
        <v>8.1000000000000003E-2</v>
      </c>
      <c r="V718" s="533">
        <v>-3</v>
      </c>
      <c r="W718" s="533"/>
      <c r="X718" s="533"/>
      <c r="Y718" s="533"/>
      <c r="Z718" s="533"/>
      <c r="AA718" s="533"/>
      <c r="AB718" s="533"/>
      <c r="AC718" s="533"/>
      <c r="AD718" s="533"/>
      <c r="AE718" s="533"/>
      <c r="AF718" s="533"/>
      <c r="AG718" s="533"/>
      <c r="AH718" s="533"/>
      <c r="AI718" s="533"/>
      <c r="AJ718" s="1"/>
      <c r="AK718" s="533"/>
      <c r="AL718" s="533"/>
      <c r="AM718" s="533"/>
      <c r="AN718" s="533"/>
      <c r="AO718" s="533"/>
    </row>
    <row r="719" spans="1:41" ht="13.5" hidden="1" customHeight="1" x14ac:dyDescent="0.25">
      <c r="A719" s="364"/>
      <c r="B719" s="617" t="s">
        <v>1136</v>
      </c>
      <c r="C719" s="710" t="s">
        <v>807</v>
      </c>
      <c r="D719" s="672"/>
      <c r="E719" s="368"/>
      <c r="F719" s="365"/>
      <c r="G719" s="365"/>
      <c r="H719" s="366"/>
      <c r="I719" s="367"/>
      <c r="J719" s="368">
        <f>IF(VLOOKUP(C719,A!A$1:O$669,11,FALSE)="y",1,0)</f>
        <v>0</v>
      </c>
      <c r="K719" s="368">
        <f>IF(VLOOKUP(C719,A!A$1:O$669,12,FALSE)="y",1,0)</f>
        <v>0</v>
      </c>
      <c r="L719" s="544"/>
      <c r="M719" s="367">
        <f>VLOOKUP(C719,A!A$1:O$669,13,FALSE)</f>
        <v>0</v>
      </c>
      <c r="N719" s="369">
        <v>4</v>
      </c>
      <c r="O719" s="533">
        <f>VLOOKUP(C719,A!A$1:O$669,9,FALSE)</f>
        <v>0</v>
      </c>
      <c r="P719" s="533" t="s">
        <v>783</v>
      </c>
      <c r="Q719" s="533" t="str">
        <f>IF(S719=0,"",COUNTIF(Q$12:Q718,"&gt;0")+1)</f>
        <v/>
      </c>
      <c r="R719" s="533" t="str">
        <f>IF(S719=0,"",COUNTIF(R$12:R718,"&gt;0")+1)</f>
        <v/>
      </c>
      <c r="S719" s="533">
        <f t="shared" si="121"/>
        <v>0</v>
      </c>
      <c r="T719" s="533">
        <v>35</v>
      </c>
      <c r="U719" s="533">
        <v>8.1000000000000003E-2</v>
      </c>
      <c r="V719" s="533">
        <v>-3</v>
      </c>
      <c r="W719" s="533"/>
      <c r="X719" s="533"/>
      <c r="Y719" s="533"/>
      <c r="Z719" s="533"/>
      <c r="AA719" s="533"/>
      <c r="AB719" s="533"/>
      <c r="AC719" s="533"/>
      <c r="AD719" s="533"/>
      <c r="AE719" s="533"/>
      <c r="AF719" s="533"/>
      <c r="AG719" s="533"/>
      <c r="AH719" s="533"/>
      <c r="AI719" s="533"/>
      <c r="AJ719" s="1"/>
      <c r="AK719" s="533"/>
      <c r="AL719" s="533"/>
      <c r="AM719" s="533"/>
      <c r="AN719" s="533"/>
      <c r="AO719" s="533"/>
    </row>
    <row r="720" spans="1:41" ht="13.5" hidden="1" customHeight="1" x14ac:dyDescent="0.25">
      <c r="A720" s="364"/>
      <c r="B720" s="617" t="s">
        <v>1136</v>
      </c>
      <c r="C720" s="710" t="s">
        <v>808</v>
      </c>
      <c r="D720" s="672"/>
      <c r="E720" s="368"/>
      <c r="F720" s="365"/>
      <c r="G720" s="365"/>
      <c r="H720" s="366"/>
      <c r="I720" s="367"/>
      <c r="J720" s="368">
        <f>IF(VLOOKUP(C720,A!A$1:O$669,11,FALSE)="y",1,0)</f>
        <v>0</v>
      </c>
      <c r="K720" s="368">
        <f>IF(VLOOKUP(C720,A!A$1:O$669,12,FALSE)="y",1,0)</f>
        <v>0</v>
      </c>
      <c r="L720" s="544"/>
      <c r="M720" s="367">
        <f>VLOOKUP(C720,A!A$1:O$669,13,FALSE)</f>
        <v>0</v>
      </c>
      <c r="N720" s="369">
        <v>4</v>
      </c>
      <c r="O720" s="533">
        <f>VLOOKUP(C720,A!A$1:O$669,9,FALSE)</f>
        <v>0</v>
      </c>
      <c r="P720" s="533" t="s">
        <v>783</v>
      </c>
      <c r="Q720" s="533" t="str">
        <f>IF(S720=0,"",COUNTIF(Q$12:Q719,"&gt;0")+1)</f>
        <v/>
      </c>
      <c r="R720" s="533" t="str">
        <f>IF(S720=0,"",COUNTIF(R$12:R719,"&gt;0")+1)</f>
        <v/>
      </c>
      <c r="S720" s="533">
        <f t="shared" si="121"/>
        <v>0</v>
      </c>
      <c r="T720" s="533">
        <v>35</v>
      </c>
      <c r="U720" s="533">
        <v>8.1000000000000003E-2</v>
      </c>
      <c r="V720" s="533">
        <v>-3</v>
      </c>
      <c r="W720" s="533"/>
      <c r="X720" s="533"/>
      <c r="Y720" s="533"/>
      <c r="Z720" s="533"/>
      <c r="AA720" s="533"/>
      <c r="AB720" s="533"/>
      <c r="AC720" s="533"/>
      <c r="AD720" s="533"/>
      <c r="AE720" s="533"/>
      <c r="AF720" s="533"/>
      <c r="AG720" s="533"/>
      <c r="AH720" s="533"/>
      <c r="AI720" s="533"/>
      <c r="AJ720" s="1"/>
      <c r="AK720" s="533"/>
      <c r="AL720" s="533"/>
      <c r="AM720" s="533"/>
      <c r="AN720" s="533"/>
      <c r="AO720" s="533"/>
    </row>
    <row r="721" spans="1:41" ht="13.5" customHeight="1" x14ac:dyDescent="0.25">
      <c r="A721" s="364"/>
      <c r="B721" s="617" t="s">
        <v>1136</v>
      </c>
      <c r="C721" s="710" t="s">
        <v>809</v>
      </c>
      <c r="D721" s="672"/>
      <c r="E721" s="891" t="s">
        <v>1009</v>
      </c>
      <c r="F721" s="365" t="s">
        <v>810</v>
      </c>
      <c r="G721" s="365"/>
      <c r="H721" s="366"/>
      <c r="I721" s="367"/>
      <c r="J721" s="368">
        <f>IF(VLOOKUP(C721,A!A$1:O$669,11,FALSE)="y",1,0)</f>
        <v>0</v>
      </c>
      <c r="K721" s="368">
        <f>IF(VLOOKUP(C721,A!A$1:O$669,12,FALSE)="y",1,0)</f>
        <v>0</v>
      </c>
      <c r="L721" s="544"/>
      <c r="M721" s="367">
        <f>VLOOKUP(C721,A!A$1:O$669,13,FALSE)</f>
        <v>0</v>
      </c>
      <c r="N721" s="369">
        <v>4</v>
      </c>
      <c r="O721" s="533" t="str">
        <f>VLOOKUP(C721,A!A$1:O$669,9,FALSE)</f>
        <v>y</v>
      </c>
      <c r="P721" s="533" t="s">
        <v>783</v>
      </c>
      <c r="Q721" s="533" t="str">
        <f>IF(S721=0,"",COUNTIF(Q$12:Q720,"&gt;0")+1)</f>
        <v/>
      </c>
      <c r="R721" s="533" t="str">
        <f>IF(S721=0,"",COUNTIF(R$12:R720,"&gt;0")+1)</f>
        <v/>
      </c>
      <c r="S721" s="533">
        <f t="shared" si="121"/>
        <v>0</v>
      </c>
      <c r="T721" s="533">
        <v>35</v>
      </c>
      <c r="U721" s="533">
        <v>8.1000000000000003E-2</v>
      </c>
      <c r="V721" s="533">
        <v>-3</v>
      </c>
      <c r="W721" s="533"/>
      <c r="X721" s="533"/>
      <c r="Y721" s="533"/>
      <c r="Z721" s="533"/>
      <c r="AA721" s="533"/>
      <c r="AB721" s="533"/>
      <c r="AC721" s="533"/>
      <c r="AD721" s="533"/>
      <c r="AE721" s="533"/>
      <c r="AF721" s="533"/>
      <c r="AG721" s="533"/>
      <c r="AH721" s="533"/>
      <c r="AI721" s="533"/>
      <c r="AJ721" s="1"/>
      <c r="AK721" s="533"/>
      <c r="AL721" s="533"/>
      <c r="AM721" s="533"/>
      <c r="AN721" s="533"/>
      <c r="AO721" s="533"/>
    </row>
    <row r="722" spans="1:41" ht="11.25" hidden="1" customHeight="1" x14ac:dyDescent="0.25">
      <c r="A722" s="364"/>
      <c r="B722" s="617" t="s">
        <v>1136</v>
      </c>
      <c r="C722" s="710" t="s">
        <v>811</v>
      </c>
      <c r="D722" s="672"/>
      <c r="E722" s="368"/>
      <c r="F722" s="365" t="s">
        <v>812</v>
      </c>
      <c r="G722" s="365"/>
      <c r="H722" s="366"/>
      <c r="I722" s="367"/>
      <c r="J722" s="368">
        <f>IF(VLOOKUP(C722,A!A$1:O$669,11,FALSE)="y",1,0)</f>
        <v>0</v>
      </c>
      <c r="K722" s="368">
        <f>IF(VLOOKUP(C722,A!A$1:O$669,12,FALSE)="y",1,0)</f>
        <v>0</v>
      </c>
      <c r="L722" s="544"/>
      <c r="M722" s="367">
        <f>VLOOKUP(C722,A!A$1:O$669,13,FALSE)</f>
        <v>0</v>
      </c>
      <c r="N722" s="369">
        <v>4</v>
      </c>
      <c r="O722" s="533">
        <f>VLOOKUP(C722,A!A$1:O$669,9,FALSE)</f>
        <v>0</v>
      </c>
      <c r="P722" s="533" t="s">
        <v>783</v>
      </c>
      <c r="Q722" s="533" t="str">
        <f>IF(S722=0,"",COUNTIF(Q$12:Q721,"&gt;0")+1)</f>
        <v/>
      </c>
      <c r="R722" s="533" t="str">
        <f>IF(S722=0,"",COUNTIF(R$12:R721,"&gt;0")+1)</f>
        <v/>
      </c>
      <c r="S722" s="533">
        <f t="shared" si="121"/>
        <v>0</v>
      </c>
      <c r="T722" s="533">
        <v>35</v>
      </c>
      <c r="U722" s="533">
        <v>8.1000000000000003E-2</v>
      </c>
      <c r="V722" s="533">
        <v>-3</v>
      </c>
      <c r="W722" s="533"/>
      <c r="X722" s="533"/>
      <c r="Y722" s="533"/>
      <c r="Z722" s="533"/>
      <c r="AA722" s="533"/>
      <c r="AB722" s="533"/>
      <c r="AC722" s="533"/>
      <c r="AD722" s="533"/>
      <c r="AE722" s="533"/>
      <c r="AF722" s="533"/>
      <c r="AG722" s="533"/>
      <c r="AH722" s="533"/>
      <c r="AI722" s="533"/>
      <c r="AJ722" s="1"/>
      <c r="AK722" s="533"/>
      <c r="AL722" s="533"/>
      <c r="AM722" s="533"/>
      <c r="AN722" s="533"/>
      <c r="AO722" s="533"/>
    </row>
    <row r="723" spans="1:41" ht="13.5" hidden="1" customHeight="1" x14ac:dyDescent="0.25">
      <c r="A723" s="364"/>
      <c r="B723" s="617" t="s">
        <v>1136</v>
      </c>
      <c r="C723" s="710" t="s">
        <v>813</v>
      </c>
      <c r="D723" s="672"/>
      <c r="E723" s="820" t="s">
        <v>1007</v>
      </c>
      <c r="F723" s="365" t="s">
        <v>814</v>
      </c>
      <c r="G723" s="365"/>
      <c r="H723" s="366"/>
      <c r="I723" s="367"/>
      <c r="J723" s="368">
        <f>IF(VLOOKUP(C723,A!A$1:O$669,11,FALSE)="y",1,0)</f>
        <v>0</v>
      </c>
      <c r="K723" s="368">
        <f>IF(VLOOKUP(C723,A!A$1:O$669,12,FALSE)="y",1,0)</f>
        <v>0</v>
      </c>
      <c r="L723" s="544"/>
      <c r="M723" s="367">
        <f>VLOOKUP(C723,A!A$1:O$669,13,FALSE)</f>
        <v>0</v>
      </c>
      <c r="N723" s="369">
        <v>4</v>
      </c>
      <c r="O723" s="533" t="str">
        <f>VLOOKUP(C723,A!A$1:O$669,9,FALSE)</f>
        <v>y</v>
      </c>
      <c r="P723" s="533" t="s">
        <v>783</v>
      </c>
      <c r="Q723" s="533" t="str">
        <f>IF(S723=0,"",COUNTIF(Q$12:Q722,"&gt;0")+1)</f>
        <v/>
      </c>
      <c r="R723" s="533" t="str">
        <f>IF(S723=0,"",COUNTIF(R$12:R722,"&gt;0")+1)</f>
        <v/>
      </c>
      <c r="S723" s="533">
        <f t="shared" si="121"/>
        <v>0</v>
      </c>
      <c r="T723" s="533">
        <v>35</v>
      </c>
      <c r="U723" s="533">
        <v>8.1000000000000003E-2</v>
      </c>
      <c r="V723" s="533">
        <v>-3</v>
      </c>
      <c r="W723" s="533"/>
      <c r="X723" s="533"/>
      <c r="Y723" s="533"/>
      <c r="Z723" s="533"/>
      <c r="AA723" s="533"/>
      <c r="AB723" s="533"/>
      <c r="AC723" s="533"/>
      <c r="AD723" s="533"/>
      <c r="AE723" s="533"/>
      <c r="AF723" s="533"/>
      <c r="AG723" s="533"/>
      <c r="AH723" s="533"/>
      <c r="AI723" s="533"/>
      <c r="AJ723" s="1"/>
      <c r="AK723" s="533"/>
      <c r="AL723" s="533"/>
      <c r="AM723" s="533"/>
      <c r="AN723" s="533"/>
      <c r="AO723" s="533"/>
    </row>
    <row r="724" spans="1:41" ht="13.5" customHeight="1" x14ac:dyDescent="0.25">
      <c r="A724" s="364"/>
      <c r="B724" s="617" t="s">
        <v>1136</v>
      </c>
      <c r="C724" s="710" t="s">
        <v>815</v>
      </c>
      <c r="D724" s="672"/>
      <c r="E724" s="889" t="s">
        <v>1008</v>
      </c>
      <c r="F724" s="365" t="s">
        <v>816</v>
      </c>
      <c r="G724" s="365"/>
      <c r="H724" s="366"/>
      <c r="I724" s="367"/>
      <c r="J724" s="368">
        <f>IF(VLOOKUP(C724,A!A$1:O$669,11,FALSE)="y",1,0)</f>
        <v>0</v>
      </c>
      <c r="K724" s="368">
        <f>IF(VLOOKUP(C724,A!A$1:O$669,12,FALSE)="y",1,0)</f>
        <v>0</v>
      </c>
      <c r="L724" s="544"/>
      <c r="M724" s="367">
        <f>VLOOKUP(C724,A!A$1:O$669,13,FALSE)</f>
        <v>0</v>
      </c>
      <c r="N724" s="369">
        <v>4</v>
      </c>
      <c r="O724" s="533" t="str">
        <f>VLOOKUP(C724,A!A$1:O$669,9,FALSE)</f>
        <v>y</v>
      </c>
      <c r="P724" s="533" t="s">
        <v>783</v>
      </c>
      <c r="Q724" s="533" t="str">
        <f>IF(S724=0,"",COUNTIF(Q$12:Q723,"&gt;0")+1)</f>
        <v/>
      </c>
      <c r="R724" s="533" t="str">
        <f>IF(S724=0,"",COUNTIF(R$12:R723,"&gt;0")+1)</f>
        <v/>
      </c>
      <c r="S724" s="533">
        <f t="shared" si="121"/>
        <v>0</v>
      </c>
      <c r="T724" s="533">
        <v>35</v>
      </c>
      <c r="U724" s="533">
        <v>8.1000000000000003E-2</v>
      </c>
      <c r="V724" s="533">
        <v>-3</v>
      </c>
      <c r="W724" s="533"/>
      <c r="X724" s="533"/>
      <c r="Y724" s="533"/>
      <c r="Z724" s="533"/>
      <c r="AA724" s="533"/>
      <c r="AB724" s="533"/>
      <c r="AC724" s="533"/>
      <c r="AD724" s="533"/>
      <c r="AE724" s="533"/>
      <c r="AF724" s="533"/>
      <c r="AG724" s="533"/>
      <c r="AH724" s="533"/>
      <c r="AI724" s="533"/>
      <c r="AJ724" s="1"/>
      <c r="AK724" s="533"/>
      <c r="AL724" s="533"/>
      <c r="AM724" s="533"/>
      <c r="AN724" s="533"/>
      <c r="AO724" s="533"/>
    </row>
    <row r="725" spans="1:41" ht="11.25" hidden="1" customHeight="1" x14ac:dyDescent="0.25">
      <c r="A725" s="364"/>
      <c r="B725" s="617" t="s">
        <v>1136</v>
      </c>
      <c r="C725" s="710" t="s">
        <v>817</v>
      </c>
      <c r="D725" s="672"/>
      <c r="E725" s="368"/>
      <c r="F725" s="365"/>
      <c r="G725" s="365"/>
      <c r="H725" s="366"/>
      <c r="I725" s="367"/>
      <c r="J725" s="368">
        <f>IF(VLOOKUP(C725,A!A$1:O$669,11,FALSE)="y",1,0)</f>
        <v>0</v>
      </c>
      <c r="K725" s="368">
        <f>IF(VLOOKUP(C725,A!A$1:O$669,12,FALSE)="y",1,0)</f>
        <v>0</v>
      </c>
      <c r="L725" s="544"/>
      <c r="M725" s="367">
        <f>VLOOKUP(C725,A!A$1:O$669,13,FALSE)</f>
        <v>0</v>
      </c>
      <c r="N725" s="369">
        <v>4</v>
      </c>
      <c r="O725" s="533">
        <f>VLOOKUP(C725,A!A$1:O$669,9,FALSE)</f>
        <v>0</v>
      </c>
      <c r="P725" s="533" t="s">
        <v>783</v>
      </c>
      <c r="Q725" s="533" t="str">
        <f>IF(S725=0,"",COUNTIF(Q$12:Q724,"&gt;0")+1)</f>
        <v/>
      </c>
      <c r="R725" s="533" t="str">
        <f>IF(S725=0,"",COUNTIF(R$12:R724,"&gt;0")+1)</f>
        <v/>
      </c>
      <c r="S725" s="533">
        <f t="shared" si="121"/>
        <v>0</v>
      </c>
      <c r="T725" s="533">
        <v>35</v>
      </c>
      <c r="U725" s="533">
        <v>8.1000000000000003E-2</v>
      </c>
      <c r="V725" s="533">
        <v>-3</v>
      </c>
      <c r="W725" s="533"/>
      <c r="X725" s="533"/>
      <c r="Y725" s="533"/>
      <c r="Z725" s="533"/>
      <c r="AA725" s="533"/>
      <c r="AB725" s="533"/>
      <c r="AC725" s="533"/>
      <c r="AD725" s="533"/>
      <c r="AE725" s="533"/>
      <c r="AF725" s="533"/>
      <c r="AG725" s="533"/>
      <c r="AH725" s="533"/>
      <c r="AI725" s="533"/>
      <c r="AJ725" s="1"/>
      <c r="AK725" s="533"/>
      <c r="AL725" s="533"/>
      <c r="AM725" s="533"/>
      <c r="AN725" s="533"/>
      <c r="AO725" s="533"/>
    </row>
    <row r="726" spans="1:41" ht="13.5" hidden="1" customHeight="1" x14ac:dyDescent="0.25">
      <c r="A726" s="364"/>
      <c r="B726" s="617" t="s">
        <v>1136</v>
      </c>
      <c r="C726" s="710" t="s">
        <v>1010</v>
      </c>
      <c r="D726" s="672"/>
      <c r="E726" s="891" t="s">
        <v>1009</v>
      </c>
      <c r="F726" s="365" t="s">
        <v>818</v>
      </c>
      <c r="G726" s="365"/>
      <c r="H726" s="366"/>
      <c r="I726" s="367"/>
      <c r="J726" s="368">
        <f>IF(VLOOKUP(C726,A!A$1:O$669,11,FALSE)="y",1,0)</f>
        <v>0</v>
      </c>
      <c r="K726" s="368">
        <f>IF(VLOOKUP(C726,A!A$1:O$669,12,FALSE)="y",1,0)</f>
        <v>0</v>
      </c>
      <c r="L726" s="544"/>
      <c r="M726" s="367">
        <f>VLOOKUP(C726,A!A$1:O$669,13,FALSE)</f>
        <v>0</v>
      </c>
      <c r="N726" s="369">
        <v>4</v>
      </c>
      <c r="O726" s="533">
        <f>VLOOKUP(C726,A!A$1:O$669,9,FALSE)</f>
        <v>0</v>
      </c>
      <c r="P726" s="533" t="s">
        <v>783</v>
      </c>
      <c r="Q726" s="533" t="str">
        <f>IF(S726=0,"",COUNTIF(Q$12:Q725,"&gt;0")+1)</f>
        <v/>
      </c>
      <c r="R726" s="533" t="str">
        <f>IF(S726=0,"",COUNTIF(R$12:R725,"&gt;0")+1)</f>
        <v/>
      </c>
      <c r="S726" s="533">
        <f t="shared" si="121"/>
        <v>0</v>
      </c>
      <c r="T726" s="533">
        <v>35</v>
      </c>
      <c r="U726" s="533">
        <v>8.1000000000000003E-2</v>
      </c>
      <c r="V726" s="533">
        <v>-3</v>
      </c>
      <c r="W726" s="533"/>
      <c r="X726" s="533"/>
      <c r="Y726" s="533"/>
      <c r="Z726" s="533"/>
      <c r="AA726" s="533"/>
      <c r="AB726" s="533"/>
      <c r="AC726" s="533"/>
      <c r="AD726" s="533"/>
      <c r="AE726" s="533"/>
      <c r="AF726" s="533"/>
      <c r="AG726" s="533"/>
      <c r="AH726" s="533"/>
      <c r="AI726" s="533"/>
      <c r="AJ726" s="1"/>
      <c r="AK726" s="533"/>
      <c r="AL726" s="533"/>
      <c r="AM726" s="533"/>
      <c r="AN726" s="533"/>
      <c r="AO726" s="533"/>
    </row>
    <row r="727" spans="1:41" ht="11.25" hidden="1" customHeight="1" x14ac:dyDescent="0.25">
      <c r="A727" s="364"/>
      <c r="B727" s="617" t="s">
        <v>1136</v>
      </c>
      <c r="C727" s="710" t="s">
        <v>819</v>
      </c>
      <c r="D727" s="672"/>
      <c r="E727" s="368" t="s">
        <v>1055</v>
      </c>
      <c r="F727" s="365" t="s">
        <v>820</v>
      </c>
      <c r="G727" s="365"/>
      <c r="H727" s="366"/>
      <c r="I727" s="367"/>
      <c r="J727" s="368">
        <f>IF(VLOOKUP(C727,A!A$1:O$669,11,FALSE)="y",1,0)</f>
        <v>0</v>
      </c>
      <c r="K727" s="368">
        <f>IF(VLOOKUP(C727,A!A$1:O$669,12,FALSE)="y",1,0)</f>
        <v>0</v>
      </c>
      <c r="L727" s="544"/>
      <c r="M727" s="367">
        <f>VLOOKUP(C727,A!A$1:O$669,13,FALSE)</f>
        <v>0</v>
      </c>
      <c r="N727" s="369">
        <v>4</v>
      </c>
      <c r="O727" s="533">
        <f>VLOOKUP(C727,A!A$1:O$669,9,FALSE)</f>
        <v>0</v>
      </c>
      <c r="P727" s="533" t="s">
        <v>783</v>
      </c>
      <c r="Q727" s="533" t="str">
        <f>IF(S727=0,"",COUNTIF(Q$12:Q726,"&gt;0")+1)</f>
        <v/>
      </c>
      <c r="R727" s="533" t="str">
        <f>IF(S727=0,"",COUNTIF(R$12:R726,"&gt;0")+1)</f>
        <v/>
      </c>
      <c r="S727" s="533">
        <f t="shared" si="121"/>
        <v>0</v>
      </c>
      <c r="T727" s="533">
        <v>35</v>
      </c>
      <c r="U727" s="533">
        <v>8.1000000000000003E-2</v>
      </c>
      <c r="V727" s="533">
        <v>-3</v>
      </c>
      <c r="W727" s="533"/>
      <c r="X727" s="533"/>
      <c r="Y727" s="533"/>
      <c r="Z727" s="533"/>
      <c r="AA727" s="533"/>
      <c r="AB727" s="533"/>
      <c r="AC727" s="533"/>
      <c r="AD727" s="533"/>
      <c r="AE727" s="533"/>
      <c r="AF727" s="533"/>
      <c r="AG727" s="533"/>
      <c r="AH727" s="533"/>
      <c r="AI727" s="533"/>
      <c r="AJ727" s="1"/>
      <c r="AK727" s="533"/>
      <c r="AL727" s="533"/>
      <c r="AM727" s="533"/>
      <c r="AN727" s="533"/>
      <c r="AO727" s="533"/>
    </row>
    <row r="728" spans="1:41" ht="13.5" customHeight="1" x14ac:dyDescent="0.25">
      <c r="A728" s="364"/>
      <c r="B728" s="617" t="s">
        <v>1136</v>
      </c>
      <c r="C728" s="710" t="s">
        <v>821</v>
      </c>
      <c r="D728" s="672"/>
      <c r="E728" s="368" t="s">
        <v>1006</v>
      </c>
      <c r="F728" s="365" t="s">
        <v>822</v>
      </c>
      <c r="G728" s="365"/>
      <c r="H728" s="366"/>
      <c r="I728" s="367"/>
      <c r="J728" s="368">
        <f>IF(VLOOKUP(C728,A!A$1:O$669,11,FALSE)="y",1,0)</f>
        <v>0</v>
      </c>
      <c r="K728" s="368">
        <f>IF(VLOOKUP(C728,A!A$1:O$669,12,FALSE)="y",1,0)</f>
        <v>0</v>
      </c>
      <c r="L728" s="544"/>
      <c r="M728" s="367">
        <f>VLOOKUP(C728,A!A$1:O$669,13,FALSE)</f>
        <v>0</v>
      </c>
      <c r="N728" s="369">
        <v>4</v>
      </c>
      <c r="O728" s="533" t="str">
        <f>VLOOKUP(C728,A!A$1:O$669,9,FALSE)</f>
        <v>y</v>
      </c>
      <c r="P728" s="533" t="s">
        <v>783</v>
      </c>
      <c r="Q728" s="533" t="str">
        <f>IF(S728=0,"",COUNTIF(Q$12:Q727,"&gt;0")+1)</f>
        <v/>
      </c>
      <c r="R728" s="533" t="str">
        <f>IF(S728=0,"",COUNTIF(R$12:R727,"&gt;0")+1)</f>
        <v/>
      </c>
      <c r="S728" s="533">
        <f t="shared" si="121"/>
        <v>0</v>
      </c>
      <c r="T728" s="533">
        <v>35</v>
      </c>
      <c r="U728" s="533">
        <v>8.1000000000000003E-2</v>
      </c>
      <c r="V728" s="533">
        <v>-3</v>
      </c>
      <c r="W728" s="533"/>
      <c r="X728" s="533"/>
      <c r="Y728" s="533"/>
      <c r="Z728" s="533"/>
      <c r="AA728" s="533"/>
      <c r="AB728" s="533"/>
      <c r="AC728" s="533"/>
      <c r="AD728" s="533"/>
      <c r="AE728" s="533"/>
      <c r="AF728" s="533"/>
      <c r="AG728" s="533"/>
      <c r="AH728" s="533"/>
      <c r="AI728" s="533"/>
      <c r="AJ728" s="1"/>
      <c r="AK728" s="533"/>
      <c r="AL728" s="533"/>
      <c r="AM728" s="533"/>
      <c r="AN728" s="533"/>
      <c r="AO728" s="533"/>
    </row>
    <row r="729" spans="1:41" ht="13.5" customHeight="1" x14ac:dyDescent="0.25">
      <c r="A729" s="364"/>
      <c r="B729" s="617" t="s">
        <v>1136</v>
      </c>
      <c r="C729" s="710" t="s">
        <v>823</v>
      </c>
      <c r="D729" s="672"/>
      <c r="E729" s="891" t="s">
        <v>1009</v>
      </c>
      <c r="F729" s="365" t="s">
        <v>824</v>
      </c>
      <c r="G729" s="365"/>
      <c r="H729" s="366"/>
      <c r="I729" s="367"/>
      <c r="J729" s="368">
        <f>IF(VLOOKUP(C729,A!A$1:O$669,11,FALSE)="y",1,0)</f>
        <v>0</v>
      </c>
      <c r="K729" s="368">
        <f>IF(VLOOKUP(C729,A!A$1:O$669,12,FALSE)="y",1,0)</f>
        <v>0</v>
      </c>
      <c r="L729" s="544"/>
      <c r="M729" s="367">
        <f>VLOOKUP(C729,A!A$1:O$669,13,FALSE)</f>
        <v>0</v>
      </c>
      <c r="N729" s="369">
        <v>4</v>
      </c>
      <c r="O729" s="533" t="str">
        <f>VLOOKUP(C729,A!A$1:O$669,9,FALSE)</f>
        <v>y</v>
      </c>
      <c r="P729" s="533" t="s">
        <v>783</v>
      </c>
      <c r="Q729" s="533" t="str">
        <f>IF(S729=0,"",COUNTIF(Q$12:Q728,"&gt;0")+1)</f>
        <v/>
      </c>
      <c r="R729" s="533" t="str">
        <f>IF(S729=0,"",COUNTIF(R$12:R728,"&gt;0")+1)</f>
        <v/>
      </c>
      <c r="S729" s="533">
        <f t="shared" si="121"/>
        <v>0</v>
      </c>
      <c r="T729" s="533">
        <v>35</v>
      </c>
      <c r="U729" s="533">
        <v>8.1000000000000003E-2</v>
      </c>
      <c r="V729" s="533">
        <v>-3</v>
      </c>
      <c r="W729" s="533"/>
      <c r="X729" s="533"/>
      <c r="Y729" s="533"/>
      <c r="Z729" s="533"/>
      <c r="AA729" s="533"/>
      <c r="AB729" s="533"/>
      <c r="AC729" s="533"/>
      <c r="AD729" s="533"/>
      <c r="AE729" s="533"/>
      <c r="AF729" s="533"/>
      <c r="AG729" s="533"/>
      <c r="AH729" s="533"/>
      <c r="AI729" s="533"/>
      <c r="AJ729" s="1"/>
      <c r="AK729" s="533"/>
      <c r="AL729" s="533"/>
      <c r="AM729" s="533"/>
      <c r="AN729" s="533"/>
      <c r="AO729" s="533"/>
    </row>
    <row r="730" spans="1:41" ht="13.5" hidden="1" customHeight="1" x14ac:dyDescent="0.25">
      <c r="A730" s="364"/>
      <c r="B730" s="617" t="s">
        <v>1136</v>
      </c>
      <c r="C730" s="710" t="s">
        <v>825</v>
      </c>
      <c r="D730" s="672"/>
      <c r="E730" s="889" t="s">
        <v>1008</v>
      </c>
      <c r="F730" s="365" t="s">
        <v>826</v>
      </c>
      <c r="G730" s="365"/>
      <c r="H730" s="366"/>
      <c r="I730" s="367"/>
      <c r="J730" s="368">
        <f>IF(VLOOKUP(C730,A!A$1:O$669,11,FALSE)="y",1,0)</f>
        <v>0</v>
      </c>
      <c r="K730" s="368">
        <f>IF(VLOOKUP(C730,A!A$1:O$669,12,FALSE)="y",1,0)</f>
        <v>0</v>
      </c>
      <c r="L730" s="544"/>
      <c r="M730" s="367">
        <f>VLOOKUP(C730,A!A$1:O$669,13,FALSE)</f>
        <v>0</v>
      </c>
      <c r="N730" s="369">
        <v>4</v>
      </c>
      <c r="O730" s="533">
        <f>VLOOKUP(C730,A!A$1:O$669,9,FALSE)</f>
        <v>0</v>
      </c>
      <c r="P730" s="533" t="s">
        <v>783</v>
      </c>
      <c r="Q730" s="533" t="str">
        <f>IF(S730=0,"",COUNTIF(Q$12:Q729,"&gt;0")+1)</f>
        <v/>
      </c>
      <c r="R730" s="533" t="str">
        <f>IF(S730=0,"",COUNTIF(R$12:R729,"&gt;0")+1)</f>
        <v/>
      </c>
      <c r="S730" s="533">
        <f t="shared" si="121"/>
        <v>0</v>
      </c>
      <c r="T730" s="533">
        <v>35</v>
      </c>
      <c r="U730" s="533">
        <v>8.1000000000000003E-2</v>
      </c>
      <c r="V730" s="533">
        <v>-3</v>
      </c>
      <c r="W730" s="533"/>
      <c r="X730" s="533"/>
      <c r="Y730" s="533"/>
      <c r="Z730" s="533"/>
      <c r="AA730" s="533"/>
      <c r="AB730" s="533"/>
      <c r="AC730" s="533"/>
      <c r="AD730" s="533"/>
      <c r="AE730" s="533"/>
      <c r="AF730" s="533"/>
      <c r="AG730" s="533"/>
      <c r="AH730" s="533"/>
      <c r="AI730" s="533"/>
      <c r="AJ730" s="1"/>
      <c r="AK730" s="533"/>
      <c r="AL730" s="533"/>
      <c r="AM730" s="533"/>
      <c r="AN730" s="533"/>
      <c r="AO730" s="533"/>
    </row>
    <row r="731" spans="1:41" ht="11.25" hidden="1" customHeight="1" x14ac:dyDescent="0.25">
      <c r="A731" s="364"/>
      <c r="B731" s="617" t="s">
        <v>1136</v>
      </c>
      <c r="C731" s="710" t="s">
        <v>827</v>
      </c>
      <c r="D731" s="672"/>
      <c r="E731" s="891" t="s">
        <v>1009</v>
      </c>
      <c r="F731" s="365" t="s">
        <v>828</v>
      </c>
      <c r="G731" s="365"/>
      <c r="H731" s="366"/>
      <c r="I731" s="367"/>
      <c r="J731" s="368">
        <f>IF(VLOOKUP(C731,A!A$1:O$669,11,FALSE)="y",1,0)</f>
        <v>0</v>
      </c>
      <c r="K731" s="368">
        <f>IF(VLOOKUP(C731,A!A$1:O$669,12,FALSE)="y",1,0)</f>
        <v>0</v>
      </c>
      <c r="L731" s="544"/>
      <c r="M731" s="367">
        <f>VLOOKUP(C731,A!A$1:O$669,13,FALSE)</f>
        <v>0</v>
      </c>
      <c r="N731" s="369">
        <v>4</v>
      </c>
      <c r="O731" s="533">
        <f>VLOOKUP(C731,A!A$1:O$669,9,FALSE)</f>
        <v>0</v>
      </c>
      <c r="P731" s="533" t="s">
        <v>783</v>
      </c>
      <c r="Q731" s="533" t="str">
        <f>IF(S731=0,"",COUNTIF(Q$12:Q730,"&gt;0")+1)</f>
        <v/>
      </c>
      <c r="R731" s="533" t="str">
        <f>IF(S731=0,"",COUNTIF(R$12:R730,"&gt;0")+1)</f>
        <v/>
      </c>
      <c r="S731" s="533">
        <f t="shared" si="121"/>
        <v>0</v>
      </c>
      <c r="T731" s="533">
        <v>35</v>
      </c>
      <c r="U731" s="533">
        <v>8.1000000000000003E-2</v>
      </c>
      <c r="V731" s="533">
        <v>-3</v>
      </c>
      <c r="W731" s="533"/>
      <c r="X731" s="533"/>
      <c r="Y731" s="533"/>
      <c r="Z731" s="533"/>
      <c r="AA731" s="533"/>
      <c r="AB731" s="533"/>
      <c r="AC731" s="533"/>
      <c r="AD731" s="533"/>
      <c r="AE731" s="533"/>
      <c r="AF731" s="533"/>
      <c r="AG731" s="533"/>
      <c r="AH731" s="533"/>
      <c r="AI731" s="533"/>
      <c r="AJ731" s="1"/>
      <c r="AK731" s="533"/>
      <c r="AL731" s="533"/>
      <c r="AM731" s="533"/>
      <c r="AN731" s="533"/>
      <c r="AO731" s="533"/>
    </row>
    <row r="732" spans="1:41" ht="11.25" hidden="1" customHeight="1" x14ac:dyDescent="0.25">
      <c r="A732" s="364"/>
      <c r="B732" s="617" t="s">
        <v>1136</v>
      </c>
      <c r="C732" s="710" t="s">
        <v>829</v>
      </c>
      <c r="D732" s="672"/>
      <c r="E732" s="891"/>
      <c r="F732" s="365" t="s">
        <v>830</v>
      </c>
      <c r="G732" s="365"/>
      <c r="H732" s="366"/>
      <c r="I732" s="367"/>
      <c r="J732" s="368">
        <f>IF(VLOOKUP(C732,A!A$1:O$669,11,FALSE)="y",1,0)</f>
        <v>0</v>
      </c>
      <c r="K732" s="368">
        <f>IF(VLOOKUP(C732,A!A$1:O$669,12,FALSE)="y",1,0)</f>
        <v>0</v>
      </c>
      <c r="L732" s="544"/>
      <c r="M732" s="367">
        <f>VLOOKUP(C732,A!A$1:O$669,13,FALSE)</f>
        <v>0</v>
      </c>
      <c r="N732" s="369">
        <v>4</v>
      </c>
      <c r="O732" s="533">
        <f>VLOOKUP(C732,A!A$1:O$669,9,FALSE)</f>
        <v>0</v>
      </c>
      <c r="P732" s="533" t="s">
        <v>783</v>
      </c>
      <c r="Q732" s="533" t="str">
        <f>IF(S732=0,"",COUNTIF(Q$12:Q731,"&gt;0")+1)</f>
        <v/>
      </c>
      <c r="R732" s="533" t="str">
        <f>IF(S732=0,"",COUNTIF(R$12:R731,"&gt;0")+1)</f>
        <v/>
      </c>
      <c r="S732" s="533">
        <f t="shared" ref="S732:S751" si="122">A732</f>
        <v>0</v>
      </c>
      <c r="T732" s="533">
        <v>35</v>
      </c>
      <c r="U732" s="533">
        <v>8.1000000000000003E-2</v>
      </c>
      <c r="V732" s="533">
        <v>-3</v>
      </c>
      <c r="W732" s="533"/>
      <c r="X732" s="533"/>
      <c r="Y732" s="533"/>
      <c r="Z732" s="533"/>
      <c r="AA732" s="533"/>
      <c r="AB732" s="533"/>
      <c r="AC732" s="533"/>
      <c r="AD732" s="533"/>
      <c r="AE732" s="533"/>
      <c r="AF732" s="533"/>
      <c r="AG732" s="533"/>
      <c r="AH732" s="533"/>
      <c r="AI732" s="533"/>
      <c r="AJ732" s="1"/>
      <c r="AK732" s="533"/>
      <c r="AL732" s="533"/>
      <c r="AM732" s="533"/>
      <c r="AN732" s="533"/>
      <c r="AO732" s="533"/>
    </row>
    <row r="733" spans="1:41" ht="11.25" hidden="1" customHeight="1" x14ac:dyDescent="0.25">
      <c r="A733" s="364"/>
      <c r="B733" s="617" t="s">
        <v>1136</v>
      </c>
      <c r="C733" s="710" t="s">
        <v>831</v>
      </c>
      <c r="D733" s="672"/>
      <c r="E733" s="891"/>
      <c r="F733" s="365"/>
      <c r="G733" s="365"/>
      <c r="H733" s="366"/>
      <c r="I733" s="367"/>
      <c r="J733" s="368">
        <f>IF(VLOOKUP(C733,A!A$1:O$669,11,FALSE)="y",1,0)</f>
        <v>0</v>
      </c>
      <c r="K733" s="368">
        <f>IF(VLOOKUP(C733,A!A$1:O$669,12,FALSE)="y",1,0)</f>
        <v>0</v>
      </c>
      <c r="L733" s="544"/>
      <c r="M733" s="367">
        <f>VLOOKUP(C733,A!A$1:O$669,13,FALSE)</f>
        <v>0</v>
      </c>
      <c r="N733" s="369">
        <v>4</v>
      </c>
      <c r="O733" s="533">
        <f>VLOOKUP(C733,A!A$1:O$669,9,FALSE)</f>
        <v>0</v>
      </c>
      <c r="P733" s="533" t="s">
        <v>783</v>
      </c>
      <c r="Q733" s="533" t="str">
        <f>IF(S733=0,"",COUNTIF(Q$12:Q732,"&gt;0")+1)</f>
        <v/>
      </c>
      <c r="R733" s="533" t="str">
        <f>IF(S733=0,"",COUNTIF(R$12:R732,"&gt;0")+1)</f>
        <v/>
      </c>
      <c r="S733" s="533">
        <f t="shared" si="122"/>
        <v>0</v>
      </c>
      <c r="T733" s="533">
        <v>35</v>
      </c>
      <c r="U733" s="533">
        <v>8.1000000000000003E-2</v>
      </c>
      <c r="V733" s="533">
        <v>-3</v>
      </c>
      <c r="W733" s="533"/>
      <c r="X733" s="533"/>
      <c r="Y733" s="533"/>
      <c r="Z733" s="533"/>
      <c r="AA733" s="533"/>
      <c r="AB733" s="533"/>
      <c r="AC733" s="533"/>
      <c r="AD733" s="533"/>
      <c r="AE733" s="533"/>
      <c r="AF733" s="533"/>
      <c r="AG733" s="533"/>
      <c r="AH733" s="533"/>
      <c r="AI733" s="533"/>
      <c r="AJ733" s="1"/>
      <c r="AK733" s="533"/>
      <c r="AL733" s="533"/>
      <c r="AM733" s="533"/>
      <c r="AN733" s="533"/>
      <c r="AO733" s="533"/>
    </row>
    <row r="734" spans="1:41" ht="13.5" hidden="1" customHeight="1" x14ac:dyDescent="0.25">
      <c r="A734" s="364"/>
      <c r="B734" s="617" t="s">
        <v>1136</v>
      </c>
      <c r="C734" s="710" t="s">
        <v>832</v>
      </c>
      <c r="D734" s="672"/>
      <c r="E734" s="889" t="s">
        <v>1008</v>
      </c>
      <c r="F734" s="365" t="s">
        <v>833</v>
      </c>
      <c r="G734" s="365"/>
      <c r="H734" s="366"/>
      <c r="I734" s="367"/>
      <c r="J734" s="368">
        <f>IF(VLOOKUP(C734,A!A$1:O$669,11,FALSE)="y",1,0)</f>
        <v>0</v>
      </c>
      <c r="K734" s="368">
        <f>IF(VLOOKUP(C734,A!A$1:O$669,12,FALSE)="y",1,0)</f>
        <v>0</v>
      </c>
      <c r="L734" s="544"/>
      <c r="M734" s="367">
        <f>VLOOKUP(C734,A!A$1:O$669,13,FALSE)</f>
        <v>0</v>
      </c>
      <c r="N734" s="369">
        <v>4</v>
      </c>
      <c r="O734" s="533">
        <f>VLOOKUP(C734,A!A$1:O$669,9,FALSE)</f>
        <v>0</v>
      </c>
      <c r="P734" s="533" t="s">
        <v>783</v>
      </c>
      <c r="Q734" s="533" t="str">
        <f>IF(S734=0,"",COUNTIF(Q$12:Q733,"&gt;0")+1)</f>
        <v/>
      </c>
      <c r="R734" s="533" t="str">
        <f>IF(S734=0,"",COUNTIF(R$12:R733,"&gt;0")+1)</f>
        <v/>
      </c>
      <c r="S734" s="533">
        <f t="shared" si="122"/>
        <v>0</v>
      </c>
      <c r="T734" s="533">
        <v>35</v>
      </c>
      <c r="U734" s="533">
        <v>8.1000000000000003E-2</v>
      </c>
      <c r="V734" s="533">
        <v>-3</v>
      </c>
      <c r="W734" s="533"/>
      <c r="X734" s="533"/>
      <c r="Y734" s="533"/>
      <c r="Z734" s="533"/>
      <c r="AA734" s="533"/>
      <c r="AB734" s="533"/>
      <c r="AC734" s="533"/>
      <c r="AD734" s="533"/>
      <c r="AE734" s="533"/>
      <c r="AF734" s="533"/>
      <c r="AG734" s="533"/>
      <c r="AH734" s="533"/>
      <c r="AI734" s="533"/>
      <c r="AJ734" s="1"/>
      <c r="AK734" s="533"/>
      <c r="AL734" s="533"/>
      <c r="AM734" s="533"/>
      <c r="AN734" s="533"/>
      <c r="AO734" s="533"/>
    </row>
    <row r="735" spans="1:41" ht="13.5" hidden="1" customHeight="1" x14ac:dyDescent="0.25">
      <c r="A735" s="364"/>
      <c r="B735" s="617" t="s">
        <v>1136</v>
      </c>
      <c r="C735" s="710" t="s">
        <v>834</v>
      </c>
      <c r="D735" s="672"/>
      <c r="E735" s="891" t="s">
        <v>1009</v>
      </c>
      <c r="F735" s="365" t="s">
        <v>835</v>
      </c>
      <c r="G735" s="365"/>
      <c r="H735" s="366"/>
      <c r="I735" s="367"/>
      <c r="J735" s="368">
        <f>IF(VLOOKUP(C735,A!A$1:O$669,11,FALSE)="y",1,0)</f>
        <v>0</v>
      </c>
      <c r="K735" s="368">
        <f>IF(VLOOKUP(C735,A!A$1:O$669,12,FALSE)="y",1,0)</f>
        <v>0</v>
      </c>
      <c r="L735" s="544"/>
      <c r="M735" s="367">
        <f>VLOOKUP(C735,A!A$1:O$669,13,FALSE)</f>
        <v>0</v>
      </c>
      <c r="N735" s="369">
        <v>4</v>
      </c>
      <c r="O735" s="533">
        <f>VLOOKUP(C735,A!A$1:O$669,9,FALSE)</f>
        <v>0</v>
      </c>
      <c r="P735" s="533" t="s">
        <v>783</v>
      </c>
      <c r="Q735" s="533" t="str">
        <f>IF(S735=0,"",COUNTIF(Q$12:Q734,"&gt;0")+1)</f>
        <v/>
      </c>
      <c r="R735" s="533" t="str">
        <f>IF(S735=0,"",COUNTIF(R$12:R734,"&gt;0")+1)</f>
        <v/>
      </c>
      <c r="S735" s="533">
        <f t="shared" si="122"/>
        <v>0</v>
      </c>
      <c r="T735" s="533">
        <v>35</v>
      </c>
      <c r="U735" s="533">
        <v>8.1000000000000003E-2</v>
      </c>
      <c r="V735" s="533">
        <v>-3</v>
      </c>
      <c r="W735" s="533"/>
      <c r="X735" s="533"/>
      <c r="Y735" s="533"/>
      <c r="Z735" s="533"/>
      <c r="AA735" s="533"/>
      <c r="AB735" s="533"/>
      <c r="AC735" s="533"/>
      <c r="AD735" s="533"/>
      <c r="AE735" s="533"/>
      <c r="AF735" s="533"/>
      <c r="AG735" s="533"/>
      <c r="AH735" s="533"/>
      <c r="AI735" s="533"/>
      <c r="AJ735" s="1"/>
      <c r="AK735" s="533"/>
      <c r="AL735" s="533"/>
      <c r="AM735" s="533"/>
      <c r="AN735" s="533"/>
      <c r="AO735" s="533"/>
    </row>
    <row r="736" spans="1:41" ht="11.25" hidden="1" customHeight="1" x14ac:dyDescent="0.25">
      <c r="A736" s="364"/>
      <c r="B736" s="617" t="s">
        <v>1136</v>
      </c>
      <c r="C736" s="710" t="s">
        <v>836</v>
      </c>
      <c r="D736" s="672"/>
      <c r="E736" s="891"/>
      <c r="F736" s="365"/>
      <c r="G736" s="365"/>
      <c r="H736" s="366"/>
      <c r="I736" s="367"/>
      <c r="J736" s="368">
        <f>IF(VLOOKUP(C736,A!A$1:O$669,11,FALSE)="y",1,0)</f>
        <v>0</v>
      </c>
      <c r="K736" s="368">
        <f>IF(VLOOKUP(C736,A!A$1:O$669,12,FALSE)="y",1,0)</f>
        <v>0</v>
      </c>
      <c r="L736" s="544"/>
      <c r="M736" s="367">
        <f>VLOOKUP(C736,A!A$1:O$669,13,FALSE)</f>
        <v>0</v>
      </c>
      <c r="N736" s="369">
        <v>4</v>
      </c>
      <c r="O736" s="533">
        <f>VLOOKUP(C736,A!A$1:O$669,9,FALSE)</f>
        <v>0</v>
      </c>
      <c r="P736" s="533" t="s">
        <v>783</v>
      </c>
      <c r="Q736" s="533" t="str">
        <f>IF(S736=0,"",COUNTIF(Q$12:Q735,"&gt;0")+1)</f>
        <v/>
      </c>
      <c r="R736" s="533" t="str">
        <f>IF(S736=0,"",COUNTIF(R$12:R735,"&gt;0")+1)</f>
        <v/>
      </c>
      <c r="S736" s="533">
        <f t="shared" si="122"/>
        <v>0</v>
      </c>
      <c r="T736" s="533">
        <v>35</v>
      </c>
      <c r="U736" s="533">
        <v>8.1000000000000003E-2</v>
      </c>
      <c r="V736" s="533">
        <v>-3</v>
      </c>
      <c r="W736" s="533"/>
      <c r="X736" s="533"/>
      <c r="Y736" s="533"/>
      <c r="Z736" s="533"/>
      <c r="AA736" s="533"/>
      <c r="AB736" s="533"/>
      <c r="AC736" s="533"/>
      <c r="AD736" s="533"/>
      <c r="AE736" s="533"/>
      <c r="AF736" s="533"/>
      <c r="AG736" s="533"/>
      <c r="AH736" s="533"/>
      <c r="AI736" s="533"/>
      <c r="AJ736" s="1"/>
      <c r="AK736" s="533"/>
      <c r="AL736" s="533"/>
      <c r="AM736" s="533"/>
      <c r="AN736" s="533"/>
      <c r="AO736" s="533"/>
    </row>
    <row r="737" spans="1:41" ht="11.25" hidden="1" customHeight="1" x14ac:dyDescent="0.25">
      <c r="A737" s="364"/>
      <c r="B737" s="617" t="s">
        <v>1136</v>
      </c>
      <c r="C737" s="710" t="s">
        <v>837</v>
      </c>
      <c r="D737" s="672"/>
      <c r="E737" s="889" t="s">
        <v>1008</v>
      </c>
      <c r="F737" s="365" t="s">
        <v>1219</v>
      </c>
      <c r="G737" s="365"/>
      <c r="H737" s="366"/>
      <c r="I737" s="367"/>
      <c r="J737" s="368">
        <f>IF(VLOOKUP(C737,A!A$1:O$669,11,FALSE)="y",1,0)</f>
        <v>0</v>
      </c>
      <c r="K737" s="368">
        <f>IF(VLOOKUP(C737,A!A$1:O$669,12,FALSE)="y",1,0)</f>
        <v>0</v>
      </c>
      <c r="L737" s="544"/>
      <c r="M737" s="367">
        <f>VLOOKUP(C737,A!A$1:O$669,13,FALSE)</f>
        <v>0</v>
      </c>
      <c r="N737" s="369">
        <v>4</v>
      </c>
      <c r="O737" s="533" t="str">
        <f>VLOOKUP(C737,A!A$1:O$669,9,FALSE)</f>
        <v>y</v>
      </c>
      <c r="P737" s="533" t="s">
        <v>783</v>
      </c>
      <c r="Q737" s="533" t="str">
        <f>IF(S737=0,"",COUNTIF(Q$12:Q736,"&gt;0")+1)</f>
        <v/>
      </c>
      <c r="R737" s="533" t="str">
        <f>IF(S737=0,"",COUNTIF(R$12:R736,"&gt;0")+1)</f>
        <v/>
      </c>
      <c r="S737" s="533">
        <f t="shared" si="122"/>
        <v>0</v>
      </c>
      <c r="T737" s="533">
        <v>35</v>
      </c>
      <c r="U737" s="533">
        <v>8.1000000000000003E-2</v>
      </c>
      <c r="V737" s="533">
        <v>-3</v>
      </c>
      <c r="W737" s="533"/>
      <c r="X737" s="533"/>
      <c r="Y737" s="533"/>
      <c r="Z737" s="533"/>
      <c r="AA737" s="533"/>
      <c r="AB737" s="533"/>
      <c r="AC737" s="533"/>
      <c r="AD737" s="533"/>
      <c r="AE737" s="533"/>
      <c r="AF737" s="533"/>
      <c r="AG737" s="533"/>
      <c r="AH737" s="533"/>
      <c r="AI737" s="533"/>
      <c r="AJ737" s="1"/>
      <c r="AK737" s="533"/>
      <c r="AL737" s="533"/>
      <c r="AM737" s="533"/>
      <c r="AN737" s="533"/>
      <c r="AO737" s="533"/>
    </row>
    <row r="738" spans="1:41" ht="11.25" hidden="1" customHeight="1" x14ac:dyDescent="0.25">
      <c r="A738" s="364"/>
      <c r="B738" s="617" t="s">
        <v>1136</v>
      </c>
      <c r="C738" s="710" t="s">
        <v>838</v>
      </c>
      <c r="D738" s="672"/>
      <c r="E738" s="891"/>
      <c r="F738" s="365" t="s">
        <v>839</v>
      </c>
      <c r="G738" s="365"/>
      <c r="H738" s="366"/>
      <c r="I738" s="367"/>
      <c r="J738" s="368">
        <f>IF(VLOOKUP(C738,A!A$1:O$669,11,FALSE)="y",1,0)</f>
        <v>0</v>
      </c>
      <c r="K738" s="368">
        <f>IF(VLOOKUP(C738,A!A$1:O$669,12,FALSE)="y",1,0)</f>
        <v>0</v>
      </c>
      <c r="L738" s="544"/>
      <c r="M738" s="367">
        <f>VLOOKUP(C738,A!A$1:O$669,13,FALSE)</f>
        <v>0</v>
      </c>
      <c r="N738" s="369">
        <v>4</v>
      </c>
      <c r="O738" s="533">
        <f>VLOOKUP(C738,A!A$1:O$669,9,FALSE)</f>
        <v>0</v>
      </c>
      <c r="P738" s="533" t="s">
        <v>783</v>
      </c>
      <c r="Q738" s="533" t="str">
        <f>IF(S738=0,"",COUNTIF(Q$12:Q737,"&gt;0")+1)</f>
        <v/>
      </c>
      <c r="R738" s="533" t="str">
        <f>IF(S738=0,"",COUNTIF(R$12:R737,"&gt;0")+1)</f>
        <v/>
      </c>
      <c r="S738" s="533">
        <f t="shared" si="122"/>
        <v>0</v>
      </c>
      <c r="T738" s="533">
        <v>35</v>
      </c>
      <c r="U738" s="533">
        <v>8.1000000000000003E-2</v>
      </c>
      <c r="V738" s="533">
        <v>-3</v>
      </c>
      <c r="W738" s="533"/>
      <c r="X738" s="533"/>
      <c r="Y738" s="533"/>
      <c r="Z738" s="533"/>
      <c r="AA738" s="533"/>
      <c r="AB738" s="533"/>
      <c r="AC738" s="533"/>
      <c r="AD738" s="533"/>
      <c r="AE738" s="533"/>
      <c r="AF738" s="533"/>
      <c r="AG738" s="533"/>
      <c r="AH738" s="533"/>
      <c r="AI738" s="533"/>
      <c r="AJ738" s="1"/>
      <c r="AK738" s="533"/>
      <c r="AL738" s="533"/>
      <c r="AM738" s="533"/>
      <c r="AN738" s="533"/>
      <c r="AO738" s="533"/>
    </row>
    <row r="739" spans="1:41" ht="13.5" hidden="1" customHeight="1" x14ac:dyDescent="0.25">
      <c r="A739" s="364"/>
      <c r="B739" s="617" t="s">
        <v>1136</v>
      </c>
      <c r="C739" s="710" t="s">
        <v>1797</v>
      </c>
      <c r="D739" s="672"/>
      <c r="E739" s="891" t="s">
        <v>1009</v>
      </c>
      <c r="F739" s="365" t="s">
        <v>1798</v>
      </c>
      <c r="G739" s="365"/>
      <c r="H739" s="366"/>
      <c r="I739" s="367"/>
      <c r="J739" s="368">
        <f>IF(VLOOKUP(C739,A!A$1:O$669,11,FALSE)="y",1,0)</f>
        <v>0</v>
      </c>
      <c r="K739" s="368"/>
      <c r="L739" s="544"/>
      <c r="M739" s="367"/>
      <c r="N739" s="369">
        <v>4</v>
      </c>
      <c r="O739" s="533">
        <f>VLOOKUP(C739,A!A$1:O$669,9,FALSE)</f>
        <v>0</v>
      </c>
      <c r="P739" s="533" t="s">
        <v>783</v>
      </c>
      <c r="Q739" s="533" t="str">
        <f>IF(S739=0,"",COUNTIF(Q$12:Q738,"&gt;0")+1)</f>
        <v/>
      </c>
      <c r="R739" s="533" t="str">
        <f>IF(S739=0,"",COUNTIF(R$12:R738,"&gt;0")+1)</f>
        <v/>
      </c>
      <c r="S739" s="533">
        <f t="shared" si="122"/>
        <v>0</v>
      </c>
      <c r="T739" s="533">
        <v>35</v>
      </c>
      <c r="U739" s="533">
        <v>8.1000000000000003E-2</v>
      </c>
      <c r="V739" s="533">
        <v>-3</v>
      </c>
      <c r="W739" s="533"/>
      <c r="X739" s="533"/>
      <c r="Y739" s="533"/>
      <c r="Z739" s="533"/>
      <c r="AA739" s="533"/>
      <c r="AB739" s="533"/>
      <c r="AC739" s="533"/>
      <c r="AD739" s="533"/>
      <c r="AE739" s="533"/>
      <c r="AF739" s="533"/>
      <c r="AG739" s="533"/>
      <c r="AH739" s="533"/>
      <c r="AI739" s="533"/>
      <c r="AJ739" s="1"/>
      <c r="AK739" s="533"/>
      <c r="AL739" s="533"/>
      <c r="AM739" s="533"/>
      <c r="AN739" s="533"/>
      <c r="AO739" s="533"/>
    </row>
    <row r="740" spans="1:41" ht="11.25" hidden="1" customHeight="1" x14ac:dyDescent="0.25">
      <c r="A740" s="364"/>
      <c r="B740" s="617" t="s">
        <v>1136</v>
      </c>
      <c r="C740" s="710" t="s">
        <v>840</v>
      </c>
      <c r="D740" s="672"/>
      <c r="E740" s="820" t="s">
        <v>1007</v>
      </c>
      <c r="F740" s="365" t="s">
        <v>841</v>
      </c>
      <c r="G740" s="365"/>
      <c r="H740" s="366"/>
      <c r="I740" s="367"/>
      <c r="J740" s="368">
        <f>IF(VLOOKUP(C740,A!A$1:O$669,11,FALSE)="y",1,0)</f>
        <v>0</v>
      </c>
      <c r="K740" s="368">
        <f>IF(VLOOKUP(C740,A!A$1:O$669,12,FALSE)="y",1,0)</f>
        <v>0</v>
      </c>
      <c r="L740" s="544"/>
      <c r="M740" s="367">
        <f>VLOOKUP(C740,A!A$1:O$669,13,FALSE)</f>
        <v>0</v>
      </c>
      <c r="N740" s="369">
        <v>4</v>
      </c>
      <c r="O740" s="533">
        <f>VLOOKUP(C740,A!A$1:O$669,9,FALSE)</f>
        <v>0</v>
      </c>
      <c r="P740" s="533" t="s">
        <v>783</v>
      </c>
      <c r="Q740" s="533" t="str">
        <f>IF(S740=0,"",COUNTIF(Q$12:Q739,"&gt;0")+1)</f>
        <v/>
      </c>
      <c r="R740" s="533" t="str">
        <f>IF(S740=0,"",COUNTIF(R$12:R739,"&gt;0")+1)</f>
        <v/>
      </c>
      <c r="S740" s="533">
        <f t="shared" si="122"/>
        <v>0</v>
      </c>
      <c r="T740" s="533">
        <v>35</v>
      </c>
      <c r="U740" s="533">
        <v>8.1000000000000003E-2</v>
      </c>
      <c r="V740" s="533">
        <v>-3</v>
      </c>
      <c r="W740" s="533"/>
      <c r="X740" s="533"/>
      <c r="Y740" s="533"/>
      <c r="Z740" s="533"/>
      <c r="AA740" s="533"/>
      <c r="AB740" s="533"/>
      <c r="AC740" s="533"/>
      <c r="AD740" s="533"/>
      <c r="AE740" s="533"/>
      <c r="AF740" s="533"/>
      <c r="AG740" s="533"/>
      <c r="AH740" s="533"/>
      <c r="AI740" s="533"/>
      <c r="AJ740" s="1"/>
      <c r="AK740" s="533"/>
      <c r="AL740" s="533"/>
      <c r="AM740" s="533"/>
      <c r="AN740" s="533"/>
      <c r="AO740" s="533"/>
    </row>
    <row r="741" spans="1:41" ht="11.25" hidden="1" customHeight="1" x14ac:dyDescent="0.25">
      <c r="A741" s="364"/>
      <c r="B741" s="617" t="s">
        <v>1136</v>
      </c>
      <c r="C741" s="710" t="s">
        <v>842</v>
      </c>
      <c r="D741" s="672"/>
      <c r="E741" s="891" t="s">
        <v>1009</v>
      </c>
      <c r="F741" s="365" t="s">
        <v>1005</v>
      </c>
      <c r="G741" s="365"/>
      <c r="H741" s="366"/>
      <c r="I741" s="367"/>
      <c r="J741" s="368">
        <f>IF(VLOOKUP(C741,A!A$1:O$669,11,FALSE)="y",1,0)</f>
        <v>0</v>
      </c>
      <c r="K741" s="368">
        <f>IF(VLOOKUP(C741,A!A$1:O$669,12,FALSE)="y",1,0)</f>
        <v>0</v>
      </c>
      <c r="L741" s="544"/>
      <c r="M741" s="367">
        <f>VLOOKUP(C741,A!A$1:O$669,13,FALSE)</f>
        <v>0</v>
      </c>
      <c r="N741" s="369">
        <v>4</v>
      </c>
      <c r="O741" s="533">
        <f>VLOOKUP(C741,A!A$1:O$669,9,FALSE)</f>
        <v>0</v>
      </c>
      <c r="P741" s="533" t="s">
        <v>783</v>
      </c>
      <c r="Q741" s="533" t="str">
        <f>IF(S741=0,"",COUNTIF(Q$12:Q740,"&gt;0")+1)</f>
        <v/>
      </c>
      <c r="R741" s="533" t="str">
        <f>IF(S741=0,"",COUNTIF(R$12:R740,"&gt;0")+1)</f>
        <v/>
      </c>
      <c r="S741" s="533">
        <f t="shared" si="122"/>
        <v>0</v>
      </c>
      <c r="T741" s="533">
        <v>35</v>
      </c>
      <c r="U741" s="533">
        <v>8.1000000000000003E-2</v>
      </c>
      <c r="V741" s="533">
        <v>-3</v>
      </c>
      <c r="W741" s="533"/>
      <c r="X741" s="533"/>
      <c r="Y741" s="533"/>
      <c r="Z741" s="533"/>
      <c r="AA741" s="533"/>
      <c r="AB741" s="533"/>
      <c r="AC741" s="533"/>
      <c r="AD741" s="533"/>
      <c r="AE741" s="533"/>
      <c r="AF741" s="533"/>
      <c r="AG741" s="533"/>
      <c r="AH741" s="533"/>
      <c r="AI741" s="533"/>
      <c r="AJ741" s="1"/>
      <c r="AK741" s="533"/>
      <c r="AL741" s="533"/>
      <c r="AM741" s="533"/>
      <c r="AN741" s="533"/>
      <c r="AO741" s="533"/>
    </row>
    <row r="742" spans="1:41" ht="13.5" customHeight="1" x14ac:dyDescent="0.25">
      <c r="A742" s="364"/>
      <c r="B742" s="617" t="s">
        <v>1136</v>
      </c>
      <c r="C742" s="710" t="s">
        <v>843</v>
      </c>
      <c r="D742" s="672"/>
      <c r="E742" s="891" t="s">
        <v>1009</v>
      </c>
      <c r="F742" s="365" t="s">
        <v>844</v>
      </c>
      <c r="G742" s="365"/>
      <c r="H742" s="366"/>
      <c r="I742" s="367"/>
      <c r="J742" s="368">
        <f>IF(VLOOKUP(C742,A!A$1:O$669,11,FALSE)="y",1,0)</f>
        <v>0</v>
      </c>
      <c r="K742" s="368">
        <f>IF(VLOOKUP(C742,A!A$1:O$669,12,FALSE)="y",1,0)</f>
        <v>0</v>
      </c>
      <c r="L742" s="544"/>
      <c r="M742" s="367">
        <f>VLOOKUP(C742,A!A$1:O$669,13,FALSE)</f>
        <v>0</v>
      </c>
      <c r="N742" s="369">
        <v>4</v>
      </c>
      <c r="O742" s="533" t="str">
        <f>VLOOKUP(C742,A!A$1:O$669,9,FALSE)</f>
        <v>y</v>
      </c>
      <c r="P742" s="533" t="s">
        <v>783</v>
      </c>
      <c r="Q742" s="533" t="str">
        <f>IF(S742=0,"",COUNTIF(Q$12:Q741,"&gt;0")+1)</f>
        <v/>
      </c>
      <c r="R742" s="533" t="str">
        <f>IF(S742=0,"",COUNTIF(R$12:R741,"&gt;0")+1)</f>
        <v/>
      </c>
      <c r="S742" s="533">
        <f t="shared" ref="S742:S747" si="123">A742</f>
        <v>0</v>
      </c>
      <c r="T742" s="533">
        <v>35</v>
      </c>
      <c r="U742" s="533">
        <v>8.1000000000000003E-2</v>
      </c>
      <c r="V742" s="533">
        <v>-3</v>
      </c>
      <c r="W742" s="533"/>
      <c r="X742" s="533"/>
      <c r="Y742" s="533"/>
      <c r="Z742" s="533"/>
      <c r="AA742" s="533"/>
      <c r="AB742" s="533"/>
      <c r="AC742" s="533"/>
      <c r="AD742" s="533"/>
      <c r="AE742" s="533"/>
      <c r="AF742" s="533"/>
      <c r="AG742" s="533"/>
      <c r="AH742" s="533"/>
      <c r="AI742" s="533"/>
      <c r="AJ742" s="1"/>
      <c r="AK742" s="533"/>
      <c r="AL742" s="533"/>
      <c r="AM742" s="533"/>
      <c r="AN742" s="533"/>
      <c r="AO742" s="533"/>
    </row>
    <row r="743" spans="1:41" ht="11.25" hidden="1" customHeight="1" x14ac:dyDescent="0.25">
      <c r="A743" s="364"/>
      <c r="B743" s="617" t="s">
        <v>510</v>
      </c>
      <c r="C743" s="710" t="s">
        <v>845</v>
      </c>
      <c r="D743" s="736"/>
      <c r="E743" s="368"/>
      <c r="F743" s="365"/>
      <c r="G743" s="365"/>
      <c r="H743" s="366"/>
      <c r="I743" s="367"/>
      <c r="J743" s="368">
        <f>IF(VLOOKUP(C743,A!A$1:O$669,11,FALSE)="y",1,0)</f>
        <v>0</v>
      </c>
      <c r="K743" s="368">
        <f>IF(VLOOKUP(C743,A!A$1:O$669,12,FALSE)="y",1,0)</f>
        <v>0</v>
      </c>
      <c r="L743" s="544"/>
      <c r="M743" s="367">
        <f>VLOOKUP(C743,A!A$1:O$669,13,FALSE)</f>
        <v>0</v>
      </c>
      <c r="N743" s="369">
        <v>4</v>
      </c>
      <c r="O743" s="533">
        <f>VLOOKUP(C743,A!A$1:O$669,9,FALSE)</f>
        <v>0</v>
      </c>
      <c r="P743" s="533" t="s">
        <v>783</v>
      </c>
      <c r="Q743" s="533" t="str">
        <f>IF(S743=0,"",COUNTIF(Q$12:Q742,"&gt;0")+1)</f>
        <v/>
      </c>
      <c r="R743" s="533" t="str">
        <f>IF(S743=0,"",COUNTIF(R$12:R742,"&gt;0")+1)</f>
        <v/>
      </c>
      <c r="S743" s="533">
        <f t="shared" si="123"/>
        <v>0</v>
      </c>
      <c r="T743" s="533">
        <v>35</v>
      </c>
      <c r="U743" s="533">
        <v>8.1000000000000003E-2</v>
      </c>
      <c r="V743" s="533">
        <v>-3</v>
      </c>
      <c r="W743" s="533"/>
      <c r="X743" s="533"/>
      <c r="Y743" s="533"/>
      <c r="Z743" s="533"/>
      <c r="AA743" s="533"/>
      <c r="AB743" s="533"/>
      <c r="AC743" s="533"/>
      <c r="AD743" s="533"/>
      <c r="AE743" s="533"/>
      <c r="AF743" s="533"/>
      <c r="AG743" s="533"/>
      <c r="AH743" s="533"/>
      <c r="AI743" s="533"/>
      <c r="AJ743" s="1"/>
      <c r="AK743" s="533"/>
      <c r="AL743" s="533"/>
      <c r="AM743" s="533"/>
      <c r="AN743" s="533"/>
      <c r="AO743" s="533"/>
    </row>
    <row r="744" spans="1:41" ht="13.5" hidden="1" customHeight="1" thickBot="1" x14ac:dyDescent="0.3">
      <c r="A744" s="915"/>
      <c r="B744" s="916" t="s">
        <v>1136</v>
      </c>
      <c r="C744" s="917" t="s">
        <v>846</v>
      </c>
      <c r="D744" s="918"/>
      <c r="E744" s="919" t="s">
        <v>1008</v>
      </c>
      <c r="F744" s="920" t="s">
        <v>847</v>
      </c>
      <c r="G744" s="920"/>
      <c r="H744" s="921"/>
      <c r="I744" s="922"/>
      <c r="J744" s="759">
        <f>IF(VLOOKUP(C744,A!A$1:O$669,11,FALSE)="y",1,0)</f>
        <v>0</v>
      </c>
      <c r="K744" s="759">
        <f>IF(VLOOKUP(C744,A!A$1:O$669,12,FALSE)="y",1,0)</f>
        <v>0</v>
      </c>
      <c r="L744" s="561"/>
      <c r="M744" s="922">
        <f>VLOOKUP(C744,A!A$1:O$669,13,FALSE)</f>
        <v>0</v>
      </c>
      <c r="N744" s="760">
        <v>4</v>
      </c>
      <c r="O744" s="533" t="str">
        <f>VLOOKUP(C744,A!A$1:O$669,9,FALSE)</f>
        <v>y</v>
      </c>
      <c r="P744" s="533" t="s">
        <v>783</v>
      </c>
      <c r="Q744" s="533" t="str">
        <f>IF(S744=0,"",COUNTIF(Q$12:Q743,"&gt;0")+1)</f>
        <v/>
      </c>
      <c r="R744" s="533" t="str">
        <f>IF(S744=0,"",COUNTIF(R$12:R743,"&gt;0")+1)</f>
        <v/>
      </c>
      <c r="S744" s="533">
        <f t="shared" si="123"/>
        <v>0</v>
      </c>
      <c r="T744" s="533">
        <v>35</v>
      </c>
      <c r="U744" s="533">
        <v>8.1000000000000003E-2</v>
      </c>
      <c r="V744" s="533">
        <v>-3</v>
      </c>
      <c r="W744" s="533"/>
      <c r="X744" s="533"/>
      <c r="Y744" s="533"/>
      <c r="Z744" s="533"/>
      <c r="AA744" s="533"/>
      <c r="AB744" s="533"/>
      <c r="AC744" s="533"/>
      <c r="AD744" s="533"/>
      <c r="AE744" s="533"/>
      <c r="AF744" s="533"/>
      <c r="AG744" s="533"/>
      <c r="AH744" s="533"/>
      <c r="AI744" s="533"/>
      <c r="AJ744" s="1"/>
      <c r="AK744" s="533"/>
      <c r="AL744" s="533"/>
      <c r="AM744" s="533"/>
      <c r="AN744" s="533"/>
      <c r="AO744" s="533"/>
    </row>
    <row r="745" spans="1:41" ht="11.25" customHeight="1" x14ac:dyDescent="0.25">
      <c r="A745" s="909"/>
      <c r="B745" s="724" t="s">
        <v>1136</v>
      </c>
      <c r="C745" s="910" t="s">
        <v>848</v>
      </c>
      <c r="D745" s="911"/>
      <c r="E745" s="1058" t="s">
        <v>1006</v>
      </c>
      <c r="F745" s="912" t="s">
        <v>1866</v>
      </c>
      <c r="G745" s="912"/>
      <c r="H745" s="913"/>
      <c r="I745" s="767"/>
      <c r="J745" s="757">
        <f>IF(VLOOKUP(C745,A!A$1:O$669,11,FALSE)="y",1,0)</f>
        <v>0</v>
      </c>
      <c r="K745" s="757">
        <f>IF(VLOOKUP(C745,A!A$1:O$669,12,FALSE)="y",1,0)</f>
        <v>0</v>
      </c>
      <c r="L745" s="722"/>
      <c r="M745" s="767">
        <f>VLOOKUP(C745,A!A$1:O$669,13,FALSE)</f>
        <v>0</v>
      </c>
      <c r="N745" s="914">
        <v>4</v>
      </c>
      <c r="O745" s="533" t="str">
        <f>VLOOKUP(C745,A!A$1:O$669,9,FALSE)</f>
        <v>y</v>
      </c>
      <c r="P745" s="533" t="s">
        <v>783</v>
      </c>
      <c r="Q745" s="533" t="str">
        <f>IF(S745=0,"",COUNTIF(Q$12:Q744,"&gt;0")+1)</f>
        <v/>
      </c>
      <c r="R745" s="533" t="str">
        <f>IF(S745=0,"",COUNTIF(R$12:R744,"&gt;0")+1)</f>
        <v/>
      </c>
      <c r="S745" s="533">
        <f t="shared" si="123"/>
        <v>0</v>
      </c>
      <c r="T745" s="533">
        <v>35</v>
      </c>
      <c r="U745" s="533">
        <v>8.1000000000000003E-2</v>
      </c>
      <c r="V745" s="533">
        <v>-3</v>
      </c>
      <c r="W745" s="533"/>
      <c r="X745" s="533"/>
      <c r="Y745" s="533"/>
      <c r="Z745" s="533"/>
      <c r="AA745" s="533"/>
      <c r="AB745" s="533"/>
      <c r="AC745" s="533"/>
      <c r="AD745" s="533"/>
      <c r="AE745" s="533"/>
      <c r="AF745" s="533"/>
      <c r="AG745" s="533"/>
      <c r="AH745" s="533"/>
      <c r="AI745" s="533"/>
      <c r="AJ745" s="1"/>
      <c r="AK745" s="533"/>
      <c r="AL745" s="533"/>
      <c r="AM745" s="533"/>
      <c r="AN745" s="533"/>
      <c r="AO745" s="533"/>
    </row>
    <row r="746" spans="1:41" ht="13.5" hidden="1" customHeight="1" x14ac:dyDescent="0.25">
      <c r="A746" s="364"/>
      <c r="B746" s="617" t="s">
        <v>1136</v>
      </c>
      <c r="C746" s="710" t="s">
        <v>849</v>
      </c>
      <c r="D746" s="666"/>
      <c r="E746" s="888" t="s">
        <v>1055</v>
      </c>
      <c r="F746" s="365" t="s">
        <v>850</v>
      </c>
      <c r="G746" s="365"/>
      <c r="H746" s="366"/>
      <c r="I746" s="367"/>
      <c r="J746" s="368">
        <f>IF(VLOOKUP(C746,A!A$1:O$669,11,FALSE)="y",1,0)</f>
        <v>0</v>
      </c>
      <c r="K746" s="368">
        <f>IF(VLOOKUP(C746,A!A$1:O$669,12,FALSE)="y",1,0)</f>
        <v>0</v>
      </c>
      <c r="L746" s="544"/>
      <c r="M746" s="367">
        <f>VLOOKUP(C746,A!A$1:O$669,13,FALSE)</f>
        <v>0</v>
      </c>
      <c r="N746" s="369">
        <v>4</v>
      </c>
      <c r="O746" s="533">
        <f>VLOOKUP(C746,A!A$1:O$669,9,FALSE)</f>
        <v>0</v>
      </c>
      <c r="P746" s="533" t="s">
        <v>783</v>
      </c>
      <c r="Q746" s="533" t="str">
        <f>IF(S746=0,"",COUNTIF(Q$12:Q745,"&gt;0")+1)</f>
        <v/>
      </c>
      <c r="R746" s="533" t="str">
        <f>IF(S746=0,"",COUNTIF(R$12:R745,"&gt;0")+1)</f>
        <v/>
      </c>
      <c r="S746" s="533">
        <f t="shared" si="123"/>
        <v>0</v>
      </c>
      <c r="T746" s="533">
        <v>35</v>
      </c>
      <c r="U746" s="533">
        <v>8.1000000000000003E-2</v>
      </c>
      <c r="V746" s="533">
        <v>-3</v>
      </c>
      <c r="W746" s="533"/>
      <c r="X746" s="533"/>
      <c r="Y746" s="533"/>
      <c r="Z746" s="533"/>
      <c r="AA746" s="533"/>
      <c r="AB746" s="533"/>
      <c r="AC746" s="533"/>
      <c r="AD746" s="533"/>
      <c r="AE746" s="533"/>
      <c r="AF746" s="533"/>
      <c r="AG746" s="533"/>
      <c r="AH746" s="533"/>
      <c r="AI746" s="533"/>
      <c r="AJ746" s="1"/>
      <c r="AK746" s="533"/>
      <c r="AL746" s="533"/>
      <c r="AM746" s="533"/>
      <c r="AN746" s="533"/>
      <c r="AO746" s="533"/>
    </row>
    <row r="747" spans="1:41" ht="13.5" hidden="1" customHeight="1" thickBot="1" x14ac:dyDescent="0.3">
      <c r="A747" s="201"/>
      <c r="B747" s="615" t="s">
        <v>1136</v>
      </c>
      <c r="C747" s="762" t="s">
        <v>1773</v>
      </c>
      <c r="D747" s="758"/>
      <c r="E747" s="840" t="s">
        <v>1007</v>
      </c>
      <c r="F747" s="203" t="s">
        <v>1771</v>
      </c>
      <c r="G747" s="203"/>
      <c r="H747" s="204"/>
      <c r="I747" s="136"/>
      <c r="J747" s="759">
        <f>IF(VLOOKUP(C747,A!A$1:O$669,11,FALSE)="y",1,0)</f>
        <v>0</v>
      </c>
      <c r="K747" s="759"/>
      <c r="L747" s="561"/>
      <c r="M747" s="136"/>
      <c r="N747" s="760">
        <v>4</v>
      </c>
      <c r="O747" s="533">
        <f>VLOOKUP(C747,A!A$1:O$669,9,FALSE)</f>
        <v>0</v>
      </c>
      <c r="P747" s="533" t="s">
        <v>783</v>
      </c>
      <c r="Q747" s="533" t="str">
        <f>IF(S747=0,"",COUNTIF(Q$12:Q746,"&gt;0")+1)</f>
        <v/>
      </c>
      <c r="R747" s="533" t="str">
        <f>IF(S747=0,"",COUNTIF(R$12:R746,"&gt;0")+1)</f>
        <v/>
      </c>
      <c r="S747" s="533">
        <f t="shared" si="123"/>
        <v>0</v>
      </c>
      <c r="T747" s="533">
        <v>35</v>
      </c>
      <c r="U747" s="533">
        <v>8.1000000000000003E-2</v>
      </c>
      <c r="V747" s="533">
        <v>-3</v>
      </c>
      <c r="W747" s="533"/>
      <c r="X747" s="533"/>
      <c r="Y747" s="533"/>
      <c r="Z747" s="533"/>
      <c r="AA747" s="533"/>
      <c r="AB747" s="533"/>
      <c r="AC747" s="533"/>
      <c r="AD747" s="533"/>
      <c r="AE747" s="533"/>
      <c r="AF747" s="533"/>
      <c r="AG747" s="533"/>
      <c r="AH747" s="533"/>
      <c r="AI747" s="533"/>
      <c r="AJ747" s="1"/>
      <c r="AK747" s="533"/>
      <c r="AL747" s="533"/>
      <c r="AM747" s="533"/>
      <c r="AN747" s="533"/>
      <c r="AO747" s="533"/>
    </row>
    <row r="748" spans="1:41" ht="11.25" hidden="1" customHeight="1" x14ac:dyDescent="0.25">
      <c r="A748" s="167"/>
      <c r="B748" s="209" t="s">
        <v>510</v>
      </c>
      <c r="C748" s="702" t="s">
        <v>851</v>
      </c>
      <c r="D748" s="648"/>
      <c r="E748" s="892"/>
      <c r="F748" s="93"/>
      <c r="G748" s="93"/>
      <c r="H748" s="212"/>
      <c r="I748" s="80"/>
      <c r="J748" s="757">
        <f>IF(VLOOKUP(C748,A!A$1:O$669,11,FALSE)="y",1,0)</f>
        <v>0</v>
      </c>
      <c r="K748" s="757">
        <f>IF(VLOOKUP(C748,A!A$1:O$669,12,FALSE)="y",1,0)</f>
        <v>0</v>
      </c>
      <c r="L748" s="722"/>
      <c r="M748" s="80">
        <f>VLOOKUP(C748,A!A$1:O$669,13,FALSE)</f>
        <v>0</v>
      </c>
      <c r="N748" s="169">
        <v>4</v>
      </c>
      <c r="O748" s="533">
        <f>VLOOKUP(C748,A!A$1:O$669,9,FALSE)</f>
        <v>0</v>
      </c>
      <c r="P748" s="533" t="s">
        <v>783</v>
      </c>
      <c r="Q748" s="533" t="str">
        <f>IF(S748=0,"",COUNTIF(Q$12:Q747,"&gt;0")+1)</f>
        <v/>
      </c>
      <c r="R748" s="533" t="str">
        <f>IF(S748=0,"",COUNTIF(R$12:R747,"&gt;0")+1)</f>
        <v/>
      </c>
      <c r="S748" s="533">
        <f t="shared" si="122"/>
        <v>0</v>
      </c>
      <c r="T748" s="533">
        <v>35</v>
      </c>
      <c r="U748" s="533">
        <v>8.1000000000000003E-2</v>
      </c>
      <c r="V748" s="533">
        <v>-3</v>
      </c>
      <c r="W748" s="533"/>
      <c r="X748" s="533"/>
      <c r="Y748" s="533"/>
      <c r="Z748" s="533"/>
      <c r="AA748" s="533"/>
      <c r="AB748" s="533"/>
      <c r="AC748" s="533"/>
      <c r="AD748" s="533"/>
      <c r="AE748" s="533"/>
      <c r="AF748" s="533"/>
      <c r="AG748" s="533"/>
      <c r="AH748" s="533"/>
      <c r="AI748" s="533"/>
      <c r="AJ748" s="1"/>
      <c r="AK748" s="533"/>
      <c r="AL748" s="533"/>
      <c r="AM748" s="533"/>
      <c r="AN748" s="533"/>
      <c r="AO748" s="533"/>
    </row>
    <row r="749" spans="1:41" ht="11.25" hidden="1" customHeight="1" x14ac:dyDescent="0.25">
      <c r="A749" s="170"/>
      <c r="B749" s="104" t="s">
        <v>510</v>
      </c>
      <c r="C749" s="696" t="s">
        <v>852</v>
      </c>
      <c r="D749" s="642"/>
      <c r="E749" s="893" t="s">
        <v>1008</v>
      </c>
      <c r="F749" s="26" t="s">
        <v>853</v>
      </c>
      <c r="G749" s="26"/>
      <c r="H749" s="211"/>
      <c r="I749" s="27"/>
      <c r="J749" s="368">
        <f>IF(VLOOKUP(C749,A!A$1:O$669,11,FALSE)="y",1,0)</f>
        <v>0</v>
      </c>
      <c r="K749" s="368">
        <f>IF(VLOOKUP(C749,A!A$1:O$669,12,FALSE)="y",1,0)</f>
        <v>0</v>
      </c>
      <c r="L749" s="544"/>
      <c r="M749" s="80">
        <f>VLOOKUP(C749,A!A$1:O$669,13,FALSE)</f>
        <v>0</v>
      </c>
      <c r="N749" s="171">
        <v>4</v>
      </c>
      <c r="O749" s="533">
        <f>VLOOKUP(C749,A!A$1:O$669,9,FALSE)</f>
        <v>0</v>
      </c>
      <c r="P749" s="533" t="s">
        <v>783</v>
      </c>
      <c r="Q749" s="533" t="str">
        <f>IF(S749=0,"",COUNTIF(Q$12:Q748,"&gt;0")+1)</f>
        <v/>
      </c>
      <c r="R749" s="533" t="str">
        <f>IF(S749=0,"",COUNTIF(R$12:R748,"&gt;0")+1)</f>
        <v/>
      </c>
      <c r="S749" s="533">
        <f t="shared" si="122"/>
        <v>0</v>
      </c>
      <c r="T749" s="533">
        <v>35</v>
      </c>
      <c r="U749" s="533">
        <v>8.1000000000000003E-2</v>
      </c>
      <c r="V749" s="533">
        <v>-3</v>
      </c>
      <c r="W749" s="533"/>
      <c r="X749" s="533"/>
      <c r="Y749" s="533"/>
      <c r="Z749" s="533"/>
      <c r="AA749" s="533"/>
      <c r="AB749" s="533"/>
      <c r="AC749" s="533"/>
      <c r="AD749" s="533"/>
      <c r="AE749" s="533"/>
      <c r="AF749" s="533"/>
      <c r="AG749" s="533"/>
      <c r="AH749" s="533"/>
      <c r="AI749" s="533"/>
      <c r="AJ749" s="1"/>
      <c r="AK749" s="533"/>
      <c r="AL749" s="533"/>
      <c r="AM749" s="533"/>
      <c r="AN749" s="533"/>
      <c r="AO749" s="533"/>
    </row>
    <row r="750" spans="1:41" ht="13.5" hidden="1" customHeight="1" thickBot="1" x14ac:dyDescent="0.3">
      <c r="A750" s="845"/>
      <c r="B750" s="618" t="s">
        <v>1136</v>
      </c>
      <c r="C750" s="706" t="s">
        <v>1049</v>
      </c>
      <c r="D750" s="737"/>
      <c r="E750" s="839" t="s">
        <v>1007</v>
      </c>
      <c r="F750" s="370" t="s">
        <v>1051</v>
      </c>
      <c r="G750" s="166"/>
      <c r="H750" s="166"/>
      <c r="I750" s="166"/>
      <c r="J750" s="368">
        <f>IF(VLOOKUP(C750,A!A$1:O$669,11,FALSE)="y",1,0)</f>
        <v>0</v>
      </c>
      <c r="K750" s="368">
        <f>IF(VLOOKUP(C750,A!A$1:O$669,12,FALSE)="y",1,0)</f>
        <v>0</v>
      </c>
      <c r="L750" s="561"/>
      <c r="M750" s="166"/>
      <c r="N750" s="177">
        <v>4</v>
      </c>
      <c r="O750" s="533">
        <f>VLOOKUP(C750,A!A$1:O$669,9,FALSE)</f>
        <v>0</v>
      </c>
      <c r="P750" s="533" t="s">
        <v>783</v>
      </c>
      <c r="Q750" s="533" t="str">
        <f>IF(S750=0,"",COUNTIF(Q$12:Q749,"&gt;0")+1)</f>
        <v/>
      </c>
      <c r="R750" s="533" t="str">
        <f>IF(S750=0,"",COUNTIF(R$12:R749,"&gt;0")+1)</f>
        <v/>
      </c>
      <c r="S750" s="533">
        <f t="shared" si="122"/>
        <v>0</v>
      </c>
      <c r="T750" s="533">
        <v>35</v>
      </c>
      <c r="U750" s="533">
        <v>8.1000000000000003E-2</v>
      </c>
      <c r="V750" s="533">
        <v>-3</v>
      </c>
      <c r="W750" s="533"/>
      <c r="X750" s="533"/>
      <c r="Y750" s="533"/>
      <c r="Z750" s="533"/>
      <c r="AA750" s="533"/>
      <c r="AB750" s="533"/>
      <c r="AC750" s="533"/>
      <c r="AD750" s="533"/>
      <c r="AE750" s="533"/>
      <c r="AF750" s="533"/>
      <c r="AG750" s="533"/>
      <c r="AH750" s="533"/>
      <c r="AI750" s="533"/>
      <c r="AJ750" s="1"/>
      <c r="AK750" s="533"/>
      <c r="AL750" s="533"/>
      <c r="AM750" s="533"/>
      <c r="AN750" s="533"/>
      <c r="AO750" s="533"/>
    </row>
    <row r="751" spans="1:41" x14ac:dyDescent="0.25">
      <c r="A751" s="23">
        <f>SUM(A700:A750)</f>
        <v>0</v>
      </c>
      <c r="B751" s="601" t="s">
        <v>1136</v>
      </c>
      <c r="C751" s="96" t="s">
        <v>1153</v>
      </c>
      <c r="L751" s="3"/>
      <c r="M751" s="2"/>
      <c r="N751" s="134"/>
      <c r="P751" s="533" t="s">
        <v>783</v>
      </c>
      <c r="Q751" s="533" t="str">
        <f>IF(S751=0,"",COUNTIF(Q$12:Q750,"&gt;0")+1)</f>
        <v/>
      </c>
      <c r="R751" s="533"/>
      <c r="S751" s="533">
        <f t="shared" si="122"/>
        <v>0</v>
      </c>
      <c r="T751" s="533"/>
      <c r="U751" s="533"/>
      <c r="V751" s="533"/>
      <c r="W751" s="533"/>
      <c r="X751" s="533"/>
      <c r="Y751" s="533"/>
      <c r="Z751" s="533"/>
      <c r="AA751" s="533"/>
      <c r="AB751" s="533"/>
      <c r="AC751" s="533"/>
      <c r="AD751" s="533"/>
      <c r="AE751" s="533"/>
      <c r="AF751" s="533"/>
      <c r="AG751" s="533"/>
      <c r="AH751" s="533"/>
      <c r="AI751" s="533"/>
      <c r="AJ751" s="1"/>
      <c r="AK751" s="533"/>
      <c r="AL751" s="533"/>
      <c r="AM751" s="533"/>
      <c r="AN751" s="533"/>
      <c r="AO751" s="533"/>
    </row>
    <row r="752" spans="1:41" ht="11.25" customHeight="1" thickBot="1" x14ac:dyDescent="0.3">
      <c r="A752" s="2"/>
      <c r="L752" s="3"/>
      <c r="M752" s="2"/>
      <c r="P752" s="533"/>
      <c r="Q752" s="533" t="str">
        <f>IF(S752=0,"",COUNTIF(Q$12:Q751,"&gt;0")+1)</f>
        <v/>
      </c>
      <c r="R752" s="533" t="str">
        <f>IF(S752=0,"",COUNTIF(R$12:R751,"&gt;0")+1)</f>
        <v/>
      </c>
      <c r="S752" s="533"/>
      <c r="T752" s="533"/>
      <c r="U752" s="533"/>
      <c r="V752" s="533"/>
      <c r="W752" s="533"/>
      <c r="X752" s="533"/>
      <c r="Y752" s="533"/>
      <c r="Z752" s="533"/>
      <c r="AA752" s="533"/>
      <c r="AB752" s="533"/>
      <c r="AC752" s="533"/>
      <c r="AD752" s="533"/>
      <c r="AE752" s="533"/>
      <c r="AF752" s="533"/>
      <c r="AG752" s="533"/>
      <c r="AH752" s="533"/>
      <c r="AI752" s="533"/>
      <c r="AJ752" s="1"/>
      <c r="AK752" s="533"/>
      <c r="AL752" s="533"/>
      <c r="AM752" s="533"/>
      <c r="AN752" s="533"/>
      <c r="AO752" s="533"/>
    </row>
    <row r="753" spans="1:41" ht="11.25" hidden="1" customHeight="1" x14ac:dyDescent="0.25">
      <c r="A753" s="1239" t="s">
        <v>11</v>
      </c>
      <c r="B753" s="1240"/>
      <c r="C753" s="1208" t="s">
        <v>1812</v>
      </c>
      <c r="D753" s="1209"/>
      <c r="E753" s="1209"/>
      <c r="F753" s="1209"/>
      <c r="G753" s="1194" t="s">
        <v>856</v>
      </c>
      <c r="H753" s="181" t="s">
        <v>857</v>
      </c>
      <c r="I753" s="181"/>
      <c r="J753" s="181"/>
      <c r="K753" s="181"/>
      <c r="L753" s="181"/>
      <c r="M753" s="181"/>
      <c r="N753" s="182"/>
      <c r="P753" s="533"/>
      <c r="Q753" s="533" t="str">
        <f>IF(S753=0,"",COUNTIF(Q$12:Q752,"&gt;0")+1)</f>
        <v/>
      </c>
      <c r="R753" s="533" t="str">
        <f>IF(S753=0,"",COUNTIF(R$12:R752,"&gt;0")+1)</f>
        <v/>
      </c>
      <c r="S753" s="533"/>
      <c r="T753" s="533"/>
      <c r="U753" s="533"/>
      <c r="V753" s="533"/>
      <c r="W753" s="533"/>
      <c r="X753" s="533"/>
      <c r="Y753" s="533"/>
      <c r="Z753" s="533"/>
      <c r="AA753" s="533"/>
      <c r="AB753" s="533"/>
      <c r="AC753" s="533"/>
      <c r="AD753" s="533"/>
      <c r="AE753" s="533"/>
      <c r="AF753" s="533"/>
      <c r="AG753" s="533"/>
      <c r="AH753" s="533"/>
      <c r="AI753" s="533"/>
      <c r="AJ753" s="1"/>
      <c r="AK753" s="533"/>
      <c r="AL753" s="533"/>
      <c r="AM753" s="533"/>
      <c r="AN753" s="533"/>
      <c r="AO753" s="533"/>
    </row>
    <row r="754" spans="1:41" ht="11.25" hidden="1" customHeight="1" thickBot="1" x14ac:dyDescent="0.3">
      <c r="A754" s="1073" t="s">
        <v>682</v>
      </c>
      <c r="B754" s="1074"/>
      <c r="C754" s="1210"/>
      <c r="D754" s="1211"/>
      <c r="E754" s="1211"/>
      <c r="F754" s="1211"/>
      <c r="G754" s="1195"/>
      <c r="H754" s="183"/>
      <c r="I754" s="184"/>
      <c r="J754" s="184"/>
      <c r="K754" s="184"/>
      <c r="L754" s="206"/>
      <c r="M754" s="184"/>
      <c r="N754" s="214" t="s">
        <v>16</v>
      </c>
      <c r="O754" s="1070"/>
      <c r="P754" s="533"/>
      <c r="Q754" s="533" t="str">
        <f>IF(S754=0,"",COUNTIF(Q$12:Q753,"&gt;0")+1)</f>
        <v/>
      </c>
      <c r="R754" s="533" t="str">
        <f>IF(S754=0,"",COUNTIF(R$12:R753,"&gt;0")+1)</f>
        <v/>
      </c>
      <c r="S754" s="533"/>
      <c r="T754" s="533"/>
      <c r="U754" s="533"/>
      <c r="V754" s="533"/>
      <c r="W754" s="533"/>
      <c r="X754" s="533"/>
      <c r="Y754" s="533"/>
      <c r="Z754" s="533"/>
      <c r="AA754" s="533"/>
      <c r="AB754" s="533"/>
      <c r="AC754" s="533"/>
      <c r="AD754" s="533"/>
      <c r="AE754" s="533"/>
      <c r="AF754" s="533"/>
      <c r="AG754" s="533"/>
      <c r="AH754" s="533"/>
      <c r="AI754" s="533"/>
      <c r="AJ754" s="1"/>
      <c r="AK754" s="533"/>
      <c r="AL754" s="533"/>
      <c r="AM754" s="533"/>
      <c r="AN754" s="533"/>
      <c r="AO754" s="533"/>
    </row>
    <row r="755" spans="1:41" ht="11.25" hidden="1" customHeight="1" x14ac:dyDescent="0.25">
      <c r="A755" s="186"/>
      <c r="B755" s="188" t="s">
        <v>12</v>
      </c>
      <c r="C755" s="187" t="s">
        <v>782</v>
      </c>
      <c r="D755" s="662"/>
      <c r="E755" s="886"/>
      <c r="F755" s="189" t="s">
        <v>858</v>
      </c>
      <c r="G755" s="189"/>
      <c r="H755" s="190"/>
      <c r="I755" s="190"/>
      <c r="J755" s="28">
        <v>1</v>
      </c>
      <c r="K755" s="213"/>
      <c r="L755" s="330"/>
      <c r="M755" s="80">
        <f>VLOOKUP(C755,A!A$1:V$669,20,FALSE)</f>
        <v>0</v>
      </c>
      <c r="N755" s="192">
        <v>4</v>
      </c>
      <c r="P755" s="533" t="s">
        <v>859</v>
      </c>
      <c r="Q755" s="533" t="str">
        <f>IF(S755=0,"",COUNTIF(Q$12:Q754,"&gt;0")+1)</f>
        <v/>
      </c>
      <c r="R755" s="533" t="str">
        <f>IF(S755=0,"",COUNTIF(R$12:R754,"&gt;0")+1)</f>
        <v/>
      </c>
      <c r="S755" s="533">
        <f t="shared" ref="S755:S793" si="124">A755</f>
        <v>0</v>
      </c>
      <c r="T755" s="533">
        <v>35</v>
      </c>
      <c r="U755" s="1072">
        <v>8.3000000000000004E-2</v>
      </c>
      <c r="V755" s="533">
        <v>-4</v>
      </c>
      <c r="W755" s="533"/>
      <c r="X755" s="533"/>
      <c r="Y755" s="533"/>
      <c r="Z755" s="533"/>
      <c r="AA755" s="533"/>
      <c r="AB755" s="533"/>
      <c r="AC755" s="533"/>
      <c r="AD755" s="533"/>
      <c r="AE755" s="533"/>
      <c r="AF755" s="533"/>
      <c r="AG755" s="533"/>
      <c r="AH755" s="533"/>
      <c r="AI755" s="533"/>
      <c r="AJ755" s="1"/>
      <c r="AK755" s="533"/>
      <c r="AL755" s="533"/>
      <c r="AM755" s="533"/>
      <c r="AN755" s="533"/>
      <c r="AO755" s="533"/>
    </row>
    <row r="756" spans="1:41" ht="11.25" hidden="1" customHeight="1" x14ac:dyDescent="0.25">
      <c r="A756" s="170"/>
      <c r="B756" s="209" t="s">
        <v>12</v>
      </c>
      <c r="C756" s="90" t="s">
        <v>784</v>
      </c>
      <c r="D756" s="648"/>
      <c r="E756" s="867"/>
      <c r="F756" s="93" t="s">
        <v>785</v>
      </c>
      <c r="G756" s="93"/>
      <c r="H756" s="80"/>
      <c r="I756" s="80"/>
      <c r="J756" s="28">
        <f>IF(VLOOKUP(C756,A!A$1:O$669,11,FALSE)="y",1,0)</f>
        <v>0</v>
      </c>
      <c r="K756" s="28"/>
      <c r="L756" s="79" t="str">
        <f>IF(VLOOKUP(C756,A!A$1:V$669,17,FALSE)="y","NEW","")</f>
        <v/>
      </c>
      <c r="M756" s="80">
        <f>VLOOKUP(C756,A!A$1:V$669,20,FALSE)</f>
        <v>0</v>
      </c>
      <c r="N756" s="169">
        <v>4</v>
      </c>
      <c r="P756" s="533" t="s">
        <v>859</v>
      </c>
      <c r="Q756" s="533" t="str">
        <f>IF(S756=0,"",COUNTIF(Q$12:Q755,"&gt;0")+1)</f>
        <v/>
      </c>
      <c r="R756" s="533" t="str">
        <f>IF(S756=0,"",COUNTIF(R$12:R755,"&gt;0")+1)</f>
        <v/>
      </c>
      <c r="S756" s="533">
        <f t="shared" si="124"/>
        <v>0</v>
      </c>
      <c r="T756" s="533">
        <v>35</v>
      </c>
      <c r="U756" s="1072">
        <v>8.3000000000000004E-2</v>
      </c>
      <c r="V756" s="533">
        <v>-4</v>
      </c>
      <c r="W756" s="533"/>
      <c r="X756" s="533"/>
      <c r="Y756" s="533"/>
      <c r="Z756" s="533"/>
      <c r="AA756" s="533"/>
      <c r="AB756" s="533"/>
      <c r="AC756" s="533"/>
      <c r="AD756" s="533"/>
      <c r="AE756" s="533"/>
      <c r="AF756" s="533"/>
      <c r="AG756" s="533"/>
      <c r="AH756" s="533"/>
      <c r="AI756" s="533"/>
      <c r="AJ756" s="1"/>
      <c r="AK756" s="533"/>
      <c r="AL756" s="533"/>
      <c r="AM756" s="533"/>
      <c r="AN756" s="533"/>
      <c r="AO756" s="533"/>
    </row>
    <row r="757" spans="1:41" ht="11.25" hidden="1" customHeight="1" x14ac:dyDescent="0.25">
      <c r="A757" s="170"/>
      <c r="B757" s="104" t="s">
        <v>12</v>
      </c>
      <c r="C757" s="24" t="s">
        <v>786</v>
      </c>
      <c r="D757" s="642"/>
      <c r="E757" s="861"/>
      <c r="F757" s="26" t="s">
        <v>787</v>
      </c>
      <c r="G757" s="26"/>
      <c r="H757" s="27"/>
      <c r="I757" s="27"/>
      <c r="J757" s="28"/>
      <c r="K757" s="28"/>
      <c r="L757" s="79" t="str">
        <f>IF(VLOOKUP(C757,A!A$1:V$669,17,FALSE)="y","NEW","")</f>
        <v/>
      </c>
      <c r="M757" s="80">
        <f>VLOOKUP(C757,A!A$1:V$669,20,FALSE)</f>
        <v>0</v>
      </c>
      <c r="N757" s="171">
        <v>4</v>
      </c>
      <c r="P757" s="533" t="s">
        <v>859</v>
      </c>
      <c r="Q757" s="533" t="str">
        <f>IF(S757=0,"",COUNTIF(Q$12:Q756,"&gt;0")+1)</f>
        <v/>
      </c>
      <c r="R757" s="533" t="str">
        <f>IF(S757=0,"",COUNTIF(R$12:R756,"&gt;0")+1)</f>
        <v/>
      </c>
      <c r="S757" s="533">
        <f t="shared" si="124"/>
        <v>0</v>
      </c>
      <c r="T757" s="533">
        <v>35</v>
      </c>
      <c r="U757" s="1072">
        <v>0.83299999999999996</v>
      </c>
      <c r="V757" s="533">
        <v>-4</v>
      </c>
      <c r="W757" s="533"/>
      <c r="X757" s="533"/>
      <c r="Y757" s="533"/>
      <c r="Z757" s="533"/>
      <c r="AA757" s="533"/>
      <c r="AB757" s="533"/>
      <c r="AC757" s="533"/>
      <c r="AD757" s="533"/>
      <c r="AE757" s="533"/>
      <c r="AF757" s="533"/>
      <c r="AG757" s="533"/>
      <c r="AH757" s="533"/>
      <c r="AI757" s="533"/>
      <c r="AJ757" s="1"/>
      <c r="AK757" s="533"/>
      <c r="AL757" s="533"/>
      <c r="AM757" s="533"/>
      <c r="AN757" s="533"/>
      <c r="AO757" s="533"/>
    </row>
    <row r="758" spans="1:41" ht="11.25" hidden="1" customHeight="1" x14ac:dyDescent="0.25">
      <c r="A758" s="170"/>
      <c r="B758" s="104" t="s">
        <v>12</v>
      </c>
      <c r="C758" s="24" t="s">
        <v>788</v>
      </c>
      <c r="D758" s="642"/>
      <c r="E758" s="861"/>
      <c r="F758" s="26" t="s">
        <v>789</v>
      </c>
      <c r="G758" s="26"/>
      <c r="H758" s="27"/>
      <c r="I758" s="27"/>
      <c r="J758" s="28"/>
      <c r="K758" s="28"/>
      <c r="L758" s="79" t="str">
        <f>IF(VLOOKUP(C758,A!A$1:V$669,17,FALSE)="y","NEW","")</f>
        <v/>
      </c>
      <c r="M758" s="80">
        <f>VLOOKUP(C758,A!A$1:V$669,20,FALSE)</f>
        <v>0</v>
      </c>
      <c r="N758" s="171">
        <v>4</v>
      </c>
      <c r="P758" s="533" t="s">
        <v>859</v>
      </c>
      <c r="Q758" s="533" t="str">
        <f>IF(S758=0,"",COUNTIF(Q$12:Q757,"&gt;0")+1)</f>
        <v/>
      </c>
      <c r="R758" s="533" t="str">
        <f>IF(S758=0,"",COUNTIF(R$12:R757,"&gt;0")+1)</f>
        <v/>
      </c>
      <c r="S758" s="533">
        <f t="shared" si="124"/>
        <v>0</v>
      </c>
      <c r="T758" s="533">
        <v>35</v>
      </c>
      <c r="U758" s="1072">
        <v>8.3000000000000004E-2</v>
      </c>
      <c r="V758" s="533">
        <v>-4</v>
      </c>
      <c r="W758" s="533"/>
      <c r="X758" s="533"/>
      <c r="Y758" s="533"/>
      <c r="Z758" s="533"/>
      <c r="AA758" s="533"/>
      <c r="AB758" s="533"/>
      <c r="AC758" s="533"/>
      <c r="AD758" s="533"/>
      <c r="AE758" s="533"/>
      <c r="AF758" s="533"/>
      <c r="AG758" s="533"/>
      <c r="AH758" s="533"/>
      <c r="AI758" s="533"/>
      <c r="AJ758" s="1"/>
      <c r="AK758" s="533"/>
      <c r="AL758" s="533"/>
      <c r="AM758" s="533"/>
      <c r="AN758" s="533"/>
      <c r="AO758" s="533"/>
    </row>
    <row r="759" spans="1:41" ht="11.25" hidden="1" customHeight="1" x14ac:dyDescent="0.25">
      <c r="A759" s="170"/>
      <c r="B759" s="104" t="s">
        <v>12</v>
      </c>
      <c r="C759" s="24" t="s">
        <v>790</v>
      </c>
      <c r="D759" s="642"/>
      <c r="E759" s="861"/>
      <c r="F759" s="26"/>
      <c r="G759" s="26"/>
      <c r="H759" s="27"/>
      <c r="I759" s="27"/>
      <c r="J759" s="28"/>
      <c r="K759" s="28"/>
      <c r="L759" s="79" t="str">
        <f>IF(VLOOKUP(C759,A!A$1:V$669,17,FALSE)="y","NEW","")</f>
        <v/>
      </c>
      <c r="M759" s="80">
        <f>VLOOKUP(C759,A!A$1:V$669,20,FALSE)</f>
        <v>0</v>
      </c>
      <c r="N759" s="171">
        <v>4</v>
      </c>
      <c r="P759" s="533" t="s">
        <v>859</v>
      </c>
      <c r="Q759" s="533" t="str">
        <f>IF(S759=0,"",COUNTIF(Q$12:Q758,"&gt;0")+1)</f>
        <v/>
      </c>
      <c r="R759" s="533" t="str">
        <f>IF(S759=0,"",COUNTIF(R$12:R758,"&gt;0")+1)</f>
        <v/>
      </c>
      <c r="S759" s="533">
        <f t="shared" si="124"/>
        <v>0</v>
      </c>
      <c r="T759" s="533">
        <v>35</v>
      </c>
      <c r="U759" s="1072">
        <v>0.83299999999999996</v>
      </c>
      <c r="V759" s="533">
        <v>-4</v>
      </c>
      <c r="W759" s="533"/>
      <c r="X759" s="533"/>
      <c r="Y759" s="533"/>
      <c r="Z759" s="533"/>
      <c r="AA759" s="533"/>
      <c r="AB759" s="533"/>
      <c r="AC759" s="533"/>
      <c r="AD759" s="533"/>
      <c r="AE759" s="533"/>
      <c r="AF759" s="533"/>
      <c r="AG759" s="533"/>
      <c r="AH759" s="533"/>
      <c r="AI759" s="533"/>
      <c r="AJ759" s="1"/>
      <c r="AK759" s="533"/>
      <c r="AL759" s="533"/>
      <c r="AM759" s="533"/>
      <c r="AN759" s="533"/>
      <c r="AO759" s="533"/>
    </row>
    <row r="760" spans="1:41" ht="11.25" hidden="1" customHeight="1" x14ac:dyDescent="0.25">
      <c r="A760" s="170"/>
      <c r="B760" s="104" t="s">
        <v>12</v>
      </c>
      <c r="C760" s="24" t="s">
        <v>791</v>
      </c>
      <c r="D760" s="642"/>
      <c r="E760" s="861"/>
      <c r="F760" s="26" t="s">
        <v>792</v>
      </c>
      <c r="G760" s="26"/>
      <c r="H760" s="27"/>
      <c r="I760" s="27"/>
      <c r="J760" s="28"/>
      <c r="K760" s="28"/>
      <c r="L760" s="79" t="str">
        <f>IF(VLOOKUP(C760,A!A$1:V$669,17,FALSE)="y","NEW","")</f>
        <v/>
      </c>
      <c r="M760" s="80">
        <f>VLOOKUP(C760,A!A$1:V$669,20,FALSE)</f>
        <v>0</v>
      </c>
      <c r="N760" s="171">
        <v>4</v>
      </c>
      <c r="P760" s="533" t="s">
        <v>859</v>
      </c>
      <c r="Q760" s="533" t="str">
        <f>IF(S760=0,"",COUNTIF(Q$12:Q759,"&gt;0")+1)</f>
        <v/>
      </c>
      <c r="R760" s="533" t="str">
        <f>IF(S760=0,"",COUNTIF(R$12:R759,"&gt;0")+1)</f>
        <v/>
      </c>
      <c r="S760" s="533">
        <f t="shared" si="124"/>
        <v>0</v>
      </c>
      <c r="T760" s="533">
        <v>35</v>
      </c>
      <c r="U760" s="1072">
        <v>0.83299999999999996</v>
      </c>
      <c r="V760" s="533">
        <v>-4</v>
      </c>
      <c r="W760" s="533"/>
      <c r="X760" s="533"/>
      <c r="Y760" s="533"/>
      <c r="Z760" s="533"/>
      <c r="AA760" s="533"/>
      <c r="AB760" s="533"/>
      <c r="AC760" s="533"/>
      <c r="AD760" s="533"/>
      <c r="AE760" s="533"/>
      <c r="AF760" s="533"/>
      <c r="AG760" s="533"/>
      <c r="AH760" s="533"/>
      <c r="AI760" s="533"/>
      <c r="AJ760" s="1"/>
      <c r="AK760" s="533"/>
      <c r="AL760" s="533"/>
      <c r="AM760" s="533"/>
      <c r="AN760" s="533"/>
      <c r="AO760" s="533"/>
    </row>
    <row r="761" spans="1:41" ht="11.25" hidden="1" customHeight="1" x14ac:dyDescent="0.25">
      <c r="A761" s="170"/>
      <c r="B761" s="104" t="s">
        <v>12</v>
      </c>
      <c r="C761" s="24" t="s">
        <v>795</v>
      </c>
      <c r="D761" s="642"/>
      <c r="E761" s="861"/>
      <c r="F761" s="26" t="s">
        <v>860</v>
      </c>
      <c r="G761" s="26"/>
      <c r="H761" s="27"/>
      <c r="I761" s="27"/>
      <c r="J761" s="28"/>
      <c r="K761" s="28"/>
      <c r="L761" s="79" t="str">
        <f>IF(VLOOKUP(C761,A!A$1:V$669,17,FALSE)="y","NEW","")</f>
        <v/>
      </c>
      <c r="M761" s="80">
        <f>VLOOKUP(C761,A!A$1:V$669,20,FALSE)</f>
        <v>0</v>
      </c>
      <c r="N761" s="171">
        <v>4</v>
      </c>
      <c r="P761" s="533" t="s">
        <v>859</v>
      </c>
      <c r="Q761" s="533" t="str">
        <f>IF(S761=0,"",COUNTIF(Q$12:Q760,"&gt;0")+1)</f>
        <v/>
      </c>
      <c r="R761" s="533" t="str">
        <f>IF(S761=0,"",COUNTIF(R$12:R760,"&gt;0")+1)</f>
        <v/>
      </c>
      <c r="S761" s="533">
        <f t="shared" si="124"/>
        <v>0</v>
      </c>
      <c r="T761" s="533">
        <v>35</v>
      </c>
      <c r="U761" s="1072">
        <v>0.83299999999999996</v>
      </c>
      <c r="V761" s="533">
        <v>-4</v>
      </c>
      <c r="W761" s="533"/>
      <c r="X761" s="533"/>
      <c r="Y761" s="533"/>
      <c r="Z761" s="533"/>
      <c r="AA761" s="533"/>
      <c r="AB761" s="533"/>
      <c r="AC761" s="533"/>
      <c r="AD761" s="533"/>
      <c r="AE761" s="533"/>
      <c r="AF761" s="533"/>
      <c r="AG761" s="533"/>
      <c r="AH761" s="533"/>
      <c r="AI761" s="533"/>
      <c r="AJ761" s="1"/>
      <c r="AK761" s="533"/>
      <c r="AL761" s="533"/>
      <c r="AM761" s="533"/>
      <c r="AN761" s="533"/>
      <c r="AO761" s="533"/>
    </row>
    <row r="762" spans="1:41" ht="11.25" hidden="1" customHeight="1" x14ac:dyDescent="0.25">
      <c r="A762" s="170"/>
      <c r="B762" s="104" t="s">
        <v>12</v>
      </c>
      <c r="C762" s="24" t="s">
        <v>796</v>
      </c>
      <c r="D762" s="642"/>
      <c r="E762" s="861"/>
      <c r="F762" s="26"/>
      <c r="G762" s="26"/>
      <c r="H762" s="27"/>
      <c r="I762" s="27"/>
      <c r="J762" s="28"/>
      <c r="K762" s="28"/>
      <c r="L762" s="79" t="str">
        <f>IF(VLOOKUP(C762,A!A$1:V$669,17,FALSE)="y","NEW","")</f>
        <v/>
      </c>
      <c r="M762" s="80">
        <f>VLOOKUP(C762,A!A$1:V$669,20,FALSE)</f>
        <v>0</v>
      </c>
      <c r="N762" s="171">
        <v>4</v>
      </c>
      <c r="P762" s="533" t="s">
        <v>859</v>
      </c>
      <c r="Q762" s="533" t="str">
        <f>IF(S762=0,"",COUNTIF(Q$12:Q761,"&gt;0")+1)</f>
        <v/>
      </c>
      <c r="R762" s="533" t="str">
        <f>IF(S762=0,"",COUNTIF(R$12:R761,"&gt;0")+1)</f>
        <v/>
      </c>
      <c r="S762" s="533">
        <f t="shared" si="124"/>
        <v>0</v>
      </c>
      <c r="T762" s="533">
        <v>35</v>
      </c>
      <c r="U762" s="1072">
        <v>0.83299999999999996</v>
      </c>
      <c r="V762" s="533">
        <v>-4</v>
      </c>
      <c r="W762" s="533"/>
      <c r="X762" s="533"/>
      <c r="Y762" s="533"/>
      <c r="Z762" s="533"/>
      <c r="AA762" s="533"/>
      <c r="AB762" s="533"/>
      <c r="AC762" s="533"/>
      <c r="AD762" s="533"/>
      <c r="AE762" s="533"/>
      <c r="AF762" s="533"/>
      <c r="AG762" s="533"/>
      <c r="AH762" s="533"/>
      <c r="AI762" s="533"/>
      <c r="AJ762" s="1"/>
      <c r="AK762" s="533"/>
      <c r="AL762" s="533"/>
      <c r="AM762" s="533"/>
      <c r="AN762" s="533"/>
      <c r="AO762" s="533"/>
    </row>
    <row r="763" spans="1:41" ht="11.25" hidden="1" customHeight="1" x14ac:dyDescent="0.25">
      <c r="A763" s="170"/>
      <c r="B763" s="104" t="s">
        <v>12</v>
      </c>
      <c r="C763" s="24" t="s">
        <v>797</v>
      </c>
      <c r="D763" s="642"/>
      <c r="E763" s="894" t="s">
        <v>1008</v>
      </c>
      <c r="F763" s="26" t="s">
        <v>798</v>
      </c>
      <c r="G763" s="26"/>
      <c r="H763" s="27"/>
      <c r="I763" s="27"/>
      <c r="J763" s="28">
        <v>1</v>
      </c>
      <c r="K763" s="28"/>
      <c r="L763" s="330"/>
      <c r="M763" s="80">
        <f>VLOOKUP(C763,A!A$1:V$669,20,FALSE)</f>
        <v>0</v>
      </c>
      <c r="N763" s="171">
        <v>4</v>
      </c>
      <c r="P763" s="533" t="s">
        <v>859</v>
      </c>
      <c r="Q763" s="533" t="str">
        <f>IF(S763=0,"",COUNTIF(Q$12:Q762,"&gt;0")+1)</f>
        <v/>
      </c>
      <c r="R763" s="533" t="str">
        <f>IF(S763=0,"",COUNTIF(R$12:R762,"&gt;0")+1)</f>
        <v/>
      </c>
      <c r="S763" s="533">
        <f t="shared" si="124"/>
        <v>0</v>
      </c>
      <c r="T763" s="533">
        <v>35</v>
      </c>
      <c r="U763" s="1072">
        <v>0.83299999999999996</v>
      </c>
      <c r="V763" s="533">
        <v>-4</v>
      </c>
      <c r="W763" s="533"/>
      <c r="X763" s="533"/>
      <c r="Y763" s="533"/>
      <c r="Z763" s="533"/>
      <c r="AA763" s="533"/>
      <c r="AB763" s="533"/>
      <c r="AC763" s="533"/>
      <c r="AD763" s="533"/>
      <c r="AE763" s="533"/>
      <c r="AF763" s="533"/>
      <c r="AG763" s="533"/>
      <c r="AH763" s="533"/>
      <c r="AI763" s="533"/>
      <c r="AJ763" s="1"/>
      <c r="AK763" s="533"/>
      <c r="AL763" s="533"/>
      <c r="AM763" s="533"/>
      <c r="AN763" s="533"/>
      <c r="AO763" s="533"/>
    </row>
    <row r="764" spans="1:41" ht="11.25" hidden="1" customHeight="1" x14ac:dyDescent="0.25">
      <c r="A764" s="170"/>
      <c r="B764" s="104" t="s">
        <v>12</v>
      </c>
      <c r="C764" s="24" t="s">
        <v>799</v>
      </c>
      <c r="D764" s="642"/>
      <c r="E764" s="861"/>
      <c r="F764" s="26" t="s">
        <v>861</v>
      </c>
      <c r="G764" s="26"/>
      <c r="H764" s="27"/>
      <c r="I764" s="27"/>
      <c r="J764" s="28"/>
      <c r="K764" s="28"/>
      <c r="L764" s="79" t="str">
        <f>IF(VLOOKUP(C764,A!A$1:V$669,17,FALSE)="y","NEW","")</f>
        <v/>
      </c>
      <c r="M764" s="80">
        <f>VLOOKUP(C764,A!A$1:V$669,20,FALSE)</f>
        <v>0</v>
      </c>
      <c r="N764" s="171">
        <v>4</v>
      </c>
      <c r="P764" s="533" t="s">
        <v>859</v>
      </c>
      <c r="Q764" s="533" t="str">
        <f>IF(S764=0,"",COUNTIF(Q$12:Q763,"&gt;0")+1)</f>
        <v/>
      </c>
      <c r="R764" s="533" t="str">
        <f>IF(S764=0,"",COUNTIF(R$12:R763,"&gt;0")+1)</f>
        <v/>
      </c>
      <c r="S764" s="533">
        <f t="shared" si="124"/>
        <v>0</v>
      </c>
      <c r="T764" s="533">
        <v>35</v>
      </c>
      <c r="U764" s="1072">
        <v>0.83299999999999996</v>
      </c>
      <c r="V764" s="533">
        <v>-4</v>
      </c>
      <c r="W764" s="533"/>
      <c r="X764" s="533"/>
      <c r="Y764" s="533"/>
      <c r="Z764" s="533"/>
      <c r="AA764" s="533"/>
      <c r="AB764" s="533"/>
      <c r="AC764" s="533"/>
      <c r="AD764" s="533"/>
      <c r="AE764" s="533"/>
      <c r="AF764" s="533"/>
      <c r="AG764" s="533"/>
      <c r="AH764" s="533"/>
      <c r="AI764" s="533"/>
      <c r="AJ764" s="1"/>
      <c r="AK764" s="533"/>
      <c r="AL764" s="533"/>
      <c r="AM764" s="533"/>
      <c r="AN764" s="533"/>
      <c r="AO764" s="533"/>
    </row>
    <row r="765" spans="1:41" ht="11.25" hidden="1" customHeight="1" x14ac:dyDescent="0.25">
      <c r="A765" s="170"/>
      <c r="B765" s="104" t="s">
        <v>12</v>
      </c>
      <c r="C765" s="24" t="s">
        <v>800</v>
      </c>
      <c r="D765" s="642"/>
      <c r="E765" s="861"/>
      <c r="F765" s="26" t="s">
        <v>801</v>
      </c>
      <c r="G765" s="26"/>
      <c r="H765" s="27"/>
      <c r="I765" s="27"/>
      <c r="J765" s="28"/>
      <c r="K765" s="28"/>
      <c r="L765" s="79" t="str">
        <f>IF(VLOOKUP(C765,A!A$1:V$669,17,FALSE)="y","NEW","")</f>
        <v/>
      </c>
      <c r="M765" s="80">
        <f>VLOOKUP(C765,A!A$1:V$669,20,FALSE)</f>
        <v>0</v>
      </c>
      <c r="N765" s="171">
        <v>4</v>
      </c>
      <c r="P765" s="533" t="s">
        <v>859</v>
      </c>
      <c r="Q765" s="533" t="str">
        <f>IF(S765=0,"",COUNTIF(Q$12:Q764,"&gt;0")+1)</f>
        <v/>
      </c>
      <c r="R765" s="533" t="str">
        <f>IF(S765=0,"",COUNTIF(R$12:R764,"&gt;0")+1)</f>
        <v/>
      </c>
      <c r="S765" s="533">
        <f t="shared" si="124"/>
        <v>0</v>
      </c>
      <c r="T765" s="533">
        <v>35</v>
      </c>
      <c r="U765" s="1072">
        <v>0.83299999999999996</v>
      </c>
      <c r="V765" s="533">
        <v>-4</v>
      </c>
      <c r="W765" s="533"/>
      <c r="X765" s="533"/>
      <c r="Y765" s="533"/>
      <c r="Z765" s="533"/>
      <c r="AA765" s="533"/>
      <c r="AB765" s="533"/>
      <c r="AC765" s="533"/>
      <c r="AD765" s="533"/>
      <c r="AE765" s="533"/>
      <c r="AF765" s="533"/>
      <c r="AG765" s="533"/>
      <c r="AH765" s="533"/>
      <c r="AI765" s="533"/>
      <c r="AJ765" s="1"/>
      <c r="AK765" s="533"/>
      <c r="AL765" s="533"/>
      <c r="AM765" s="533"/>
      <c r="AN765" s="533"/>
      <c r="AO765" s="533"/>
    </row>
    <row r="766" spans="1:41" ht="11.25" hidden="1" customHeight="1" x14ac:dyDescent="0.25">
      <c r="A766" s="170"/>
      <c r="B766" s="104" t="s">
        <v>12</v>
      </c>
      <c r="C766" s="24" t="s">
        <v>802</v>
      </c>
      <c r="D766" s="642"/>
      <c r="E766" s="861"/>
      <c r="F766" s="26"/>
      <c r="G766" s="26"/>
      <c r="H766" s="27"/>
      <c r="I766" s="27"/>
      <c r="J766" s="28"/>
      <c r="K766" s="28"/>
      <c r="L766" s="79" t="str">
        <f>IF(VLOOKUP(C766,A!A$1:V$669,17,FALSE)="y","NEW","")</f>
        <v/>
      </c>
      <c r="M766" s="80">
        <f>VLOOKUP(C766,A!A$1:V$669,20,FALSE)</f>
        <v>0</v>
      </c>
      <c r="N766" s="171">
        <v>4</v>
      </c>
      <c r="P766" s="533" t="s">
        <v>859</v>
      </c>
      <c r="Q766" s="533" t="str">
        <f>IF(S766=0,"",COUNTIF(Q$12:Q765,"&gt;0")+1)</f>
        <v/>
      </c>
      <c r="R766" s="533" t="str">
        <f>IF(S766=0,"",COUNTIF(R$12:R765,"&gt;0")+1)</f>
        <v/>
      </c>
      <c r="S766" s="533">
        <f t="shared" si="124"/>
        <v>0</v>
      </c>
      <c r="T766" s="533">
        <v>35</v>
      </c>
      <c r="U766" s="1072">
        <v>0.83299999999999996</v>
      </c>
      <c r="V766" s="533">
        <v>-4</v>
      </c>
      <c r="W766" s="533"/>
      <c r="X766" s="533"/>
      <c r="Y766" s="533"/>
      <c r="Z766" s="533"/>
      <c r="AA766" s="533"/>
      <c r="AB766" s="533"/>
      <c r="AC766" s="533"/>
      <c r="AD766" s="533"/>
      <c r="AE766" s="533"/>
      <c r="AF766" s="533"/>
      <c r="AG766" s="533"/>
      <c r="AH766" s="533"/>
      <c r="AI766" s="533"/>
      <c r="AJ766" s="1"/>
      <c r="AK766" s="533"/>
      <c r="AL766" s="533"/>
      <c r="AM766" s="533"/>
      <c r="AN766" s="533"/>
      <c r="AO766" s="533"/>
    </row>
    <row r="767" spans="1:41" ht="11.25" hidden="1" customHeight="1" x14ac:dyDescent="0.25">
      <c r="A767" s="170"/>
      <c r="B767" s="104" t="s">
        <v>12</v>
      </c>
      <c r="C767" s="24" t="s">
        <v>803</v>
      </c>
      <c r="D767" s="642"/>
      <c r="E767" s="861"/>
      <c r="F767" s="26"/>
      <c r="G767" s="26"/>
      <c r="H767" s="27"/>
      <c r="I767" s="27"/>
      <c r="J767" s="28"/>
      <c r="K767" s="28"/>
      <c r="L767" s="79" t="str">
        <f>IF(VLOOKUP(C767,A!A$1:V$669,17,FALSE)="y","NEW","")</f>
        <v/>
      </c>
      <c r="M767" s="80">
        <f>VLOOKUP(C767,A!A$1:V$669,20,FALSE)</f>
        <v>0</v>
      </c>
      <c r="N767" s="171">
        <v>4</v>
      </c>
      <c r="P767" s="533" t="s">
        <v>859</v>
      </c>
      <c r="Q767" s="533" t="str">
        <f>IF(S767=0,"",COUNTIF(Q$12:Q766,"&gt;0")+1)</f>
        <v/>
      </c>
      <c r="R767" s="533" t="str">
        <f>IF(S767=0,"",COUNTIF(R$12:R766,"&gt;0")+1)</f>
        <v/>
      </c>
      <c r="S767" s="533">
        <f t="shared" si="124"/>
        <v>0</v>
      </c>
      <c r="T767" s="533">
        <v>35</v>
      </c>
      <c r="U767" s="1072">
        <v>0.83299999999999996</v>
      </c>
      <c r="V767" s="533">
        <v>-4</v>
      </c>
      <c r="W767" s="533"/>
      <c r="X767" s="533"/>
      <c r="Y767" s="533"/>
      <c r="Z767" s="533"/>
      <c r="AA767" s="533"/>
      <c r="AB767" s="533"/>
      <c r="AC767" s="533"/>
      <c r="AD767" s="533"/>
      <c r="AE767" s="533"/>
      <c r="AF767" s="533"/>
      <c r="AG767" s="533"/>
      <c r="AH767" s="533"/>
      <c r="AI767" s="533"/>
      <c r="AJ767" s="1"/>
      <c r="AK767" s="533"/>
      <c r="AL767" s="533"/>
      <c r="AM767" s="533"/>
      <c r="AN767" s="533"/>
      <c r="AO767" s="533"/>
    </row>
    <row r="768" spans="1:41" ht="11.25" hidden="1" customHeight="1" x14ac:dyDescent="0.25">
      <c r="A768" s="170"/>
      <c r="B768" s="104" t="s">
        <v>12</v>
      </c>
      <c r="C768" s="24" t="s">
        <v>804</v>
      </c>
      <c r="D768" s="642"/>
      <c r="E768" s="861"/>
      <c r="F768" s="26" t="s">
        <v>862</v>
      </c>
      <c r="G768" s="26"/>
      <c r="H768" s="27"/>
      <c r="I768" s="27"/>
      <c r="J768" s="28"/>
      <c r="K768" s="28"/>
      <c r="L768" s="79" t="str">
        <f>IF(VLOOKUP(C768,A!A$1:V$669,17,FALSE)="y","NEW","")</f>
        <v/>
      </c>
      <c r="M768" s="80">
        <f>VLOOKUP(C768,A!A$1:V$669,20,FALSE)</f>
        <v>0</v>
      </c>
      <c r="N768" s="171">
        <v>4</v>
      </c>
      <c r="P768" s="533" t="s">
        <v>859</v>
      </c>
      <c r="Q768" s="533" t="str">
        <f>IF(S768=0,"",COUNTIF(Q$12:Q767,"&gt;0")+1)</f>
        <v/>
      </c>
      <c r="R768" s="533" t="str">
        <f>IF(S768=0,"",COUNTIF(R$12:R767,"&gt;0")+1)</f>
        <v/>
      </c>
      <c r="S768" s="533">
        <f t="shared" si="124"/>
        <v>0</v>
      </c>
      <c r="T768" s="533">
        <v>35</v>
      </c>
      <c r="U768" s="1072">
        <v>0.83299999999999996</v>
      </c>
      <c r="V768" s="533">
        <v>-4</v>
      </c>
      <c r="W768" s="533"/>
      <c r="X768" s="533"/>
      <c r="Y768" s="533"/>
      <c r="Z768" s="533"/>
      <c r="AA768" s="533"/>
      <c r="AB768" s="533"/>
      <c r="AC768" s="533"/>
      <c r="AD768" s="533"/>
      <c r="AE768" s="533"/>
      <c r="AF768" s="533"/>
      <c r="AG768" s="533"/>
      <c r="AH768" s="533"/>
      <c r="AI768" s="533"/>
      <c r="AJ768" s="1"/>
      <c r="AK768" s="533"/>
      <c r="AL768" s="533"/>
      <c r="AM768" s="533"/>
      <c r="AN768" s="533"/>
      <c r="AO768" s="533"/>
    </row>
    <row r="769" spans="1:41" ht="11.25" hidden="1" customHeight="1" x14ac:dyDescent="0.25">
      <c r="A769" s="170"/>
      <c r="B769" s="104" t="s">
        <v>12</v>
      </c>
      <c r="C769" s="24" t="s">
        <v>805</v>
      </c>
      <c r="D769" s="642"/>
      <c r="E769" s="861"/>
      <c r="F769" s="26" t="s">
        <v>806</v>
      </c>
      <c r="G769" s="26"/>
      <c r="H769" s="27"/>
      <c r="I769" s="27"/>
      <c r="J769" s="28"/>
      <c r="K769" s="28"/>
      <c r="L769" s="79" t="str">
        <f>IF(VLOOKUP(C769,A!A$1:V$669,17,FALSE)="y","NEW","")</f>
        <v/>
      </c>
      <c r="M769" s="80">
        <f>VLOOKUP(C769,A!A$1:V$669,20,FALSE)</f>
        <v>0</v>
      </c>
      <c r="N769" s="171">
        <v>4</v>
      </c>
      <c r="P769" s="533" t="s">
        <v>859</v>
      </c>
      <c r="Q769" s="533" t="str">
        <f>IF(S769=0,"",COUNTIF(Q$12:Q768,"&gt;0")+1)</f>
        <v/>
      </c>
      <c r="R769" s="533" t="str">
        <f>IF(S769=0,"",COUNTIF(R$12:R768,"&gt;0")+1)</f>
        <v/>
      </c>
      <c r="S769" s="533">
        <f t="shared" si="124"/>
        <v>0</v>
      </c>
      <c r="T769" s="533">
        <v>35</v>
      </c>
      <c r="U769" s="1072">
        <v>0.83299999999999996</v>
      </c>
      <c r="V769" s="533">
        <v>-4</v>
      </c>
      <c r="W769" s="533"/>
      <c r="X769" s="533"/>
      <c r="Y769" s="533"/>
      <c r="Z769" s="533"/>
      <c r="AA769" s="533"/>
      <c r="AB769" s="533"/>
      <c r="AC769" s="533"/>
      <c r="AD769" s="533"/>
      <c r="AE769" s="533"/>
      <c r="AF769" s="533"/>
      <c r="AG769" s="533"/>
      <c r="AH769" s="533"/>
      <c r="AI769" s="533"/>
      <c r="AJ769" s="1"/>
      <c r="AK769" s="533"/>
      <c r="AL769" s="533"/>
      <c r="AM769" s="533"/>
      <c r="AN769" s="533"/>
      <c r="AO769" s="533"/>
    </row>
    <row r="770" spans="1:41" ht="11.25" hidden="1" customHeight="1" x14ac:dyDescent="0.25">
      <c r="A770" s="170"/>
      <c r="B770" s="104" t="s">
        <v>12</v>
      </c>
      <c r="C770" s="24" t="s">
        <v>807</v>
      </c>
      <c r="D770" s="642"/>
      <c r="E770" s="861"/>
      <c r="F770" s="26"/>
      <c r="G770" s="26"/>
      <c r="H770" s="27"/>
      <c r="I770" s="27"/>
      <c r="J770" s="28"/>
      <c r="K770" s="28"/>
      <c r="L770" s="79" t="str">
        <f>IF(VLOOKUP(C770,A!A$1:V$669,17,FALSE)="y","NEW","")</f>
        <v/>
      </c>
      <c r="M770" s="80">
        <f>VLOOKUP(C770,A!A$1:V$669,20,FALSE)</f>
        <v>0</v>
      </c>
      <c r="N770" s="171">
        <v>4</v>
      </c>
      <c r="P770" s="533" t="s">
        <v>859</v>
      </c>
      <c r="Q770" s="533" t="str">
        <f>IF(S770=0,"",COUNTIF(Q$12:Q769,"&gt;0")+1)</f>
        <v/>
      </c>
      <c r="R770" s="533" t="str">
        <f>IF(S770=0,"",COUNTIF(R$12:R769,"&gt;0")+1)</f>
        <v/>
      </c>
      <c r="S770" s="533">
        <f t="shared" si="124"/>
        <v>0</v>
      </c>
      <c r="T770" s="533">
        <v>35</v>
      </c>
      <c r="U770" s="1072">
        <v>0.83299999999999996</v>
      </c>
      <c r="V770" s="533">
        <v>-4</v>
      </c>
      <c r="W770" s="533"/>
      <c r="X770" s="533"/>
      <c r="Y770" s="533"/>
      <c r="Z770" s="533"/>
      <c r="AA770" s="533"/>
      <c r="AB770" s="533"/>
      <c r="AC770" s="533"/>
      <c r="AD770" s="533"/>
      <c r="AE770" s="533"/>
      <c r="AF770" s="533"/>
      <c r="AG770" s="533"/>
      <c r="AH770" s="533"/>
      <c r="AI770" s="533"/>
      <c r="AJ770" s="1"/>
      <c r="AK770" s="533"/>
      <c r="AL770" s="533"/>
      <c r="AM770" s="533"/>
      <c r="AN770" s="533"/>
      <c r="AO770" s="533"/>
    </row>
    <row r="771" spans="1:41" ht="11.25" hidden="1" customHeight="1" x14ac:dyDescent="0.25">
      <c r="A771" s="170"/>
      <c r="B771" s="104" t="s">
        <v>12</v>
      </c>
      <c r="C771" s="24" t="s">
        <v>808</v>
      </c>
      <c r="D771" s="642"/>
      <c r="E771" s="861"/>
      <c r="F771" s="26"/>
      <c r="G771" s="26"/>
      <c r="H771" s="27"/>
      <c r="I771" s="27"/>
      <c r="J771" s="28"/>
      <c r="K771" s="28"/>
      <c r="L771" s="79" t="str">
        <f>IF(VLOOKUP(C771,A!A$1:V$669,17,FALSE)="y","NEW","")</f>
        <v/>
      </c>
      <c r="M771" s="80">
        <f>VLOOKUP(C771,A!A$1:V$669,20,FALSE)</f>
        <v>0</v>
      </c>
      <c r="N771" s="171">
        <v>4</v>
      </c>
      <c r="P771" s="533" t="s">
        <v>859</v>
      </c>
      <c r="Q771" s="533" t="str">
        <f>IF(S771=0,"",COUNTIF(Q$12:Q770,"&gt;0")+1)</f>
        <v/>
      </c>
      <c r="R771" s="533" t="str">
        <f>IF(S771=0,"",COUNTIF(R$12:R770,"&gt;0")+1)</f>
        <v/>
      </c>
      <c r="S771" s="533">
        <f t="shared" si="124"/>
        <v>0</v>
      </c>
      <c r="T771" s="533">
        <v>35</v>
      </c>
      <c r="U771" s="1072">
        <v>0.83299999999999996</v>
      </c>
      <c r="V771" s="533">
        <v>-4</v>
      </c>
      <c r="W771" s="533"/>
      <c r="X771" s="533"/>
      <c r="Y771" s="533"/>
      <c r="Z771" s="533"/>
      <c r="AA771" s="533"/>
      <c r="AB771" s="533"/>
      <c r="AC771" s="533"/>
      <c r="AD771" s="533"/>
      <c r="AE771" s="533"/>
      <c r="AF771" s="533"/>
      <c r="AG771" s="533"/>
      <c r="AH771" s="533"/>
      <c r="AI771" s="533"/>
      <c r="AJ771" s="1"/>
      <c r="AK771" s="533"/>
      <c r="AL771" s="533"/>
      <c r="AM771" s="533"/>
      <c r="AN771" s="533"/>
      <c r="AO771" s="533"/>
    </row>
    <row r="772" spans="1:41" ht="11.25" hidden="1" customHeight="1" x14ac:dyDescent="0.25">
      <c r="A772" s="170"/>
      <c r="B772" s="104" t="s">
        <v>12</v>
      </c>
      <c r="C772" s="24" t="s">
        <v>809</v>
      </c>
      <c r="D772" s="642"/>
      <c r="E772" s="861"/>
      <c r="F772" s="26" t="s">
        <v>810</v>
      </c>
      <c r="G772" s="26"/>
      <c r="H772" s="27"/>
      <c r="I772" s="27"/>
      <c r="J772" s="28"/>
      <c r="K772" s="28"/>
      <c r="L772" s="79" t="str">
        <f>IF(VLOOKUP(C772,A!A$1:V$669,17,FALSE)="y","NEW","")</f>
        <v/>
      </c>
      <c r="M772" s="80">
        <f>VLOOKUP(C772,A!A$1:V$669,20,FALSE)</f>
        <v>0</v>
      </c>
      <c r="N772" s="171">
        <v>4</v>
      </c>
      <c r="P772" s="533" t="s">
        <v>859</v>
      </c>
      <c r="Q772" s="533" t="str">
        <f>IF(S772=0,"",COUNTIF(Q$12:Q771,"&gt;0")+1)</f>
        <v/>
      </c>
      <c r="R772" s="533" t="str">
        <f>IF(S772=0,"",COUNTIF(R$12:R771,"&gt;0")+1)</f>
        <v/>
      </c>
      <c r="S772" s="533">
        <f t="shared" si="124"/>
        <v>0</v>
      </c>
      <c r="T772" s="533">
        <v>35</v>
      </c>
      <c r="U772" s="1072">
        <v>0.83299999999999996</v>
      </c>
      <c r="V772" s="533">
        <v>-4</v>
      </c>
      <c r="W772" s="533"/>
      <c r="X772" s="533"/>
      <c r="Y772" s="533"/>
      <c r="Z772" s="533"/>
      <c r="AA772" s="533"/>
      <c r="AB772" s="533"/>
      <c r="AC772" s="533"/>
      <c r="AD772" s="533"/>
      <c r="AE772" s="533"/>
      <c r="AF772" s="533"/>
      <c r="AG772" s="533"/>
      <c r="AH772" s="533"/>
      <c r="AI772" s="533"/>
      <c r="AJ772" s="1"/>
      <c r="AK772" s="533"/>
      <c r="AL772" s="533"/>
      <c r="AM772" s="533"/>
      <c r="AN772" s="533"/>
      <c r="AO772" s="533"/>
    </row>
    <row r="773" spans="1:41" ht="11.25" hidden="1" customHeight="1" x14ac:dyDescent="0.25">
      <c r="A773" s="170"/>
      <c r="B773" s="104" t="s">
        <v>12</v>
      </c>
      <c r="C773" s="24" t="s">
        <v>811</v>
      </c>
      <c r="D773" s="642"/>
      <c r="E773" s="861"/>
      <c r="F773" s="26" t="s">
        <v>812</v>
      </c>
      <c r="G773" s="26"/>
      <c r="H773" s="27"/>
      <c r="I773" s="27"/>
      <c r="J773" s="28"/>
      <c r="K773" s="28"/>
      <c r="L773" s="79" t="str">
        <f>IF(VLOOKUP(C773,A!A$1:V$669,17,FALSE)="y","NEW","")</f>
        <v/>
      </c>
      <c r="M773" s="80">
        <f>VLOOKUP(C773,A!A$1:V$669,20,FALSE)</f>
        <v>0</v>
      </c>
      <c r="N773" s="171">
        <v>4</v>
      </c>
      <c r="P773" s="533" t="s">
        <v>859</v>
      </c>
      <c r="Q773" s="533" t="str">
        <f>IF(S773=0,"",COUNTIF(Q$12:Q772,"&gt;0")+1)</f>
        <v/>
      </c>
      <c r="R773" s="533" t="str">
        <f>IF(S773=0,"",COUNTIF(R$12:R772,"&gt;0")+1)</f>
        <v/>
      </c>
      <c r="S773" s="533">
        <f t="shared" si="124"/>
        <v>0</v>
      </c>
      <c r="T773" s="533">
        <v>35</v>
      </c>
      <c r="U773" s="1072">
        <v>0.83299999999999996</v>
      </c>
      <c r="V773" s="533">
        <v>-4</v>
      </c>
      <c r="W773" s="533"/>
      <c r="X773" s="533"/>
      <c r="Y773" s="533"/>
      <c r="Z773" s="533"/>
      <c r="AA773" s="533"/>
      <c r="AB773" s="533"/>
      <c r="AC773" s="533"/>
      <c r="AD773" s="533"/>
      <c r="AE773" s="533"/>
      <c r="AF773" s="533"/>
      <c r="AG773" s="533"/>
      <c r="AH773" s="533"/>
      <c r="AI773" s="533"/>
      <c r="AJ773" s="1"/>
      <c r="AK773" s="533"/>
      <c r="AL773" s="533"/>
      <c r="AM773" s="533"/>
      <c r="AN773" s="533"/>
      <c r="AO773" s="533"/>
    </row>
    <row r="774" spans="1:41" ht="11.25" hidden="1" customHeight="1" x14ac:dyDescent="0.25">
      <c r="A774" s="170"/>
      <c r="B774" s="104" t="s">
        <v>12</v>
      </c>
      <c r="C774" s="24" t="s">
        <v>813</v>
      </c>
      <c r="D774" s="642"/>
      <c r="E774" s="861"/>
      <c r="F774" s="26" t="s">
        <v>814</v>
      </c>
      <c r="G774" s="26"/>
      <c r="H774" s="27"/>
      <c r="I774" s="27"/>
      <c r="J774" s="28"/>
      <c r="K774" s="28"/>
      <c r="L774" s="79" t="str">
        <f>IF(VLOOKUP(C774,A!A$1:V$669,17,FALSE)="y","NEW","")</f>
        <v/>
      </c>
      <c r="M774" s="80">
        <f>VLOOKUP(C774,A!A$1:V$669,20,FALSE)</f>
        <v>0</v>
      </c>
      <c r="N774" s="171">
        <v>4</v>
      </c>
      <c r="P774" s="533" t="s">
        <v>859</v>
      </c>
      <c r="Q774" s="533" t="str">
        <f>IF(S774=0,"",COUNTIF(Q$12:Q773,"&gt;0")+1)</f>
        <v/>
      </c>
      <c r="R774" s="533" t="str">
        <f>IF(S774=0,"",COUNTIF(R$12:R773,"&gt;0")+1)</f>
        <v/>
      </c>
      <c r="S774" s="533">
        <f t="shared" si="124"/>
        <v>0</v>
      </c>
      <c r="T774" s="533">
        <v>35</v>
      </c>
      <c r="U774" s="1072">
        <v>0.83299999999999996</v>
      </c>
      <c r="V774" s="533">
        <v>-4</v>
      </c>
      <c r="W774" s="533"/>
      <c r="X774" s="533"/>
      <c r="Y774" s="533"/>
      <c r="Z774" s="533"/>
      <c r="AA774" s="533"/>
      <c r="AB774" s="533"/>
      <c r="AC774" s="533"/>
      <c r="AD774" s="533"/>
      <c r="AE774" s="533"/>
      <c r="AF774" s="533"/>
      <c r="AG774" s="533"/>
      <c r="AH774" s="533"/>
      <c r="AI774" s="533"/>
      <c r="AJ774" s="1"/>
      <c r="AK774" s="533"/>
      <c r="AL774" s="533"/>
      <c r="AM774" s="533"/>
      <c r="AN774" s="533"/>
      <c r="AO774" s="533"/>
    </row>
    <row r="775" spans="1:41" ht="11.25" hidden="1" customHeight="1" x14ac:dyDescent="0.25">
      <c r="A775" s="170"/>
      <c r="B775" s="104" t="s">
        <v>12</v>
      </c>
      <c r="C775" s="24" t="s">
        <v>815</v>
      </c>
      <c r="D775" s="642"/>
      <c r="E775" s="861"/>
      <c r="F775" s="26" t="s">
        <v>816</v>
      </c>
      <c r="G775" s="26"/>
      <c r="H775" s="27"/>
      <c r="I775" s="27"/>
      <c r="J775" s="28"/>
      <c r="K775" s="28"/>
      <c r="L775" s="79" t="str">
        <f>IF(VLOOKUP(C775,A!A$1:V$669,17,FALSE)="y","NEW","")</f>
        <v/>
      </c>
      <c r="M775" s="80">
        <f>VLOOKUP(C775,A!A$1:V$669,20,FALSE)</f>
        <v>0</v>
      </c>
      <c r="N775" s="171">
        <v>4</v>
      </c>
      <c r="P775" s="533" t="s">
        <v>859</v>
      </c>
      <c r="Q775" s="533" t="str">
        <f>IF(S775=0,"",COUNTIF(Q$12:Q774,"&gt;0")+1)</f>
        <v/>
      </c>
      <c r="R775" s="533" t="str">
        <f>IF(S775=0,"",COUNTIF(R$12:R774,"&gt;0")+1)</f>
        <v/>
      </c>
      <c r="S775" s="533">
        <f t="shared" si="124"/>
        <v>0</v>
      </c>
      <c r="T775" s="533">
        <v>35</v>
      </c>
      <c r="U775" s="1072">
        <v>0.83299999999999996</v>
      </c>
      <c r="V775" s="533">
        <v>-4</v>
      </c>
      <c r="W775" s="533"/>
      <c r="X775" s="533"/>
      <c r="Y775" s="533"/>
      <c r="Z775" s="533"/>
      <c r="AA775" s="533"/>
      <c r="AB775" s="533"/>
      <c r="AC775" s="533"/>
      <c r="AD775" s="533"/>
      <c r="AE775" s="533"/>
      <c r="AF775" s="533"/>
      <c r="AG775" s="533"/>
      <c r="AH775" s="533"/>
      <c r="AI775" s="533"/>
      <c r="AJ775" s="1"/>
      <c r="AK775" s="533"/>
      <c r="AL775" s="533"/>
      <c r="AM775" s="533"/>
      <c r="AN775" s="533"/>
      <c r="AO775" s="533"/>
    </row>
    <row r="776" spans="1:41" ht="11.25" hidden="1" customHeight="1" x14ac:dyDescent="0.25">
      <c r="A776" s="170"/>
      <c r="B776" s="104" t="s">
        <v>12</v>
      </c>
      <c r="C776" s="24" t="s">
        <v>817</v>
      </c>
      <c r="D776" s="642"/>
      <c r="E776" s="861"/>
      <c r="F776" s="26"/>
      <c r="G776" s="26"/>
      <c r="H776" s="27"/>
      <c r="I776" s="27"/>
      <c r="J776" s="28"/>
      <c r="K776" s="28"/>
      <c r="L776" s="79" t="str">
        <f>IF(VLOOKUP(C776,A!A$1:V$669,17,FALSE)="y","NEW","")</f>
        <v/>
      </c>
      <c r="M776" s="80">
        <f>VLOOKUP(C776,A!A$1:V$669,20,FALSE)</f>
        <v>0</v>
      </c>
      <c r="N776" s="171">
        <v>4</v>
      </c>
      <c r="P776" s="533" t="s">
        <v>859</v>
      </c>
      <c r="Q776" s="533" t="str">
        <f>IF(S776=0,"",COUNTIF(Q$12:Q775,"&gt;0")+1)</f>
        <v/>
      </c>
      <c r="R776" s="533" t="str">
        <f>IF(S776=0,"",COUNTIF(R$12:R775,"&gt;0")+1)</f>
        <v/>
      </c>
      <c r="S776" s="533">
        <f t="shared" si="124"/>
        <v>0</v>
      </c>
      <c r="T776" s="533">
        <v>35</v>
      </c>
      <c r="U776" s="1072">
        <v>0.83299999999999996</v>
      </c>
      <c r="V776" s="533">
        <v>-4</v>
      </c>
      <c r="W776" s="533"/>
      <c r="X776" s="533"/>
      <c r="Y776" s="533"/>
      <c r="Z776" s="533"/>
      <c r="AA776" s="533"/>
      <c r="AB776" s="533"/>
      <c r="AC776" s="533"/>
      <c r="AD776" s="533"/>
      <c r="AE776" s="533"/>
      <c r="AF776" s="533"/>
      <c r="AG776" s="533"/>
      <c r="AH776" s="533"/>
      <c r="AI776" s="533"/>
      <c r="AJ776" s="1"/>
      <c r="AK776" s="533"/>
      <c r="AL776" s="533"/>
      <c r="AM776" s="533"/>
      <c r="AN776" s="533"/>
      <c r="AO776" s="533"/>
    </row>
    <row r="777" spans="1:41" ht="11.25" hidden="1" customHeight="1" x14ac:dyDescent="0.25">
      <c r="A777" s="170"/>
      <c r="B777" s="104" t="s">
        <v>12</v>
      </c>
      <c r="C777" s="24" t="s">
        <v>1010</v>
      </c>
      <c r="D777" s="642"/>
      <c r="E777" s="861"/>
      <c r="F777" s="26" t="s">
        <v>818</v>
      </c>
      <c r="G777" s="26"/>
      <c r="H777" s="27"/>
      <c r="I777" s="27"/>
      <c r="J777" s="28"/>
      <c r="K777" s="28"/>
      <c r="L777" s="43" t="str">
        <f>IF(VLOOKUP(C777,A!A$1:V$669,17,FALSE)="y","NEW","")</f>
        <v/>
      </c>
      <c r="M777" s="27">
        <f>VLOOKUP(C777,A!A$1:V$669,20,FALSE)</f>
        <v>0</v>
      </c>
      <c r="N777" s="171">
        <v>4</v>
      </c>
      <c r="P777" s="533" t="s">
        <v>859</v>
      </c>
      <c r="Q777" s="533" t="str">
        <f>IF(S777=0,"",COUNTIF(Q$12:Q776,"&gt;0")+1)</f>
        <v/>
      </c>
      <c r="R777" s="533" t="str">
        <f>IF(S777=0,"",COUNTIF(R$12:R776,"&gt;0")+1)</f>
        <v/>
      </c>
      <c r="S777" s="533">
        <f t="shared" si="124"/>
        <v>0</v>
      </c>
      <c r="T777" s="533">
        <v>35</v>
      </c>
      <c r="U777" s="1072">
        <v>8.3000000000000004E-2</v>
      </c>
      <c r="V777" s="533">
        <v>-4</v>
      </c>
      <c r="W777" s="533"/>
      <c r="X777" s="533"/>
      <c r="Y777" s="533"/>
      <c r="Z777" s="533"/>
      <c r="AA777" s="533"/>
      <c r="AB777" s="533"/>
      <c r="AC777" s="533"/>
      <c r="AD777" s="533"/>
      <c r="AE777" s="533"/>
      <c r="AF777" s="533"/>
      <c r="AG777" s="533"/>
      <c r="AH777" s="533"/>
      <c r="AI777" s="533"/>
      <c r="AJ777" s="1"/>
      <c r="AK777" s="533"/>
      <c r="AL777" s="533"/>
      <c r="AM777" s="533"/>
      <c r="AN777" s="533"/>
      <c r="AO777" s="533"/>
    </row>
    <row r="778" spans="1:41" ht="11.25" hidden="1" customHeight="1" x14ac:dyDescent="0.25">
      <c r="A778" s="170"/>
      <c r="B778" s="104" t="s">
        <v>12</v>
      </c>
      <c r="C778" s="24" t="s">
        <v>821</v>
      </c>
      <c r="D778" s="642"/>
      <c r="E778" s="861"/>
      <c r="F778" s="26" t="s">
        <v>863</v>
      </c>
      <c r="G778" s="26"/>
      <c r="H778" s="27"/>
      <c r="I778" s="27"/>
      <c r="J778" s="28">
        <f>IF(VLOOKUP(C778,A!A$1:V$669,18,FALSE)="y",1,0)</f>
        <v>0</v>
      </c>
      <c r="K778" s="28">
        <f>IF(VLOOKUP(C778,A!A$1:V$669,19,FALSE)="y",1,0)</f>
        <v>0</v>
      </c>
      <c r="L778" s="43" t="str">
        <f>IF(VLOOKUP(C778,A!A$1:V$669,17,FALSE)="y","NEW","")</f>
        <v/>
      </c>
      <c r="M778" s="27">
        <f>VLOOKUP(C778,A!A$1:V$669,20,FALSE)</f>
        <v>0</v>
      </c>
      <c r="N778" s="171">
        <v>4</v>
      </c>
      <c r="P778" s="533" t="s">
        <v>859</v>
      </c>
      <c r="Q778" s="533" t="str">
        <f>IF(S778=0,"",COUNTIF(Q$12:Q777,"&gt;0")+1)</f>
        <v/>
      </c>
      <c r="R778" s="533" t="str">
        <f>IF(S778=0,"",COUNTIF(R$12:R777,"&gt;0")+1)</f>
        <v/>
      </c>
      <c r="S778" s="533">
        <f t="shared" si="124"/>
        <v>0</v>
      </c>
      <c r="T778" s="533">
        <v>35</v>
      </c>
      <c r="U778" s="1072">
        <v>0.83299999999999996</v>
      </c>
      <c r="V778" s="533">
        <v>-4</v>
      </c>
      <c r="W778" s="533"/>
      <c r="X778" s="533"/>
      <c r="Y778" s="533"/>
      <c r="Z778" s="533"/>
      <c r="AA778" s="533"/>
      <c r="AB778" s="533"/>
      <c r="AC778" s="533"/>
      <c r="AD778" s="533"/>
      <c r="AE778" s="533"/>
      <c r="AF778" s="533"/>
      <c r="AG778" s="533"/>
      <c r="AH778" s="533"/>
      <c r="AI778" s="533"/>
      <c r="AJ778" s="1"/>
      <c r="AK778" s="533"/>
      <c r="AL778" s="533"/>
      <c r="AM778" s="533"/>
      <c r="AN778" s="533"/>
      <c r="AO778" s="533"/>
    </row>
    <row r="779" spans="1:41" ht="15" hidden="1" customHeight="1" x14ac:dyDescent="0.25">
      <c r="A779" s="853"/>
      <c r="B779" s="104" t="s">
        <v>12</v>
      </c>
      <c r="C779" s="24" t="s">
        <v>823</v>
      </c>
      <c r="D779" s="642"/>
      <c r="E779" s="895" t="s">
        <v>1009</v>
      </c>
      <c r="F779" s="26" t="s">
        <v>864</v>
      </c>
      <c r="G779" s="26"/>
      <c r="H779" s="27"/>
      <c r="I779" s="27"/>
      <c r="J779" s="28">
        <v>1</v>
      </c>
      <c r="K779" s="28">
        <v>1</v>
      </c>
      <c r="L779" s="43"/>
      <c r="M779" s="27">
        <f>VLOOKUP(C779,A!A$1:V$669,20,FALSE)</f>
        <v>0</v>
      </c>
      <c r="N779" s="171">
        <v>4</v>
      </c>
      <c r="O779" s="533" t="s">
        <v>32</v>
      </c>
      <c r="P779" s="533" t="s">
        <v>859</v>
      </c>
      <c r="Q779" s="533" t="str">
        <f>IF(S779=0,"",COUNTIF(Q$12:Q778,"&gt;0")+1)</f>
        <v/>
      </c>
      <c r="R779" s="533" t="str">
        <f>IF(S779=0,"",COUNTIF(R$12:R778,"&gt;0")+1)</f>
        <v/>
      </c>
      <c r="S779" s="533">
        <f t="shared" si="124"/>
        <v>0</v>
      </c>
      <c r="T779" s="533">
        <v>35</v>
      </c>
      <c r="U779" s="1072">
        <v>0.83299999999999996</v>
      </c>
      <c r="V779" s="533">
        <v>-4</v>
      </c>
      <c r="W779" s="533"/>
      <c r="X779" s="533"/>
      <c r="Y779" s="533"/>
      <c r="Z779" s="533"/>
      <c r="AA779" s="533"/>
      <c r="AB779" s="533"/>
      <c r="AC779" s="533"/>
      <c r="AD779" s="533"/>
      <c r="AE779" s="533"/>
      <c r="AF779" s="533"/>
      <c r="AG779" s="533"/>
      <c r="AH779" s="533"/>
      <c r="AI779" s="533"/>
      <c r="AJ779" s="1"/>
      <c r="AK779" s="533"/>
      <c r="AL779" s="533"/>
      <c r="AM779" s="533"/>
      <c r="AN779" s="533"/>
      <c r="AO779" s="533"/>
    </row>
    <row r="780" spans="1:41" ht="11.25" hidden="1" customHeight="1" x14ac:dyDescent="0.25">
      <c r="A780" s="170"/>
      <c r="B780" s="104" t="s">
        <v>12</v>
      </c>
      <c r="C780" s="24" t="s">
        <v>825</v>
      </c>
      <c r="D780" s="642"/>
      <c r="E780" s="861"/>
      <c r="F780" s="26"/>
      <c r="G780" s="26"/>
      <c r="H780" s="27"/>
      <c r="I780" s="27"/>
      <c r="J780" s="28">
        <f>IF(VLOOKUP(C780,A!A$1:V$669,18,FALSE)="y",1,0)</f>
        <v>0</v>
      </c>
      <c r="K780" s="28">
        <f>IF(VLOOKUP(C780,A!A$1:V$669,19,FALSE)="y",1,0)</f>
        <v>0</v>
      </c>
      <c r="L780" s="43" t="str">
        <f>IF(VLOOKUP(C780,A!A$1:V$669,17,FALSE)="y","NEW","")</f>
        <v/>
      </c>
      <c r="M780" s="27">
        <f>VLOOKUP(C780,A!A$1:V$669,20,FALSE)</f>
        <v>0</v>
      </c>
      <c r="N780" s="171">
        <v>4</v>
      </c>
      <c r="P780" s="533" t="s">
        <v>859</v>
      </c>
      <c r="Q780" s="533" t="str">
        <f>IF(S780=0,"",COUNTIF(Q$12:Q779,"&gt;0")+1)</f>
        <v/>
      </c>
      <c r="R780" s="533" t="str">
        <f>IF(S780=0,"",COUNTIF(R$12:R779,"&gt;0")+1)</f>
        <v/>
      </c>
      <c r="S780" s="533">
        <f t="shared" si="124"/>
        <v>0</v>
      </c>
      <c r="T780" s="533">
        <v>35</v>
      </c>
      <c r="U780" s="1072">
        <v>0.83299999999999996</v>
      </c>
      <c r="V780" s="533">
        <v>-4</v>
      </c>
      <c r="W780" s="533"/>
      <c r="X780" s="533"/>
      <c r="Y780" s="533"/>
      <c r="Z780" s="533"/>
      <c r="AA780" s="533"/>
      <c r="AB780" s="533"/>
      <c r="AC780" s="533"/>
      <c r="AD780" s="533"/>
      <c r="AE780" s="533"/>
      <c r="AF780" s="533"/>
      <c r="AG780" s="533"/>
      <c r="AH780" s="533"/>
      <c r="AI780" s="533"/>
      <c r="AJ780" s="1"/>
      <c r="AK780" s="533"/>
      <c r="AL780" s="533"/>
      <c r="AM780" s="533"/>
      <c r="AN780" s="533"/>
      <c r="AO780" s="533"/>
    </row>
    <row r="781" spans="1:41" ht="11.25" hidden="1" customHeight="1" x14ac:dyDescent="0.25">
      <c r="A781" s="170"/>
      <c r="B781" s="104" t="s">
        <v>12</v>
      </c>
      <c r="C781" s="24" t="s">
        <v>831</v>
      </c>
      <c r="D781" s="642"/>
      <c r="E781" s="861"/>
      <c r="F781" s="26"/>
      <c r="G781" s="26"/>
      <c r="H781" s="27"/>
      <c r="I781" s="27"/>
      <c r="J781" s="28">
        <f>IF(VLOOKUP(C781,A!A$1:V$669,18,FALSE)="y",1,0)</f>
        <v>0</v>
      </c>
      <c r="K781" s="28">
        <f>IF(VLOOKUP(C781,A!A$1:V$669,19,FALSE)="y",1,0)</f>
        <v>0</v>
      </c>
      <c r="L781" s="43" t="str">
        <f>IF(VLOOKUP(C781,A!A$1:V$669,17,FALSE)="y","NEW","")</f>
        <v/>
      </c>
      <c r="M781" s="27">
        <f>VLOOKUP(C781,A!A$1:V$669,20,FALSE)</f>
        <v>0</v>
      </c>
      <c r="N781" s="171">
        <v>4</v>
      </c>
      <c r="P781" s="533" t="s">
        <v>859</v>
      </c>
      <c r="Q781" s="533" t="str">
        <f>IF(S781=0,"",COUNTIF(Q$12:Q780,"&gt;0")+1)</f>
        <v/>
      </c>
      <c r="R781" s="533" t="str">
        <f>IF(S781=0,"",COUNTIF(R$12:R780,"&gt;0")+1)</f>
        <v/>
      </c>
      <c r="S781" s="533">
        <f t="shared" si="124"/>
        <v>0</v>
      </c>
      <c r="T781" s="533">
        <v>35</v>
      </c>
      <c r="U781" s="1072">
        <v>0.83299999999999996</v>
      </c>
      <c r="V781" s="533">
        <v>-4</v>
      </c>
      <c r="W781" s="533"/>
      <c r="X781" s="533"/>
      <c r="Y781" s="533"/>
      <c r="Z781" s="533"/>
      <c r="AA781" s="533"/>
      <c r="AB781" s="533"/>
      <c r="AC781" s="533"/>
      <c r="AD781" s="533"/>
      <c r="AE781" s="533"/>
      <c r="AF781" s="533"/>
      <c r="AG781" s="533"/>
      <c r="AH781" s="533"/>
      <c r="AI781" s="533"/>
      <c r="AJ781" s="1"/>
      <c r="AK781" s="533"/>
      <c r="AL781" s="533"/>
      <c r="AM781" s="533"/>
      <c r="AN781" s="533"/>
      <c r="AO781" s="533"/>
    </row>
    <row r="782" spans="1:41" ht="11.25" hidden="1" customHeight="1" x14ac:dyDescent="0.25">
      <c r="A782" s="170"/>
      <c r="B782" s="104" t="s">
        <v>12</v>
      </c>
      <c r="C782" s="24" t="s">
        <v>832</v>
      </c>
      <c r="D782" s="642"/>
      <c r="E782" s="861"/>
      <c r="F782" s="26" t="s">
        <v>833</v>
      </c>
      <c r="G782" s="26"/>
      <c r="H782" s="27"/>
      <c r="I782" s="27"/>
      <c r="J782" s="28">
        <f>IF(VLOOKUP(C782,A!A$1:V$669,18,FALSE)="y",1,0)</f>
        <v>0</v>
      </c>
      <c r="K782" s="28">
        <f>IF(VLOOKUP(C782,A!A$1:V$669,19,FALSE)="y",1,0)</f>
        <v>0</v>
      </c>
      <c r="L782" s="43" t="str">
        <f>IF(VLOOKUP(C782,A!A$1:V$669,17,FALSE)="y","NEW","")</f>
        <v/>
      </c>
      <c r="M782" s="27">
        <f>VLOOKUP(C782,A!A$1:V$669,20,FALSE)</f>
        <v>0</v>
      </c>
      <c r="N782" s="171">
        <v>4</v>
      </c>
      <c r="P782" s="533" t="s">
        <v>859</v>
      </c>
      <c r="Q782" s="533" t="str">
        <f>IF(S782=0,"",COUNTIF(Q$12:Q781,"&gt;0")+1)</f>
        <v/>
      </c>
      <c r="R782" s="533" t="str">
        <f>IF(S782=0,"",COUNTIF(R$12:R781,"&gt;0")+1)</f>
        <v/>
      </c>
      <c r="S782" s="533">
        <f t="shared" si="124"/>
        <v>0</v>
      </c>
      <c r="T782" s="533">
        <v>35</v>
      </c>
      <c r="U782" s="1072">
        <v>0.83299999999999996</v>
      </c>
      <c r="V782" s="533">
        <v>-4</v>
      </c>
      <c r="W782" s="533"/>
      <c r="X782" s="533"/>
      <c r="Y782" s="533"/>
      <c r="Z782" s="533"/>
      <c r="AA782" s="533"/>
      <c r="AB782" s="533"/>
      <c r="AC782" s="533"/>
      <c r="AD782" s="533"/>
      <c r="AE782" s="533"/>
      <c r="AF782" s="533"/>
      <c r="AG782" s="533"/>
      <c r="AH782" s="533"/>
      <c r="AI782" s="533"/>
      <c r="AJ782" s="1"/>
      <c r="AK782" s="533"/>
      <c r="AL782" s="533"/>
      <c r="AM782" s="533"/>
      <c r="AN782" s="533"/>
      <c r="AO782" s="533"/>
    </row>
    <row r="783" spans="1:41" ht="11.25" hidden="1" customHeight="1" x14ac:dyDescent="0.25">
      <c r="A783" s="170"/>
      <c r="B783" s="104" t="s">
        <v>12</v>
      </c>
      <c r="C783" s="24" t="s">
        <v>834</v>
      </c>
      <c r="D783" s="642"/>
      <c r="E783" s="861"/>
      <c r="F783" s="26" t="s">
        <v>835</v>
      </c>
      <c r="G783" s="26"/>
      <c r="H783" s="27"/>
      <c r="I783" s="27"/>
      <c r="J783" s="28">
        <f>IF(VLOOKUP(C783,A!A$1:V$669,18,FALSE)="y",1,0)</f>
        <v>0</v>
      </c>
      <c r="K783" s="28">
        <f>IF(VLOOKUP(C783,A!A$1:V$669,19,FALSE)="y",1,0)</f>
        <v>0</v>
      </c>
      <c r="L783" s="43" t="str">
        <f>IF(VLOOKUP(C783,A!A$1:V$669,17,FALSE)="y","NEW","")</f>
        <v/>
      </c>
      <c r="M783" s="27">
        <f>VLOOKUP(C783,A!A$1:V$669,20,FALSE)</f>
        <v>0</v>
      </c>
      <c r="N783" s="171">
        <v>4</v>
      </c>
      <c r="P783" s="533" t="s">
        <v>859</v>
      </c>
      <c r="Q783" s="533" t="str">
        <f>IF(S783=0,"",COUNTIF(Q$12:Q782,"&gt;0")+1)</f>
        <v/>
      </c>
      <c r="R783" s="533" t="str">
        <f>IF(S783=0,"",COUNTIF(R$12:R782,"&gt;0")+1)</f>
        <v/>
      </c>
      <c r="S783" s="533">
        <f t="shared" si="124"/>
        <v>0</v>
      </c>
      <c r="T783" s="533">
        <v>35</v>
      </c>
      <c r="U783" s="1072">
        <v>0.83299999999999996</v>
      </c>
      <c r="V783" s="533">
        <v>-4</v>
      </c>
      <c r="W783" s="533"/>
      <c r="X783" s="533"/>
      <c r="Y783" s="533"/>
      <c r="Z783" s="533"/>
      <c r="AA783" s="533"/>
      <c r="AB783" s="533"/>
      <c r="AC783" s="533"/>
      <c r="AD783" s="533"/>
      <c r="AE783" s="533"/>
      <c r="AF783" s="533"/>
      <c r="AG783" s="533"/>
      <c r="AH783" s="533"/>
      <c r="AI783" s="533"/>
      <c r="AJ783" s="1"/>
      <c r="AK783" s="533"/>
      <c r="AL783" s="533"/>
      <c r="AM783" s="533"/>
      <c r="AN783" s="533"/>
      <c r="AO783" s="533"/>
    </row>
    <row r="784" spans="1:41" ht="11.25" hidden="1" customHeight="1" x14ac:dyDescent="0.25">
      <c r="A784" s="170"/>
      <c r="B784" s="104" t="s">
        <v>12</v>
      </c>
      <c r="C784" s="24" t="s">
        <v>836</v>
      </c>
      <c r="D784" s="642"/>
      <c r="E784" s="861"/>
      <c r="F784" s="26"/>
      <c r="G784" s="26"/>
      <c r="H784" s="27"/>
      <c r="I784" s="27"/>
      <c r="J784" s="28">
        <f>IF(VLOOKUP(C784,A!A$1:V$669,18,FALSE)="y",1,0)</f>
        <v>0</v>
      </c>
      <c r="K784" s="28">
        <f>IF(VLOOKUP(C784,A!A$1:V$669,19,FALSE)="y",1,0)</f>
        <v>0</v>
      </c>
      <c r="L784" s="43" t="str">
        <f>IF(VLOOKUP(C784,A!A$1:V$669,17,FALSE)="y","NEW","")</f>
        <v/>
      </c>
      <c r="M784" s="27">
        <f>VLOOKUP(C784,A!A$1:V$669,20,FALSE)</f>
        <v>0</v>
      </c>
      <c r="N784" s="171">
        <v>4</v>
      </c>
      <c r="P784" s="533" t="s">
        <v>859</v>
      </c>
      <c r="Q784" s="533" t="str">
        <f>IF(S784=0,"",COUNTIF(Q$12:Q783,"&gt;0")+1)</f>
        <v/>
      </c>
      <c r="R784" s="533" t="str">
        <f>IF(S784=0,"",COUNTIF(R$12:R783,"&gt;0")+1)</f>
        <v/>
      </c>
      <c r="S784" s="533">
        <f t="shared" si="124"/>
        <v>0</v>
      </c>
      <c r="T784" s="533">
        <v>35</v>
      </c>
      <c r="U784" s="1072">
        <v>0.83299999999999996</v>
      </c>
      <c r="V784" s="533">
        <v>-4</v>
      </c>
      <c r="W784" s="533"/>
      <c r="X784" s="533"/>
      <c r="Y784" s="533"/>
      <c r="Z784" s="533"/>
      <c r="AA784" s="533"/>
      <c r="AB784" s="533"/>
      <c r="AC784" s="533"/>
      <c r="AD784" s="533"/>
      <c r="AE784" s="533"/>
      <c r="AF784" s="533"/>
      <c r="AG784" s="533"/>
      <c r="AH784" s="533"/>
      <c r="AI784" s="533"/>
      <c r="AJ784" s="1"/>
      <c r="AK784" s="533"/>
      <c r="AL784" s="533"/>
      <c r="AM784" s="533"/>
      <c r="AN784" s="533"/>
      <c r="AO784" s="533"/>
    </row>
    <row r="785" spans="1:41" ht="11.25" hidden="1" customHeight="1" x14ac:dyDescent="0.25">
      <c r="A785" s="170"/>
      <c r="B785" s="104" t="s">
        <v>12</v>
      </c>
      <c r="C785" s="24" t="s">
        <v>837</v>
      </c>
      <c r="D785" s="642"/>
      <c r="E785" s="861"/>
      <c r="F785" s="26"/>
      <c r="G785" s="26"/>
      <c r="H785" s="27"/>
      <c r="I785" s="27"/>
      <c r="J785" s="28">
        <f>IF(VLOOKUP(C785,A!A$1:V$669,18,FALSE)="y",1,0)</f>
        <v>0</v>
      </c>
      <c r="K785" s="28">
        <f>IF(VLOOKUP(C785,A!A$1:V$669,19,FALSE)="y",1,0)</f>
        <v>0</v>
      </c>
      <c r="L785" s="43" t="str">
        <f>IF(VLOOKUP(C785,A!A$1:V$669,17,FALSE)="y","NEW","")</f>
        <v/>
      </c>
      <c r="M785" s="27">
        <f>VLOOKUP(C785,A!A$1:V$669,20,FALSE)</f>
        <v>0</v>
      </c>
      <c r="N785" s="171">
        <v>4</v>
      </c>
      <c r="P785" s="533" t="s">
        <v>859</v>
      </c>
      <c r="Q785" s="533" t="str">
        <f>IF(S785=0,"",COUNTIF(Q$12:Q784,"&gt;0")+1)</f>
        <v/>
      </c>
      <c r="R785" s="533" t="str">
        <f>IF(S785=0,"",COUNTIF(R$12:R784,"&gt;0")+1)</f>
        <v/>
      </c>
      <c r="S785" s="533">
        <f t="shared" si="124"/>
        <v>0</v>
      </c>
      <c r="T785" s="533">
        <v>35</v>
      </c>
      <c r="U785" s="1072">
        <v>0.83299999999999996</v>
      </c>
      <c r="V785" s="533">
        <v>-4</v>
      </c>
      <c r="W785" s="533"/>
      <c r="X785" s="533"/>
      <c r="Y785" s="533"/>
      <c r="Z785" s="533"/>
      <c r="AA785" s="533"/>
      <c r="AB785" s="533"/>
      <c r="AC785" s="533"/>
      <c r="AD785" s="533"/>
      <c r="AE785" s="533"/>
      <c r="AF785" s="533"/>
      <c r="AG785" s="533"/>
      <c r="AH785" s="533"/>
      <c r="AI785" s="533"/>
      <c r="AJ785" s="1"/>
      <c r="AK785" s="533"/>
      <c r="AL785" s="533"/>
      <c r="AM785" s="533"/>
      <c r="AN785" s="533"/>
      <c r="AO785" s="533"/>
    </row>
    <row r="786" spans="1:41" ht="11.25" hidden="1" customHeight="1" x14ac:dyDescent="0.25">
      <c r="A786" s="170"/>
      <c r="B786" s="104" t="s">
        <v>12</v>
      </c>
      <c r="C786" s="24" t="s">
        <v>840</v>
      </c>
      <c r="D786" s="642"/>
      <c r="E786" s="861"/>
      <c r="F786" s="26"/>
      <c r="G786" s="26"/>
      <c r="H786" s="27"/>
      <c r="I786" s="27"/>
      <c r="J786" s="28">
        <f>IF(VLOOKUP(C786,A!A$1:V$669,18,FALSE)="y",1,0)</f>
        <v>0</v>
      </c>
      <c r="K786" s="28">
        <f>IF(VLOOKUP(C786,A!A$1:V$669,19,FALSE)="y",1,0)</f>
        <v>0</v>
      </c>
      <c r="L786" s="43" t="str">
        <f>IF(VLOOKUP(C786,A!A$1:V$669,17,FALSE)="y","NEW","")</f>
        <v/>
      </c>
      <c r="M786" s="27">
        <f>VLOOKUP(C786,A!A$1:V$669,20,FALSE)</f>
        <v>0</v>
      </c>
      <c r="N786" s="171">
        <v>4</v>
      </c>
      <c r="O786" s="533">
        <f>VLOOKUP(C786,A!A$1:V$669,16,FALSE)</f>
        <v>0</v>
      </c>
      <c r="P786" s="533" t="s">
        <v>859</v>
      </c>
      <c r="Q786" s="533" t="str">
        <f>IF(S786=0,"",COUNTIF(Q$12:Q785,"&gt;0")+1)</f>
        <v/>
      </c>
      <c r="R786" s="533" t="str">
        <f>IF(S786=0,"",COUNTIF(R$12:R785,"&gt;0")+1)</f>
        <v/>
      </c>
      <c r="S786" s="533">
        <f t="shared" si="124"/>
        <v>0</v>
      </c>
      <c r="T786" s="533">
        <v>35</v>
      </c>
      <c r="U786" s="1072">
        <v>0.83299999999999996</v>
      </c>
      <c r="V786" s="533">
        <v>-4</v>
      </c>
      <c r="W786" s="533"/>
      <c r="X786" s="533"/>
      <c r="Y786" s="533"/>
      <c r="Z786" s="533"/>
      <c r="AA786" s="533"/>
      <c r="AB786" s="533"/>
      <c r="AC786" s="533"/>
      <c r="AD786" s="533"/>
      <c r="AE786" s="533"/>
      <c r="AF786" s="533"/>
      <c r="AG786" s="533"/>
      <c r="AH786" s="533"/>
      <c r="AI786" s="533"/>
      <c r="AJ786" s="1"/>
      <c r="AK786" s="533"/>
      <c r="AL786" s="533"/>
      <c r="AM786" s="533"/>
      <c r="AN786" s="533"/>
      <c r="AO786" s="533"/>
    </row>
    <row r="787" spans="1:41" ht="11.25" hidden="1" customHeight="1" x14ac:dyDescent="0.25">
      <c r="A787" s="170"/>
      <c r="B787" s="104" t="s">
        <v>12</v>
      </c>
      <c r="C787" s="24" t="s">
        <v>842</v>
      </c>
      <c r="D787" s="642"/>
      <c r="E787" s="861"/>
      <c r="F787" s="26" t="s">
        <v>865</v>
      </c>
      <c r="G787" s="26"/>
      <c r="H787" s="27"/>
      <c r="I787" s="27"/>
      <c r="J787" s="28">
        <f>IF(VLOOKUP(C787,A!A$1:V$669,18,FALSE)="y",1,0)</f>
        <v>0</v>
      </c>
      <c r="K787" s="28">
        <f>IF(VLOOKUP(C787,A!A$1:V$669,19,FALSE)="y",1,0)</f>
        <v>0</v>
      </c>
      <c r="L787" s="43" t="str">
        <f>IF(VLOOKUP(C787,A!A$1:V$669,17,FALSE)="y","NEW","")</f>
        <v/>
      </c>
      <c r="M787" s="27">
        <f>VLOOKUP(C787,A!A$1:V$669,20,FALSE)</f>
        <v>0</v>
      </c>
      <c r="N787" s="171">
        <v>4</v>
      </c>
      <c r="O787" s="533">
        <f>VLOOKUP(C787,A!A$1:V$669,16,FALSE)</f>
        <v>0</v>
      </c>
      <c r="P787" s="533" t="s">
        <v>859</v>
      </c>
      <c r="Q787" s="533" t="str">
        <f>IF(S787=0,"",COUNTIF(Q$12:Q786,"&gt;0")+1)</f>
        <v/>
      </c>
      <c r="R787" s="533" t="str">
        <f>IF(S787=0,"",COUNTIF(R$12:R786,"&gt;0")+1)</f>
        <v/>
      </c>
      <c r="S787" s="533">
        <f t="shared" si="124"/>
        <v>0</v>
      </c>
      <c r="T787" s="533">
        <v>35</v>
      </c>
      <c r="U787" s="1072">
        <v>0.83299999999999996</v>
      </c>
      <c r="V787" s="533">
        <v>-4</v>
      </c>
      <c r="W787" s="533"/>
      <c r="X787" s="533"/>
      <c r="Y787" s="533"/>
      <c r="Z787" s="533"/>
      <c r="AA787" s="533"/>
      <c r="AB787" s="533"/>
      <c r="AC787" s="533"/>
      <c r="AD787" s="533"/>
      <c r="AE787" s="533"/>
      <c r="AF787" s="533"/>
      <c r="AG787" s="533"/>
      <c r="AH787" s="533"/>
      <c r="AI787" s="533"/>
      <c r="AJ787" s="1"/>
      <c r="AK787" s="533"/>
      <c r="AL787" s="533"/>
      <c r="AM787" s="533"/>
      <c r="AN787" s="533"/>
      <c r="AO787" s="533"/>
    </row>
    <row r="788" spans="1:41" ht="11.25" hidden="1" customHeight="1" x14ac:dyDescent="0.25">
      <c r="A788" s="170"/>
      <c r="B788" s="104" t="s">
        <v>12</v>
      </c>
      <c r="C788" s="24" t="s">
        <v>843</v>
      </c>
      <c r="D788" s="642"/>
      <c r="E788" s="861"/>
      <c r="F788" s="26" t="s">
        <v>844</v>
      </c>
      <c r="G788" s="26"/>
      <c r="H788" s="27"/>
      <c r="I788" s="27"/>
      <c r="J788" s="28">
        <f>IF(VLOOKUP(C788,A!A$1:V$669,18,FALSE)="y",1,0)</f>
        <v>0</v>
      </c>
      <c r="K788" s="28">
        <f>IF(VLOOKUP(C788,A!A$1:V$669,19,FALSE)="y",1,0)</f>
        <v>0</v>
      </c>
      <c r="L788" s="43" t="str">
        <f>IF(VLOOKUP(C788,A!A$1:V$669,17,FALSE)="y","NEW","")</f>
        <v/>
      </c>
      <c r="M788" s="27">
        <f>VLOOKUP(C788,A!A$1:V$669,20,FALSE)</f>
        <v>0</v>
      </c>
      <c r="N788" s="171">
        <v>4</v>
      </c>
      <c r="O788" s="533">
        <f>VLOOKUP(C788,A!A$1:V$669,16,FALSE)</f>
        <v>0</v>
      </c>
      <c r="P788" s="533" t="s">
        <v>859</v>
      </c>
      <c r="Q788" s="533" t="str">
        <f>IF(S788=0,"",COUNTIF(Q$12:Q787,"&gt;0")+1)</f>
        <v/>
      </c>
      <c r="R788" s="533" t="str">
        <f>IF(S788=0,"",COUNTIF(R$12:R787,"&gt;0")+1)</f>
        <v/>
      </c>
      <c r="S788" s="533">
        <f t="shared" si="124"/>
        <v>0</v>
      </c>
      <c r="T788" s="533">
        <v>35</v>
      </c>
      <c r="U788" s="1072">
        <v>0.83299999999999996</v>
      </c>
      <c r="V788" s="533">
        <v>-4</v>
      </c>
      <c r="W788" s="533"/>
      <c r="X788" s="533"/>
      <c r="Y788" s="533"/>
      <c r="Z788" s="533"/>
      <c r="AA788" s="533"/>
      <c r="AB788" s="533"/>
      <c r="AC788" s="533"/>
      <c r="AD788" s="533"/>
      <c r="AE788" s="533"/>
      <c r="AF788" s="533"/>
      <c r="AG788" s="533"/>
      <c r="AH788" s="533"/>
      <c r="AI788" s="533"/>
      <c r="AJ788" s="1"/>
      <c r="AK788" s="533"/>
      <c r="AL788" s="533"/>
      <c r="AM788" s="533"/>
      <c r="AN788" s="533"/>
      <c r="AO788" s="533"/>
    </row>
    <row r="789" spans="1:41" ht="11.25" hidden="1" customHeight="1" x14ac:dyDescent="0.25">
      <c r="A789" s="215"/>
      <c r="B789" s="104" t="s">
        <v>12</v>
      </c>
      <c r="C789" s="24" t="s">
        <v>845</v>
      </c>
      <c r="D789" s="642"/>
      <c r="E789" s="861"/>
      <c r="F789" s="26"/>
      <c r="G789" s="26"/>
      <c r="H789" s="27"/>
      <c r="I789" s="27"/>
      <c r="J789" s="28">
        <f>IF(VLOOKUP(C789,A!A$1:V$669,18,FALSE)="y",1,0)</f>
        <v>0</v>
      </c>
      <c r="K789" s="28">
        <f>IF(VLOOKUP(C789,A!A$1:V$669,19,FALSE)="y",1,0)</f>
        <v>0</v>
      </c>
      <c r="L789" s="43" t="str">
        <f>IF(VLOOKUP(C789,A!A$1:V$669,17,FALSE)="y","NEW","")</f>
        <v/>
      </c>
      <c r="M789" s="27">
        <f>VLOOKUP(C789,A!A$1:V$669,20,FALSE)</f>
        <v>0</v>
      </c>
      <c r="N789" s="171">
        <v>4</v>
      </c>
      <c r="O789" s="533">
        <f>VLOOKUP(C789,A!A$1:V$669,16,FALSE)</f>
        <v>0</v>
      </c>
      <c r="P789" s="533" t="s">
        <v>859</v>
      </c>
      <c r="Q789" s="533" t="str">
        <f>IF(S789=0,"",COUNTIF(Q$12:Q788,"&gt;0")+1)</f>
        <v/>
      </c>
      <c r="R789" s="533" t="str">
        <f>IF(S789=0,"",COUNTIF(R$12:R788,"&gt;0")+1)</f>
        <v/>
      </c>
      <c r="S789" s="533">
        <f t="shared" si="124"/>
        <v>0</v>
      </c>
      <c r="T789" s="533">
        <v>35</v>
      </c>
      <c r="U789" s="1072">
        <v>0.83299999999999996</v>
      </c>
      <c r="V789" s="533">
        <v>-4</v>
      </c>
      <c r="W789" s="533"/>
      <c r="X789" s="533"/>
      <c r="Y789" s="533"/>
      <c r="Z789" s="533"/>
      <c r="AA789" s="533"/>
      <c r="AB789" s="533"/>
      <c r="AC789" s="533"/>
      <c r="AD789" s="533"/>
      <c r="AE789" s="533"/>
      <c r="AF789" s="533"/>
      <c r="AG789" s="533"/>
      <c r="AH789" s="533"/>
      <c r="AI789" s="533"/>
      <c r="AJ789" s="1"/>
      <c r="AK789" s="533"/>
      <c r="AL789" s="533"/>
      <c r="AM789" s="533"/>
      <c r="AN789" s="533"/>
      <c r="AO789" s="533"/>
    </row>
    <row r="790" spans="1:41" ht="11.25" hidden="1" customHeight="1" x14ac:dyDescent="0.25">
      <c r="A790" s="215"/>
      <c r="B790" s="104" t="s">
        <v>12</v>
      </c>
      <c r="C790" s="24" t="s">
        <v>848</v>
      </c>
      <c r="D790" s="642"/>
      <c r="E790" s="861"/>
      <c r="F790" s="133"/>
      <c r="G790" s="26"/>
      <c r="H790" s="27"/>
      <c r="I790" s="27"/>
      <c r="J790" s="28">
        <f>IF(VLOOKUP(C790,A!A$1:V$669,18,FALSE)="y",1,0)</f>
        <v>0</v>
      </c>
      <c r="K790" s="28">
        <f>IF(VLOOKUP(C790,A!A$1:V$669,19,FALSE)="y",1,0)</f>
        <v>0</v>
      </c>
      <c r="L790" s="43" t="str">
        <f>IF(VLOOKUP(C790,A!A$1:V$669,17,FALSE)="y","NEW","")</f>
        <v/>
      </c>
      <c r="M790" s="27">
        <f>VLOOKUP(C790,A!A$1:V$669,20,FALSE)</f>
        <v>0</v>
      </c>
      <c r="N790" s="171">
        <v>4</v>
      </c>
      <c r="O790" s="533">
        <f>VLOOKUP(C790,A!A$1:V$669,16,FALSE)</f>
        <v>0</v>
      </c>
      <c r="P790" s="533" t="s">
        <v>859</v>
      </c>
      <c r="Q790" s="533" t="str">
        <f>IF(S790=0,"",COUNTIF(Q$12:Q789,"&gt;0")+1)</f>
        <v/>
      </c>
      <c r="R790" s="533" t="str">
        <f>IF(S790=0,"",COUNTIF(R$12:R789,"&gt;0")+1)</f>
        <v/>
      </c>
      <c r="S790" s="533">
        <f t="shared" si="124"/>
        <v>0</v>
      </c>
      <c r="T790" s="533">
        <v>35</v>
      </c>
      <c r="U790" s="1072">
        <v>0.83299999999999996</v>
      </c>
      <c r="V790" s="533">
        <v>-4</v>
      </c>
      <c r="W790" s="533"/>
      <c r="X790" s="533"/>
      <c r="Y790" s="533"/>
      <c r="Z790" s="533"/>
      <c r="AA790" s="533"/>
      <c r="AB790" s="533"/>
      <c r="AC790" s="533"/>
      <c r="AD790" s="533"/>
      <c r="AE790" s="533"/>
      <c r="AF790" s="533"/>
      <c r="AG790" s="533"/>
      <c r="AH790" s="533"/>
      <c r="AI790" s="533"/>
      <c r="AJ790" s="1"/>
      <c r="AK790" s="533"/>
      <c r="AL790" s="533"/>
      <c r="AM790" s="533"/>
      <c r="AN790" s="533"/>
      <c r="AO790" s="533"/>
    </row>
    <row r="791" spans="1:41" ht="11.25" hidden="1" customHeight="1" x14ac:dyDescent="0.25">
      <c r="A791" s="215"/>
      <c r="B791" s="104" t="s">
        <v>12</v>
      </c>
      <c r="C791" s="24" t="s">
        <v>849</v>
      </c>
      <c r="D791" s="642"/>
      <c r="E791" s="861"/>
      <c r="F791" s="133"/>
      <c r="G791" s="26"/>
      <c r="H791" s="27"/>
      <c r="I791" s="27"/>
      <c r="J791" s="28">
        <f>IF(VLOOKUP(C791,A!A$1:V$669,18,FALSE)="y",1,0)</f>
        <v>0</v>
      </c>
      <c r="K791" s="28">
        <f>IF(VLOOKUP(C791,A!A$1:V$669,19,FALSE)="y",1,0)</f>
        <v>0</v>
      </c>
      <c r="L791" s="43" t="str">
        <f>IF(VLOOKUP(C791,A!A$1:V$669,17,FALSE)="y","NEW","")</f>
        <v/>
      </c>
      <c r="M791" s="27">
        <f>VLOOKUP(C791,A!A$1:V$669,20,FALSE)</f>
        <v>0</v>
      </c>
      <c r="N791" s="171">
        <v>4</v>
      </c>
      <c r="O791" s="533">
        <f>VLOOKUP(C791,A!A$1:V$669,16,FALSE)</f>
        <v>0</v>
      </c>
      <c r="P791" s="533" t="s">
        <v>859</v>
      </c>
      <c r="Q791" s="533" t="str">
        <f>IF(S791=0,"",COUNTIF(Q$12:Q790,"&gt;0")+1)</f>
        <v/>
      </c>
      <c r="R791" s="533" t="str">
        <f>IF(S791=0,"",COUNTIF(R$12:R790,"&gt;0")+1)</f>
        <v/>
      </c>
      <c r="S791" s="533">
        <f t="shared" si="124"/>
        <v>0</v>
      </c>
      <c r="T791" s="533">
        <v>35</v>
      </c>
      <c r="U791" s="1072">
        <v>0.83299999999999996</v>
      </c>
      <c r="V791" s="533">
        <v>-4</v>
      </c>
      <c r="W791" s="533"/>
      <c r="X791" s="533"/>
      <c r="Y791" s="533"/>
      <c r="Z791" s="533"/>
      <c r="AA791" s="533"/>
      <c r="AB791" s="533"/>
      <c r="AC791" s="533"/>
      <c r="AD791" s="533"/>
      <c r="AE791" s="533"/>
      <c r="AF791" s="533"/>
      <c r="AG791" s="533"/>
      <c r="AH791" s="533"/>
      <c r="AI791" s="533"/>
      <c r="AJ791" s="1"/>
      <c r="AK791" s="533"/>
      <c r="AL791" s="533"/>
      <c r="AM791" s="533"/>
      <c r="AN791" s="533"/>
      <c r="AO791" s="533"/>
    </row>
    <row r="792" spans="1:41" ht="11.25" hidden="1" customHeight="1" thickBot="1" x14ac:dyDescent="0.3">
      <c r="A792" s="194"/>
      <c r="B792" s="614" t="s">
        <v>12</v>
      </c>
      <c r="C792" s="174" t="s">
        <v>851</v>
      </c>
      <c r="D792" s="663"/>
      <c r="E792" s="896"/>
      <c r="F792" s="175"/>
      <c r="G792" s="176"/>
      <c r="H792" s="195"/>
      <c r="I792" s="195"/>
      <c r="J792" s="196">
        <f>IF(VLOOKUP(C792,A!A$1:V$669,18,FALSE)="y",1,0)</f>
        <v>0</v>
      </c>
      <c r="K792" s="196">
        <f>IF(VLOOKUP(C792,A!A$1:V$669,19,FALSE)="y",1,0)</f>
        <v>0</v>
      </c>
      <c r="L792" s="197" t="str">
        <f>IF(VLOOKUP(C792,A!A$1:V$669,17,FALSE)="y","NEW","")</f>
        <v/>
      </c>
      <c r="M792" s="195">
        <f>VLOOKUP(C792,A!A$1:V$669,20,FALSE)</f>
        <v>0</v>
      </c>
      <c r="N792" s="177">
        <v>4</v>
      </c>
      <c r="O792" s="533">
        <f>VLOOKUP(C792,A!A$1:V$669,16,FALSE)</f>
        <v>0</v>
      </c>
      <c r="P792" s="533" t="s">
        <v>859</v>
      </c>
      <c r="Q792" s="533" t="str">
        <f>IF(S792=0,"",COUNTIF(Q$12:Q791,"&gt;0")+1)</f>
        <v/>
      </c>
      <c r="R792" s="533" t="str">
        <f>IF(S792=0,"",COUNTIF(R$12:R791,"&gt;0")+1)</f>
        <v/>
      </c>
      <c r="S792" s="533">
        <f t="shared" si="124"/>
        <v>0</v>
      </c>
      <c r="T792" s="533">
        <v>35</v>
      </c>
      <c r="U792" s="1072">
        <v>0.83299999999999996</v>
      </c>
      <c r="V792" s="533">
        <v>-4</v>
      </c>
      <c r="W792" s="533"/>
      <c r="X792" s="533"/>
      <c r="Y792" s="533"/>
      <c r="Z792" s="533"/>
      <c r="AA792" s="533"/>
      <c r="AB792" s="533"/>
      <c r="AC792" s="533"/>
      <c r="AD792" s="533"/>
      <c r="AE792" s="533"/>
      <c r="AF792" s="533"/>
      <c r="AG792" s="533"/>
      <c r="AH792" s="533"/>
      <c r="AI792" s="533"/>
      <c r="AJ792" s="1"/>
      <c r="AK792" s="533"/>
      <c r="AL792" s="533"/>
      <c r="AM792" s="533"/>
      <c r="AN792" s="533"/>
      <c r="AO792" s="533"/>
    </row>
    <row r="793" spans="1:41" ht="11.25" hidden="1" customHeight="1" x14ac:dyDescent="0.25">
      <c r="A793" s="137">
        <f>SUM(A755:A792)</f>
        <v>0</v>
      </c>
      <c r="B793" s="616" t="s">
        <v>12</v>
      </c>
      <c r="C793" s="178" t="s">
        <v>866</v>
      </c>
      <c r="D793" s="661"/>
      <c r="E793" s="885"/>
      <c r="F793" s="164"/>
      <c r="G793" s="164"/>
      <c r="H793" s="164"/>
      <c r="I793" s="164"/>
      <c r="J793" s="164"/>
      <c r="K793" s="164"/>
      <c r="L793" s="179"/>
      <c r="M793" s="164"/>
      <c r="N793" s="180"/>
      <c r="O793" s="1068"/>
      <c r="P793" s="533" t="s">
        <v>859</v>
      </c>
      <c r="Q793" s="533" t="str">
        <f>IF(S793=0,"",COUNTIF(Q$12:Q792,"&gt;0")+1)</f>
        <v/>
      </c>
      <c r="R793" s="533"/>
      <c r="S793" s="533">
        <f t="shared" si="124"/>
        <v>0</v>
      </c>
      <c r="T793" s="533"/>
      <c r="U793" s="533"/>
      <c r="V793" s="533"/>
      <c r="W793" s="533"/>
      <c r="X793" s="533"/>
      <c r="Y793" s="533"/>
      <c r="Z793" s="533"/>
      <c r="AA793" s="533"/>
      <c r="AB793" s="533"/>
      <c r="AC793" s="533"/>
      <c r="AD793" s="533"/>
      <c r="AE793" s="533"/>
      <c r="AF793" s="533"/>
      <c r="AG793" s="533"/>
      <c r="AH793" s="533"/>
      <c r="AI793" s="533"/>
      <c r="AJ793" s="1"/>
      <c r="AK793" s="533"/>
      <c r="AL793" s="533"/>
      <c r="AM793" s="533"/>
      <c r="AN793" s="533"/>
      <c r="AO793" s="533"/>
    </row>
    <row r="794" spans="1:41" ht="13.5" hidden="1" customHeight="1" thickBot="1" x14ac:dyDescent="0.3">
      <c r="A794" s="2"/>
      <c r="L794" s="3"/>
      <c r="M794" s="2"/>
      <c r="P794" s="533"/>
      <c r="Q794" s="533" t="str">
        <f>IF(S794=0,"",COUNTIF(Q$12:Q793,"&gt;0")+1)</f>
        <v/>
      </c>
      <c r="R794" s="533" t="str">
        <f>IF(S794=0,"",COUNTIF(R$12:R793,"&gt;0")+1)</f>
        <v/>
      </c>
      <c r="S794" s="533"/>
      <c r="T794" s="533"/>
      <c r="U794" s="533"/>
      <c r="V794" s="533"/>
      <c r="W794" s="533"/>
      <c r="X794" s="533"/>
      <c r="Y794" s="533"/>
      <c r="Z794" s="533"/>
      <c r="AA794" s="533"/>
      <c r="AB794" s="533"/>
      <c r="AC794" s="533"/>
      <c r="AD794" s="533"/>
      <c r="AE794" s="533"/>
      <c r="AF794" s="533"/>
      <c r="AG794" s="533"/>
      <c r="AH794" s="533"/>
      <c r="AI794" s="533"/>
      <c r="AJ794" s="1"/>
      <c r="AK794" s="533"/>
      <c r="AL794" s="533"/>
      <c r="AM794" s="533"/>
      <c r="AN794" s="533"/>
      <c r="AO794" s="533"/>
    </row>
    <row r="795" spans="1:41" ht="11.25" hidden="1" customHeight="1" x14ac:dyDescent="0.25">
      <c r="A795" s="1239" t="s">
        <v>11</v>
      </c>
      <c r="B795" s="1240"/>
      <c r="C795" s="1208" t="s">
        <v>1147</v>
      </c>
      <c r="D795" s="1209"/>
      <c r="E795" s="1209"/>
      <c r="F795" s="1209"/>
      <c r="G795" s="293"/>
      <c r="H795" s="293"/>
      <c r="I795" s="293"/>
      <c r="J795" s="293"/>
      <c r="K795" s="293"/>
      <c r="L795" s="293"/>
      <c r="M795" s="164"/>
      <c r="N795" s="165"/>
      <c r="P795" s="533"/>
      <c r="Q795" s="533" t="str">
        <f>IF(S795=0,"",COUNTIF(Q$12:Q794,"&gt;0")+1)</f>
        <v/>
      </c>
      <c r="R795" s="533" t="str">
        <f>IF(S795=0,"",COUNTIF(R$12:R794,"&gt;0")+1)</f>
        <v/>
      </c>
      <c r="S795" s="533"/>
      <c r="T795" s="533"/>
      <c r="U795" s="533"/>
      <c r="V795" s="533"/>
      <c r="W795" s="533"/>
      <c r="X795" s="533"/>
      <c r="Y795" s="533"/>
      <c r="Z795" s="533"/>
      <c r="AA795" s="533"/>
      <c r="AB795" s="533"/>
      <c r="AC795" s="533"/>
      <c r="AD795" s="533"/>
      <c r="AE795" s="533"/>
      <c r="AF795" s="533"/>
      <c r="AG795" s="533"/>
      <c r="AH795" s="533"/>
      <c r="AI795" s="533"/>
      <c r="AJ795" s="1"/>
      <c r="AK795" s="533"/>
      <c r="AL795" s="533"/>
      <c r="AM795" s="533"/>
      <c r="AN795" s="533"/>
      <c r="AO795" s="533"/>
    </row>
    <row r="796" spans="1:41" ht="11.25" hidden="1" customHeight="1" thickBot="1" x14ac:dyDescent="0.3">
      <c r="A796" s="1073" t="s">
        <v>682</v>
      </c>
      <c r="B796" s="1074"/>
      <c r="C796" s="1210"/>
      <c r="D796" s="1211"/>
      <c r="E796" s="1211"/>
      <c r="F796" s="1211"/>
      <c r="G796" s="294"/>
      <c r="H796" s="294"/>
      <c r="I796" s="294"/>
      <c r="J796" s="294"/>
      <c r="K796" s="294"/>
      <c r="L796" s="294"/>
      <c r="M796" s="184"/>
      <c r="N796" s="185" t="s">
        <v>16</v>
      </c>
      <c r="O796" s="1070"/>
      <c r="P796" s="533"/>
      <c r="Q796" s="533" t="str">
        <f>IF(S796=0,"",COUNTIF(Q$12:Q795,"&gt;0")+1)</f>
        <v/>
      </c>
      <c r="R796" s="533" t="str">
        <f>IF(S796=0,"",COUNTIF(R$12:R795,"&gt;0")+1)</f>
        <v/>
      </c>
      <c r="S796" s="533"/>
      <c r="T796" s="533"/>
      <c r="U796" s="533"/>
      <c r="V796" s="533"/>
      <c r="W796" s="533"/>
      <c r="X796" s="533"/>
      <c r="Y796" s="533"/>
      <c r="Z796" s="533"/>
      <c r="AA796" s="533"/>
      <c r="AB796" s="533"/>
      <c r="AC796" s="533"/>
      <c r="AD796" s="533"/>
      <c r="AE796" s="533"/>
      <c r="AF796" s="533"/>
      <c r="AG796" s="533"/>
      <c r="AH796" s="533"/>
      <c r="AI796" s="533"/>
      <c r="AJ796" s="1"/>
      <c r="AK796" s="533"/>
      <c r="AL796" s="533"/>
      <c r="AM796" s="533"/>
      <c r="AN796" s="533"/>
      <c r="AO796" s="533"/>
    </row>
    <row r="797" spans="1:41" ht="11.25" hidden="1" customHeight="1" x14ac:dyDescent="0.25">
      <c r="A797" s="167"/>
      <c r="B797" s="209" t="s">
        <v>12</v>
      </c>
      <c r="C797" s="90" t="s">
        <v>762</v>
      </c>
      <c r="D797" s="648"/>
      <c r="E797" s="867"/>
      <c r="F797" s="168"/>
      <c r="G797" s="93" t="s">
        <v>874</v>
      </c>
      <c r="H797" s="80"/>
      <c r="I797" s="80"/>
      <c r="J797" s="28">
        <f>IF(VLOOKUP(C797,A!A$1:H$669,4,FALSE)="y",1,0)</f>
        <v>0</v>
      </c>
      <c r="K797" s="28">
        <f>IF(VLOOKUP(C797,A!A$1:H$669,5,FALSE)="y",1,0)</f>
        <v>0</v>
      </c>
      <c r="L797" s="79" t="str">
        <f>IF(VLOOKUP(C797,A!A$1:H$669,3,FALSE)="y","NEW","")</f>
        <v/>
      </c>
      <c r="M797" s="80">
        <f>VLOOKUP(C797,A!A$1:H$669,6,FALSE)</f>
        <v>0</v>
      </c>
      <c r="N797" s="169">
        <v>4</v>
      </c>
      <c r="O797" s="533">
        <f>VLOOKUP(C797,A!A$1:G$669,2,FALSE)</f>
        <v>0</v>
      </c>
      <c r="P797" s="533" t="s">
        <v>875</v>
      </c>
      <c r="Q797" s="533" t="str">
        <f>IF(S797=0,"",COUNTIF(Q$12:Q796,"&gt;0")+1)</f>
        <v/>
      </c>
      <c r="R797" s="533" t="str">
        <f>IF(S797=0,"",COUNTIF(R$12:R796,"&gt;0")+1)</f>
        <v/>
      </c>
      <c r="S797" s="533">
        <f t="shared" ref="S797:S802" si="125">A797</f>
        <v>0</v>
      </c>
      <c r="T797" s="533">
        <v>50</v>
      </c>
      <c r="U797" s="533">
        <v>0.3</v>
      </c>
      <c r="V797" s="533">
        <v>-4</v>
      </c>
      <c r="W797" s="533"/>
      <c r="X797" s="533"/>
      <c r="Y797" s="533"/>
      <c r="Z797" s="533"/>
      <c r="AA797" s="533"/>
      <c r="AB797" s="533"/>
      <c r="AC797" s="533"/>
      <c r="AD797" s="533"/>
      <c r="AE797" s="533"/>
      <c r="AF797" s="533"/>
      <c r="AG797" s="533"/>
      <c r="AH797" s="533"/>
      <c r="AI797" s="533"/>
      <c r="AJ797" s="1"/>
      <c r="AK797" s="533"/>
      <c r="AL797" s="533"/>
      <c r="AM797" s="533"/>
      <c r="AN797" s="533"/>
      <c r="AO797" s="533"/>
    </row>
    <row r="798" spans="1:41" ht="11.25" hidden="1" customHeight="1" x14ac:dyDescent="0.25">
      <c r="A798" s="170"/>
      <c r="B798" s="104" t="s">
        <v>12</v>
      </c>
      <c r="C798" s="24" t="s">
        <v>765</v>
      </c>
      <c r="D798" s="642"/>
      <c r="E798" s="861"/>
      <c r="F798" s="133"/>
      <c r="G798" s="26" t="s">
        <v>870</v>
      </c>
      <c r="H798" s="27"/>
      <c r="I798" s="27"/>
      <c r="J798" s="28">
        <f>IF(VLOOKUP(C798,A!A$1:H$669,4,FALSE)="y",1,0)</f>
        <v>0</v>
      </c>
      <c r="K798" s="28">
        <f>IF(VLOOKUP(C798,A!A$1:H$669,5,FALSE)="y",1,0)</f>
        <v>0</v>
      </c>
      <c r="L798" s="79" t="str">
        <f>IF(VLOOKUP(C798,A!A$1:H$669,3,FALSE)="y","NEW","")</f>
        <v/>
      </c>
      <c r="M798" s="80">
        <f>VLOOKUP(C798,A!A$1:H$669,6,FALSE)</f>
        <v>0</v>
      </c>
      <c r="N798" s="171">
        <v>4</v>
      </c>
      <c r="O798" s="533" t="str">
        <f>VLOOKUP(C798,A!A$1:G$669,2,FALSE)</f>
        <v>y</v>
      </c>
      <c r="P798" s="533" t="s">
        <v>875</v>
      </c>
      <c r="Q798" s="533" t="str">
        <f>IF(S798=0,"",COUNTIF(Q$12:Q797,"&gt;0")+1)</f>
        <v/>
      </c>
      <c r="R798" s="533" t="str">
        <f>IF(S798=0,"",COUNTIF(R$12:R797,"&gt;0")+1)</f>
        <v/>
      </c>
      <c r="S798" s="533">
        <f t="shared" si="125"/>
        <v>0</v>
      </c>
      <c r="T798" s="533">
        <v>50</v>
      </c>
      <c r="U798" s="533">
        <v>0.3</v>
      </c>
      <c r="V798" s="533">
        <v>-4</v>
      </c>
      <c r="W798" s="533"/>
      <c r="X798" s="533"/>
      <c r="Y798" s="533"/>
      <c r="Z798" s="533"/>
      <c r="AA798" s="533"/>
      <c r="AB798" s="533"/>
      <c r="AC798" s="533"/>
      <c r="AD798" s="533"/>
      <c r="AE798" s="533"/>
      <c r="AF798" s="533"/>
      <c r="AG798" s="533"/>
      <c r="AH798" s="533"/>
      <c r="AI798" s="533"/>
      <c r="AJ798" s="1"/>
      <c r="AK798" s="533"/>
      <c r="AL798" s="533"/>
      <c r="AM798" s="533"/>
      <c r="AN798" s="533"/>
      <c r="AO798" s="533"/>
    </row>
    <row r="799" spans="1:41" ht="11.25" hidden="1" customHeight="1" x14ac:dyDescent="0.25">
      <c r="A799" s="170"/>
      <c r="B799" s="104" t="s">
        <v>12</v>
      </c>
      <c r="C799" s="24" t="s">
        <v>766</v>
      </c>
      <c r="D799" s="642"/>
      <c r="E799" s="861"/>
      <c r="F799" s="133"/>
      <c r="G799" s="26" t="s">
        <v>871</v>
      </c>
      <c r="H799" s="27"/>
      <c r="I799" s="27"/>
      <c r="J799" s="28">
        <f>IF(VLOOKUP(C799,A!A$1:H$669,4,FALSE)="y",1,0)</f>
        <v>0</v>
      </c>
      <c r="K799" s="28">
        <f>IF(VLOOKUP(C799,A!A$1:H$669,5,FALSE)="y",1,0)</f>
        <v>0</v>
      </c>
      <c r="L799" s="79" t="str">
        <f>IF(VLOOKUP(C799,A!A$1:H$669,3,FALSE)="y","NEW","")</f>
        <v/>
      </c>
      <c r="M799" s="80">
        <f>VLOOKUP(C799,A!A$1:H$669,6,FALSE)</f>
        <v>0</v>
      </c>
      <c r="N799" s="171">
        <v>4</v>
      </c>
      <c r="O799" s="533" t="str">
        <f>VLOOKUP(C799,A!A$1:G$669,2,FALSE)</f>
        <v>y</v>
      </c>
      <c r="P799" s="533" t="s">
        <v>875</v>
      </c>
      <c r="Q799" s="533" t="str">
        <f>IF(S799=0,"",COUNTIF(Q$12:Q798,"&gt;0")+1)</f>
        <v/>
      </c>
      <c r="R799" s="533" t="str">
        <f>IF(S799=0,"",COUNTIF(R$12:R798,"&gt;0")+1)</f>
        <v/>
      </c>
      <c r="S799" s="533">
        <f t="shared" si="125"/>
        <v>0</v>
      </c>
      <c r="T799" s="533">
        <v>50</v>
      </c>
      <c r="U799" s="533">
        <v>0.3</v>
      </c>
      <c r="V799" s="533">
        <v>-4</v>
      </c>
      <c r="W799" s="533"/>
      <c r="X799" s="533"/>
      <c r="Y799" s="533"/>
      <c r="Z799" s="533"/>
      <c r="AA799" s="533"/>
      <c r="AB799" s="533"/>
      <c r="AC799" s="533"/>
      <c r="AD799" s="533"/>
      <c r="AE799" s="533"/>
      <c r="AF799" s="533"/>
      <c r="AG799" s="533"/>
      <c r="AH799" s="533"/>
      <c r="AI799" s="533"/>
      <c r="AJ799" s="1"/>
      <c r="AK799" s="533"/>
      <c r="AL799" s="533"/>
      <c r="AM799" s="533"/>
      <c r="AN799" s="533"/>
      <c r="AO799" s="533"/>
    </row>
    <row r="800" spans="1:41" ht="11.25" hidden="1" customHeight="1" x14ac:dyDescent="0.25">
      <c r="A800" s="170"/>
      <c r="B800" s="104" t="s">
        <v>12</v>
      </c>
      <c r="C800" s="24" t="s">
        <v>767</v>
      </c>
      <c r="D800" s="642"/>
      <c r="E800" s="861"/>
      <c r="F800" s="133"/>
      <c r="G800" s="26" t="s">
        <v>872</v>
      </c>
      <c r="H800" s="27"/>
      <c r="I800" s="27"/>
      <c r="J800" s="28">
        <f>IF(VLOOKUP(C800,A!A$1:H$669,4,FALSE)="y",1,0)</f>
        <v>0</v>
      </c>
      <c r="K800" s="28">
        <f>IF(VLOOKUP(C800,A!A$1:H$669,5,FALSE)="y",1,0)</f>
        <v>0</v>
      </c>
      <c r="L800" s="79" t="str">
        <f>IF(VLOOKUP(C800,A!A$1:H$669,3,FALSE)="y","NEW","")</f>
        <v/>
      </c>
      <c r="M800" s="80">
        <f>VLOOKUP(C800,A!A$1:H$669,6,FALSE)</f>
        <v>0</v>
      </c>
      <c r="N800" s="171">
        <v>4</v>
      </c>
      <c r="O800" s="533" t="str">
        <f>VLOOKUP(C800,A!A$1:G$669,2,FALSE)</f>
        <v>y</v>
      </c>
      <c r="P800" s="533" t="s">
        <v>875</v>
      </c>
      <c r="Q800" s="533" t="str">
        <f>IF(S800=0,"",COUNTIF(Q$12:Q799,"&gt;0")+1)</f>
        <v/>
      </c>
      <c r="R800" s="533" t="str">
        <f>IF(S800=0,"",COUNTIF(R$12:R799,"&gt;0")+1)</f>
        <v/>
      </c>
      <c r="S800" s="533">
        <f t="shared" si="125"/>
        <v>0</v>
      </c>
      <c r="T800" s="533">
        <v>50</v>
      </c>
      <c r="U800" s="533">
        <v>0.3</v>
      </c>
      <c r="V800" s="533">
        <v>-4</v>
      </c>
      <c r="W800" s="533"/>
      <c r="X800" s="533"/>
      <c r="Y800" s="533"/>
      <c r="Z800" s="533"/>
      <c r="AA800" s="533"/>
      <c r="AB800" s="533"/>
      <c r="AC800" s="533"/>
      <c r="AD800" s="533"/>
      <c r="AE800" s="533"/>
      <c r="AF800" s="533"/>
      <c r="AG800" s="533"/>
      <c r="AH800" s="533"/>
      <c r="AI800" s="533"/>
      <c r="AJ800" s="1"/>
      <c r="AK800" s="533"/>
      <c r="AL800" s="533"/>
      <c r="AM800" s="533"/>
      <c r="AN800" s="533"/>
      <c r="AO800" s="533"/>
    </row>
    <row r="801" spans="1:41" ht="11.25" hidden="1" customHeight="1" thickBot="1" x14ac:dyDescent="0.3">
      <c r="A801" s="201"/>
      <c r="B801" s="614" t="s">
        <v>12</v>
      </c>
      <c r="C801" s="174" t="s">
        <v>768</v>
      </c>
      <c r="D801" s="664"/>
      <c r="E801" s="887"/>
      <c r="F801" s="216"/>
      <c r="G801" s="217" t="s">
        <v>873</v>
      </c>
      <c r="H801" s="195"/>
      <c r="I801" s="195"/>
      <c r="J801" s="196">
        <f>IF(VLOOKUP(C801,A!A$1:H$669,4,FALSE)="y",1,0)</f>
        <v>0</v>
      </c>
      <c r="K801" s="196">
        <f>IF(VLOOKUP(C801,A!A$1:H$669,5,FALSE)="y",1,0)</f>
        <v>0</v>
      </c>
      <c r="L801" s="197" t="str">
        <f>IF(VLOOKUP(C801,A!A$1:H$669,3,FALSE)="y","NEW","")</f>
        <v/>
      </c>
      <c r="M801" s="195">
        <f>VLOOKUP(C801,A!A$1:H$669,6,FALSE)</f>
        <v>0</v>
      </c>
      <c r="N801" s="177">
        <v>4</v>
      </c>
      <c r="O801" s="533" t="str">
        <f>VLOOKUP(C801,A!A$1:G$669,2,FALSE)</f>
        <v>y</v>
      </c>
      <c r="P801" s="533" t="s">
        <v>875</v>
      </c>
      <c r="Q801" s="533" t="str">
        <f>IF(S801=0,"",COUNTIF(Q$12:Q800,"&gt;0")+1)</f>
        <v/>
      </c>
      <c r="R801" s="533" t="str">
        <f>IF(S801=0,"",COUNTIF(R$12:R800,"&gt;0")+1)</f>
        <v/>
      </c>
      <c r="S801" s="533">
        <f t="shared" si="125"/>
        <v>0</v>
      </c>
      <c r="T801" s="533">
        <v>50</v>
      </c>
      <c r="U801" s="533">
        <v>0.3</v>
      </c>
      <c r="V801" s="533">
        <v>-4</v>
      </c>
      <c r="W801" s="533"/>
      <c r="X801" s="533"/>
      <c r="Y801" s="533"/>
      <c r="Z801" s="533"/>
      <c r="AA801" s="533"/>
      <c r="AB801" s="533"/>
      <c r="AC801" s="533"/>
      <c r="AD801" s="533"/>
      <c r="AE801" s="533"/>
      <c r="AF801" s="533"/>
      <c r="AG801" s="533"/>
      <c r="AH801" s="533"/>
      <c r="AI801" s="533"/>
      <c r="AJ801" s="1"/>
      <c r="AK801" s="533"/>
      <c r="AL801" s="533"/>
      <c r="AM801" s="533"/>
      <c r="AN801" s="533"/>
      <c r="AO801" s="533"/>
    </row>
    <row r="802" spans="1:41" ht="11.25" hidden="1" customHeight="1" x14ac:dyDescent="0.25">
      <c r="A802" s="23">
        <f>SUM(A797:A801)</f>
        <v>0</v>
      </c>
      <c r="B802" s="601" t="s">
        <v>12</v>
      </c>
      <c r="C802" s="96" t="s">
        <v>876</v>
      </c>
      <c r="L802" s="3"/>
      <c r="M802" s="2"/>
      <c r="N802" s="134"/>
      <c r="O802" s="1068"/>
      <c r="P802" s="533" t="s">
        <v>875</v>
      </c>
      <c r="Q802" s="533" t="str">
        <f>IF(S802=0,"",COUNTIF(Q$12:Q801,"&gt;0")+1)</f>
        <v/>
      </c>
      <c r="R802" s="533"/>
      <c r="S802" s="533">
        <f t="shared" si="125"/>
        <v>0</v>
      </c>
      <c r="T802" s="533"/>
      <c r="U802" s="533"/>
      <c r="V802" s="533"/>
      <c r="W802" s="533"/>
      <c r="X802" s="533"/>
      <c r="Y802" s="533"/>
      <c r="Z802" s="533"/>
      <c r="AA802" s="533"/>
      <c r="AB802" s="533"/>
      <c r="AC802" s="533"/>
      <c r="AD802" s="533"/>
      <c r="AE802" s="533"/>
      <c r="AF802" s="533"/>
      <c r="AG802" s="533"/>
      <c r="AH802" s="533"/>
      <c r="AI802" s="533"/>
      <c r="AJ802" s="1"/>
      <c r="AK802" s="533"/>
      <c r="AL802" s="533"/>
      <c r="AM802" s="533"/>
      <c r="AN802" s="533"/>
      <c r="AO802" s="533"/>
    </row>
    <row r="803" spans="1:41" ht="11.25" hidden="1" customHeight="1" thickBot="1" x14ac:dyDescent="0.3">
      <c r="A803" s="2"/>
      <c r="L803" s="3"/>
      <c r="M803" s="2"/>
      <c r="P803" s="533"/>
      <c r="Q803" s="533" t="str">
        <f>IF(S803=0,"",COUNTIF(Q$12:Q802,"&gt;0")+1)</f>
        <v/>
      </c>
      <c r="R803" s="533" t="str">
        <f>IF(S803=0,"",COUNTIF(R$12:R802,"&gt;0")+1)</f>
        <v/>
      </c>
      <c r="S803" s="533"/>
      <c r="T803" s="533"/>
      <c r="U803" s="533"/>
      <c r="V803" s="533"/>
      <c r="W803" s="533"/>
      <c r="X803" s="533"/>
      <c r="Y803" s="533"/>
      <c r="Z803" s="533"/>
      <c r="AA803" s="533"/>
      <c r="AB803" s="533"/>
      <c r="AC803" s="533"/>
      <c r="AD803" s="533"/>
      <c r="AE803" s="533"/>
      <c r="AF803" s="533"/>
      <c r="AG803" s="533"/>
      <c r="AH803" s="533"/>
      <c r="AI803" s="533"/>
      <c r="AJ803" s="1"/>
      <c r="AK803" s="533"/>
      <c r="AL803" s="533"/>
      <c r="AM803" s="533"/>
      <c r="AN803" s="533"/>
      <c r="AO803" s="533"/>
    </row>
    <row r="804" spans="1:41" ht="11.25" customHeight="1" x14ac:dyDescent="0.25">
      <c r="A804" s="1239" t="s">
        <v>11</v>
      </c>
      <c r="B804" s="1240"/>
      <c r="C804" s="1234" t="s">
        <v>1282</v>
      </c>
      <c r="D804" s="1209"/>
      <c r="E804" s="1209"/>
      <c r="F804" s="1209"/>
      <c r="G804" s="1194" t="s">
        <v>507</v>
      </c>
      <c r="H804" s="181" t="s">
        <v>893</v>
      </c>
      <c r="I804" s="181"/>
      <c r="J804" s="181"/>
      <c r="K804" s="181"/>
      <c r="L804" s="181"/>
      <c r="M804" s="181"/>
      <c r="N804" s="182"/>
      <c r="P804" s="533"/>
      <c r="Q804" s="533" t="str">
        <f>IF(S804=0,"",COUNTIF(Q$12:Q803,"&gt;0")+1)</f>
        <v/>
      </c>
      <c r="R804" s="533" t="str">
        <f>IF(S804=0,"",COUNTIF(R$12:R803,"&gt;0")+1)</f>
        <v/>
      </c>
      <c r="S804" s="533"/>
      <c r="T804" s="533"/>
      <c r="U804" s="533"/>
      <c r="V804" s="533"/>
      <c r="W804" s="533"/>
      <c r="X804" s="533"/>
      <c r="Y804" s="533"/>
      <c r="Z804" s="533"/>
      <c r="AA804" s="533"/>
      <c r="AB804" s="533">
        <f>ROUNDDOWN(AB806/COUNTIF(O807:O814,"y"),0)</f>
        <v>0</v>
      </c>
      <c r="AC804" s="533"/>
      <c r="AD804" s="533"/>
      <c r="AE804" s="533"/>
      <c r="AF804" s="533"/>
      <c r="AG804" s="533"/>
      <c r="AH804" s="533"/>
      <c r="AI804" s="533"/>
      <c r="AJ804" s="1"/>
      <c r="AK804" s="533"/>
      <c r="AL804" s="533"/>
      <c r="AM804" s="533"/>
      <c r="AN804" s="533"/>
      <c r="AO804" s="533"/>
    </row>
    <row r="805" spans="1:41" ht="11.25" customHeight="1" thickBot="1" x14ac:dyDescent="0.3">
      <c r="A805" s="1073" t="s">
        <v>1846</v>
      </c>
      <c r="B805" s="1074"/>
      <c r="C805" s="1210"/>
      <c r="D805" s="1211"/>
      <c r="E805" s="1211"/>
      <c r="F805" s="1211"/>
      <c r="G805" s="1195"/>
      <c r="H805" s="183" t="s">
        <v>15</v>
      </c>
      <c r="I805" s="184"/>
      <c r="J805" s="184"/>
      <c r="K805" s="184"/>
      <c r="L805" s="206"/>
      <c r="M805" s="184"/>
      <c r="N805" s="185" t="s">
        <v>16</v>
      </c>
      <c r="O805" s="1068"/>
      <c r="P805" s="533"/>
      <c r="Q805" s="533" t="str">
        <f>IF(S805=0,"",COUNTIF(Q$12:Q804,"&gt;0")+1)</f>
        <v/>
      </c>
      <c r="R805" s="533" t="str">
        <f>IF(S805=0,"",COUNTIF(R$12:R804,"&gt;0")+1)</f>
        <v/>
      </c>
      <c r="S805" s="533"/>
      <c r="T805" s="533"/>
      <c r="U805" s="533"/>
      <c r="V805" s="533"/>
      <c r="W805" s="533"/>
      <c r="X805" s="533"/>
      <c r="Y805" s="533"/>
      <c r="Z805" s="533"/>
      <c r="AA805" s="533"/>
      <c r="AB805" s="533">
        <f>AB806-COUNTIF(O807:O814,"y")*AB804</f>
        <v>0</v>
      </c>
      <c r="AC805" s="533"/>
      <c r="AD805" s="533"/>
      <c r="AE805" s="533"/>
      <c r="AF805" s="533"/>
      <c r="AG805" s="533"/>
      <c r="AH805" s="533"/>
      <c r="AI805" s="533"/>
      <c r="AJ805" s="1"/>
      <c r="AK805" s="533"/>
      <c r="AL805" s="533"/>
      <c r="AM805" s="533"/>
      <c r="AN805" s="533"/>
      <c r="AO805" s="533"/>
    </row>
    <row r="806" spans="1:41" x14ac:dyDescent="0.25">
      <c r="A806" s="167"/>
      <c r="B806" s="209" t="s">
        <v>1136</v>
      </c>
      <c r="C806" s="702" t="s">
        <v>877</v>
      </c>
      <c r="D806" s="648"/>
      <c r="E806" s="867"/>
      <c r="F806" s="92" t="s">
        <v>772</v>
      </c>
      <c r="G806" s="93" t="s">
        <v>772</v>
      </c>
      <c r="H806" s="219"/>
      <c r="I806" s="80"/>
      <c r="J806" s="213">
        <f>IF(VLOOKUP(C806,A!A$1:O$669,11,FALSE)="y",1,0)</f>
        <v>1</v>
      </c>
      <c r="K806" s="213">
        <f>IF(VLOOKUP(C806,A!A$1:O$669,12,FALSE)="y",1,0)</f>
        <v>0</v>
      </c>
      <c r="L806" s="79"/>
      <c r="M806" s="80">
        <f>VLOOKUP(C806,A!A$1:O$669,13,FALSE)</f>
        <v>0</v>
      </c>
      <c r="N806" s="169">
        <v>4</v>
      </c>
      <c r="O806" s="533" t="str">
        <f>VLOOKUP(C806,A!A$1:O$669,9,FALSE)</f>
        <v>y</v>
      </c>
      <c r="P806" s="533" t="s">
        <v>894</v>
      </c>
      <c r="Q806" s="533"/>
      <c r="R806" s="533"/>
      <c r="S806" s="533">
        <f>A806+Y806</f>
        <v>0</v>
      </c>
      <c r="T806" s="533">
        <v>35</v>
      </c>
      <c r="U806" s="533">
        <v>0.08</v>
      </c>
      <c r="V806" s="533">
        <v>-3</v>
      </c>
      <c r="W806" s="533"/>
      <c r="X806" s="533"/>
      <c r="Y806" s="533">
        <f>A19*4+A21*4</f>
        <v>0</v>
      </c>
      <c r="Z806" s="533"/>
      <c r="AA806" s="533"/>
      <c r="AB806" s="533">
        <f>S806</f>
        <v>0</v>
      </c>
      <c r="AC806" s="533"/>
      <c r="AD806" s="533"/>
      <c r="AE806" s="533"/>
      <c r="AF806" s="533"/>
      <c r="AG806" s="533"/>
      <c r="AH806" s="533"/>
      <c r="AI806" s="533"/>
      <c r="AJ806" s="1"/>
      <c r="AK806" s="533"/>
      <c r="AL806" s="533"/>
      <c r="AM806" s="533"/>
      <c r="AN806" s="533"/>
      <c r="AO806" s="533"/>
    </row>
    <row r="807" spans="1:41" ht="13.5" customHeight="1" x14ac:dyDescent="0.25">
      <c r="A807" s="170"/>
      <c r="B807" s="104" t="s">
        <v>1136</v>
      </c>
      <c r="C807" s="695" t="s">
        <v>878</v>
      </c>
      <c r="D807" s="727"/>
      <c r="E807" s="828"/>
      <c r="F807" s="46" t="s">
        <v>879</v>
      </c>
      <c r="G807" s="26" t="s">
        <v>752</v>
      </c>
      <c r="H807" s="27">
        <f>VLOOKUP(C807,A!A$1:O$669,15,FALSE)</f>
        <v>1</v>
      </c>
      <c r="I807" s="27"/>
      <c r="J807" s="28">
        <f>IF(VLOOKUP(C807,A!A$1:O$669,11,FALSE)="y",1,0)</f>
        <v>1</v>
      </c>
      <c r="K807" s="28">
        <f>IF(VLOOKUP(C807,A!A$1:O$669,12,FALSE)="y",1,0)</f>
        <v>0</v>
      </c>
      <c r="L807" s="544"/>
      <c r="M807" s="80">
        <f>VLOOKUP(C807,A!A$1:O$669,13,FALSE)</f>
        <v>0</v>
      </c>
      <c r="N807" s="171">
        <v>4</v>
      </c>
      <c r="O807" s="533" t="str">
        <f>VLOOKUP(C807,A!A$1:O$669,9,FALSE)</f>
        <v>y</v>
      </c>
      <c r="P807" s="533" t="s">
        <v>894</v>
      </c>
      <c r="Q807" s="533" t="str">
        <f>IF(S807=0,"",COUNTIF(Q$12:Q806,"&gt;0")+1)</f>
        <v/>
      </c>
      <c r="R807" s="533" t="str">
        <f>IF(S807=0,"",COUNTIF(R$12:R806,"&gt;0")+1)</f>
        <v/>
      </c>
      <c r="S807" s="533">
        <f>A807+AB807+AC807+AD807+AE807</f>
        <v>0</v>
      </c>
      <c r="T807" s="533">
        <v>35</v>
      </c>
      <c r="U807" s="533">
        <v>0.08</v>
      </c>
      <c r="V807" s="533">
        <v>-3</v>
      </c>
      <c r="W807" s="533"/>
      <c r="X807" s="533"/>
      <c r="Y807" s="533"/>
      <c r="Z807" s="533">
        <f t="shared" ref="Z807:Z814" si="126">IFERROR(IF(O807="y",H807*-100-A807*1000-T807,""),"")</f>
        <v>-135</v>
      </c>
      <c r="AA807" s="533">
        <f>IFERROR(RANK(Z807,Z$807:Z$814,0)+COUNTIF(Z$807:Z807,Z807)-1,"")</f>
        <v>1</v>
      </c>
      <c r="AB807" s="533">
        <f>IF(AA807&lt;=AB$805,1,0)+IF(O807="y",AB$804,0)</f>
        <v>0</v>
      </c>
      <c r="AC807" s="533"/>
      <c r="AD807" s="533"/>
      <c r="AE807" s="533"/>
      <c r="AF807" s="533"/>
      <c r="AG807" s="533"/>
      <c r="AH807" s="533"/>
      <c r="AI807" s="533"/>
      <c r="AJ807" s="1"/>
      <c r="AK807" s="533"/>
      <c r="AL807" s="533"/>
      <c r="AM807" s="533"/>
      <c r="AN807" s="533"/>
      <c r="AO807" s="533"/>
    </row>
    <row r="808" spans="1:41" ht="11.25" hidden="1" customHeight="1" x14ac:dyDescent="0.25">
      <c r="A808" s="170"/>
      <c r="B808" s="104" t="s">
        <v>12</v>
      </c>
      <c r="C808" s="696" t="s">
        <v>880</v>
      </c>
      <c r="D808" s="642"/>
      <c r="E808" s="861"/>
      <c r="F808" s="46" t="s">
        <v>881</v>
      </c>
      <c r="G808" s="26"/>
      <c r="H808" s="102">
        <f>VLOOKUP(C808,A!A$1:O$669,15,FALSE)</f>
        <v>3</v>
      </c>
      <c r="I808" s="27"/>
      <c r="J808" s="28">
        <f>IF(VLOOKUP(C808,A!A$1:O$669,11,FALSE)="y",1,0)</f>
        <v>0</v>
      </c>
      <c r="K808" s="28">
        <f>IF(VLOOKUP(C808,A!A$1:O$669,12,FALSE)="y",1,0)</f>
        <v>0</v>
      </c>
      <c r="L808" s="544"/>
      <c r="M808" s="80">
        <f>VLOOKUP(C808,A!A$1:O$669,13,FALSE)</f>
        <v>0</v>
      </c>
      <c r="N808" s="171">
        <v>4</v>
      </c>
      <c r="O808" s="533">
        <f>VLOOKUP(C808,A!A$1:O$669,9,FALSE)</f>
        <v>0</v>
      </c>
      <c r="P808" s="533" t="s">
        <v>894</v>
      </c>
      <c r="Q808" s="533" t="str">
        <f>IF(S808=0,"",COUNTIF(Q$12:Q807,"&gt;0")+1)</f>
        <v/>
      </c>
      <c r="R808" s="533" t="str">
        <f>IF(S808=0,"",COUNTIF(R$12:R807,"&gt;0")+1)</f>
        <v/>
      </c>
      <c r="S808" s="533">
        <f t="shared" ref="S808:S814" si="127">A808+AB808+AC808+AD808+AE808</f>
        <v>0</v>
      </c>
      <c r="T808" s="533">
        <v>35</v>
      </c>
      <c r="U808" s="533">
        <v>0.08</v>
      </c>
      <c r="V808" s="533">
        <v>-3</v>
      </c>
      <c r="W808" s="533"/>
      <c r="X808" s="533"/>
      <c r="Y808" s="533"/>
      <c r="Z808" s="533" t="str">
        <f t="shared" si="126"/>
        <v/>
      </c>
      <c r="AA808" s="533" t="str">
        <f>IFERROR(RANK(Z808,Z$807:Z$814,0)+COUNTIF(Z$807:Z808,Z808)-1,"")</f>
        <v/>
      </c>
      <c r="AB808" s="533">
        <f t="shared" ref="AB808:AB814" si="128">IF(AA808&lt;=AB$805,1,0)+IF(O808="y",AB$804,0)</f>
        <v>0</v>
      </c>
      <c r="AC808" s="533"/>
      <c r="AD808" s="533"/>
      <c r="AE808" s="533"/>
      <c r="AF808" s="533"/>
      <c r="AG808" s="533"/>
      <c r="AH808" s="533"/>
      <c r="AI808" s="533"/>
      <c r="AJ808" s="1"/>
      <c r="AK808" s="533"/>
      <c r="AL808" s="533"/>
      <c r="AM808" s="533"/>
      <c r="AN808" s="533"/>
      <c r="AO808" s="533"/>
    </row>
    <row r="809" spans="1:41" ht="13.5" customHeight="1" x14ac:dyDescent="0.25">
      <c r="A809" s="170"/>
      <c r="B809" s="104" t="s">
        <v>1136</v>
      </c>
      <c r="C809" s="696" t="s">
        <v>882</v>
      </c>
      <c r="D809" s="642"/>
      <c r="E809" s="861"/>
      <c r="F809" s="46" t="s">
        <v>883</v>
      </c>
      <c r="G809" s="26" t="s">
        <v>884</v>
      </c>
      <c r="H809" s="27">
        <f>VLOOKUP(C809,A!A$1:O$669,15,FALSE)</f>
        <v>2</v>
      </c>
      <c r="I809" s="27"/>
      <c r="J809" s="28">
        <f>IF(VLOOKUP(C809,A!A$1:O$669,11,FALSE)="y",1,0)</f>
        <v>1</v>
      </c>
      <c r="K809" s="28">
        <f>IF(VLOOKUP(C809,A!A$1:O$669,12,FALSE)="y",1,0)</f>
        <v>0</v>
      </c>
      <c r="L809" s="544"/>
      <c r="M809" s="80">
        <f>VLOOKUP(C809,A!A$1:O$669,13,FALSE)</f>
        <v>0</v>
      </c>
      <c r="N809" s="171">
        <v>4</v>
      </c>
      <c r="O809" s="533" t="str">
        <f>VLOOKUP(C809,A!A$1:O$669,9,FALSE)</f>
        <v>y</v>
      </c>
      <c r="P809" s="533" t="s">
        <v>894</v>
      </c>
      <c r="Q809" s="533" t="str">
        <f>IF(S809=0,"",COUNTIF(Q$12:Q808,"&gt;0")+1)</f>
        <v/>
      </c>
      <c r="R809" s="533" t="str">
        <f>IF(S809=0,"",COUNTIF(R$12:R808,"&gt;0")+1)</f>
        <v/>
      </c>
      <c r="S809" s="533">
        <f t="shared" si="127"/>
        <v>0</v>
      </c>
      <c r="T809" s="533">
        <v>35</v>
      </c>
      <c r="U809" s="533">
        <v>0.08</v>
      </c>
      <c r="V809" s="533">
        <v>-3</v>
      </c>
      <c r="W809" s="533"/>
      <c r="X809" s="533"/>
      <c r="Y809" s="533"/>
      <c r="Z809" s="533">
        <f t="shared" si="126"/>
        <v>-235</v>
      </c>
      <c r="AA809" s="533">
        <f>IFERROR(RANK(Z809,Z$807:Z$814,0)+COUNTIF(Z$807:Z809,Z809)-1,"")</f>
        <v>4</v>
      </c>
      <c r="AB809" s="533">
        <f t="shared" si="128"/>
        <v>0</v>
      </c>
      <c r="AC809" s="533"/>
      <c r="AD809" s="533"/>
      <c r="AE809" s="533"/>
      <c r="AF809" s="533"/>
      <c r="AG809" s="533"/>
      <c r="AH809" s="533"/>
      <c r="AI809" s="533"/>
      <c r="AJ809" s="1"/>
      <c r="AK809" s="533"/>
      <c r="AL809" s="533"/>
      <c r="AM809" s="533"/>
      <c r="AN809" s="533"/>
      <c r="AO809" s="533"/>
    </row>
    <row r="810" spans="1:41" ht="12.75" hidden="1" customHeight="1" x14ac:dyDescent="0.25">
      <c r="A810" s="170"/>
      <c r="B810" s="104" t="s">
        <v>1136</v>
      </c>
      <c r="C810" s="695" t="s">
        <v>885</v>
      </c>
      <c r="D810" s="728"/>
      <c r="E810" s="711"/>
      <c r="F810" s="46" t="s">
        <v>886</v>
      </c>
      <c r="G810" s="26" t="s">
        <v>887</v>
      </c>
      <c r="H810" s="27">
        <v>1</v>
      </c>
      <c r="I810" s="27"/>
      <c r="J810" s="28">
        <f>IF(VLOOKUP(C810,A!A$1:O$669,11,FALSE)="y",1,0)</f>
        <v>0</v>
      </c>
      <c r="K810" s="28">
        <f>IF(VLOOKUP(C810,A!A$1:O$669,12,FALSE)="y",1,0)</f>
        <v>0</v>
      </c>
      <c r="L810" s="43"/>
      <c r="M810" s="80">
        <f>VLOOKUP(C810,A!A$1:O$669,13,FALSE)</f>
        <v>0</v>
      </c>
      <c r="N810" s="171">
        <v>4</v>
      </c>
      <c r="O810" s="533">
        <f>VLOOKUP(C810,A!A$1:O$669,9,FALSE)</f>
        <v>0</v>
      </c>
      <c r="P810" s="533" t="s">
        <v>894</v>
      </c>
      <c r="Q810" s="533" t="str">
        <f>IF(S810=0,"",COUNTIF(Q$12:Q809,"&gt;0")+1)</f>
        <v/>
      </c>
      <c r="R810" s="533" t="str">
        <f>IF(S810=0,"",COUNTIF(R$12:R809,"&gt;0")+1)</f>
        <v/>
      </c>
      <c r="S810" s="533">
        <f t="shared" si="127"/>
        <v>0</v>
      </c>
      <c r="T810" s="533">
        <v>35</v>
      </c>
      <c r="U810" s="533">
        <v>7.6999999999999999E-2</v>
      </c>
      <c r="V810" s="533">
        <v>-3</v>
      </c>
      <c r="W810" s="533"/>
      <c r="X810" s="533"/>
      <c r="Y810" s="533"/>
      <c r="Z810" s="533" t="str">
        <f t="shared" si="126"/>
        <v/>
      </c>
      <c r="AA810" s="533" t="str">
        <f>IFERROR(RANK(Z810,Z$807:Z$814,0)+COUNTIF(Z$807:Z810,Z810)-1,"")</f>
        <v/>
      </c>
      <c r="AB810" s="533">
        <f t="shared" si="128"/>
        <v>0</v>
      </c>
      <c r="AC810" s="533"/>
      <c r="AD810" s="533"/>
      <c r="AE810" s="533"/>
      <c r="AF810" s="533"/>
      <c r="AG810" s="533"/>
      <c r="AH810" s="533"/>
      <c r="AI810" s="533"/>
      <c r="AJ810" s="1"/>
      <c r="AK810" s="533"/>
      <c r="AL810" s="533"/>
      <c r="AM810" s="533"/>
      <c r="AN810" s="533"/>
      <c r="AO810" s="533"/>
    </row>
    <row r="811" spans="1:41" ht="13.5" customHeight="1" x14ac:dyDescent="0.25">
      <c r="A811" s="170"/>
      <c r="B811" s="104" t="s">
        <v>1136</v>
      </c>
      <c r="C811" s="696" t="s">
        <v>888</v>
      </c>
      <c r="D811" s="642"/>
      <c r="E811" s="711"/>
      <c r="F811" s="46" t="s">
        <v>889</v>
      </c>
      <c r="G811" s="26" t="s">
        <v>890</v>
      </c>
      <c r="H811" s="27">
        <v>1</v>
      </c>
      <c r="I811" s="27"/>
      <c r="J811" s="28">
        <f>IF(VLOOKUP(C811,A!A$1:O$669,11,FALSE)="y",1,0)</f>
        <v>1</v>
      </c>
      <c r="K811" s="28">
        <f>IF(VLOOKUP(C811,A!A$1:O$669,12,FALSE)="y",1,0)</f>
        <v>0</v>
      </c>
      <c r="L811" s="43"/>
      <c r="M811" s="27"/>
      <c r="N811" s="171">
        <v>4</v>
      </c>
      <c r="O811" s="533" t="str">
        <f>VLOOKUP(C811,A!A$1:O$669,9,FALSE)</f>
        <v>y</v>
      </c>
      <c r="P811" s="533" t="s">
        <v>894</v>
      </c>
      <c r="Q811" s="533" t="str">
        <f>IF(S811=0,"",COUNTIF(Q$12:Q810,"&gt;0")+1)</f>
        <v/>
      </c>
      <c r="R811" s="533" t="str">
        <f>IF(S811=0,"",COUNTIF(R$12:R810,"&gt;0")+1)</f>
        <v/>
      </c>
      <c r="S811" s="533">
        <f t="shared" si="127"/>
        <v>0</v>
      </c>
      <c r="T811" s="533">
        <v>35</v>
      </c>
      <c r="U811" s="533">
        <v>7.6999999999999999E-2</v>
      </c>
      <c r="V811" s="533">
        <v>-3</v>
      </c>
      <c r="W811" s="533"/>
      <c r="X811" s="533"/>
      <c r="Y811" s="533"/>
      <c r="Z811" s="533">
        <f t="shared" si="126"/>
        <v>-135</v>
      </c>
      <c r="AA811" s="533">
        <f>IFERROR(RANK(Z811,Z$807:Z$814,0)+COUNTIF(Z$807:Z811,Z811)-1,"")</f>
        <v>2</v>
      </c>
      <c r="AB811" s="533">
        <f t="shared" si="128"/>
        <v>0</v>
      </c>
      <c r="AC811" s="533"/>
      <c r="AD811" s="533"/>
      <c r="AE811" s="533"/>
      <c r="AF811" s="533"/>
      <c r="AG811" s="533"/>
      <c r="AH811" s="533"/>
      <c r="AI811" s="533"/>
      <c r="AJ811" s="1"/>
      <c r="AK811" s="533"/>
      <c r="AL811" s="533"/>
      <c r="AM811" s="533"/>
      <c r="AN811" s="533"/>
      <c r="AO811" s="533"/>
    </row>
    <row r="812" spans="1:41" ht="13.5" hidden="1" customHeight="1" x14ac:dyDescent="0.25">
      <c r="A812" s="41"/>
      <c r="B812" s="599" t="s">
        <v>12</v>
      </c>
      <c r="C812" s="696" t="s">
        <v>1779</v>
      </c>
      <c r="D812" s="642"/>
      <c r="E812" s="711"/>
      <c r="F812" s="46" t="s">
        <v>889</v>
      </c>
      <c r="G812" s="26" t="s">
        <v>890</v>
      </c>
      <c r="H812" s="27">
        <v>1</v>
      </c>
      <c r="I812" s="27"/>
      <c r="J812" s="28">
        <f>IF(VLOOKUP(C812,A!A$1:O$669,11,FALSE)="y",1,0)</f>
        <v>0</v>
      </c>
      <c r="K812" s="28">
        <f>IF(VLOOKUP(C812,A!A$1:O$669,12,FALSE)="y",1,0)</f>
        <v>0</v>
      </c>
      <c r="L812" s="43"/>
      <c r="M812" s="27"/>
      <c r="N812" s="171">
        <v>5</v>
      </c>
      <c r="P812" s="533" t="s">
        <v>894</v>
      </c>
      <c r="Q812" s="533" t="str">
        <f>IF(S812=0,"",COUNTIF(Q$12:Q811,"&gt;0")+1)</f>
        <v/>
      </c>
      <c r="R812" s="533" t="str">
        <f>IF(S812=0,"",COUNTIF(R$12:R811,"&gt;0")+1)</f>
        <v/>
      </c>
      <c r="S812" s="533">
        <f>A812+AB812+AC812+AD812+AE812</f>
        <v>0</v>
      </c>
      <c r="T812" s="533">
        <v>35</v>
      </c>
      <c r="U812" s="533">
        <v>7.6999999999999999E-2</v>
      </c>
      <c r="V812" s="533">
        <v>-3</v>
      </c>
      <c r="W812" s="533"/>
      <c r="X812" s="533"/>
      <c r="Y812" s="533"/>
      <c r="Z812" s="533" t="str">
        <f>IFERROR(IF(O812="y",H812*-100-A812*1000-T812,""),"")</f>
        <v/>
      </c>
      <c r="AA812" s="533" t="str">
        <f>IFERROR(RANK(Z812,Z$807:Z$814,0)+COUNTIF(Z$807:Z812,Z812)-1,"")</f>
        <v/>
      </c>
      <c r="AB812" s="533">
        <f>IF(AA812&lt;=AB$805,1,0)+IF(O812="y",AB$804,0)</f>
        <v>0</v>
      </c>
      <c r="AC812" s="533"/>
      <c r="AD812" s="533"/>
      <c r="AE812" s="533"/>
      <c r="AF812" s="533"/>
      <c r="AG812" s="533"/>
      <c r="AH812" s="533"/>
      <c r="AI812" s="533"/>
      <c r="AJ812" s="1"/>
      <c r="AK812" s="533"/>
      <c r="AL812" s="533"/>
      <c r="AM812" s="533"/>
      <c r="AN812" s="533"/>
      <c r="AO812" s="533"/>
    </row>
    <row r="813" spans="1:41" ht="13.5" customHeight="1" thickBot="1" x14ac:dyDescent="0.3">
      <c r="A813" s="172"/>
      <c r="B813" s="599" t="s">
        <v>1136</v>
      </c>
      <c r="C813" s="1271" t="s">
        <v>979</v>
      </c>
      <c r="D813" s="738"/>
      <c r="E813" s="838" t="s">
        <v>1867</v>
      </c>
      <c r="F813" s="290" t="s">
        <v>1003</v>
      </c>
      <c r="G813" s="291" t="s">
        <v>983</v>
      </c>
      <c r="H813" s="128">
        <v>2</v>
      </c>
      <c r="I813" s="128"/>
      <c r="J813" s="28">
        <f>IF(VLOOKUP(C813,A!A$1:O$669,11,FALSE)="y",1,0)</f>
        <v>0</v>
      </c>
      <c r="K813" s="193"/>
      <c r="L813" s="43"/>
      <c r="M813" s="128"/>
      <c r="N813" s="292">
        <v>4</v>
      </c>
      <c r="O813" s="533" t="str">
        <f>VLOOKUP(C813,A!A$1:O$669,9,FALSE)</f>
        <v>y</v>
      </c>
      <c r="P813" s="533" t="s">
        <v>894</v>
      </c>
      <c r="Q813" s="533" t="str">
        <f>IF(S813=0,"",COUNTIF(Q$12:Q812,"&gt;0")+1)</f>
        <v/>
      </c>
      <c r="R813" s="533" t="str">
        <f>IF(S813=0,"",COUNTIF(R$12:R812,"&gt;0")+1)</f>
        <v/>
      </c>
      <c r="S813" s="533">
        <f t="shared" si="127"/>
        <v>0</v>
      </c>
      <c r="T813" s="533">
        <f>VLOOKUP(C813,A!A$1:AH$669,32,FALSE)</f>
        <v>30</v>
      </c>
      <c r="U813" s="533">
        <v>0.08</v>
      </c>
      <c r="V813" s="533">
        <v>-3</v>
      </c>
      <c r="W813" s="533"/>
      <c r="X813" s="533"/>
      <c r="Y813" s="533"/>
      <c r="Z813" s="533">
        <f t="shared" si="126"/>
        <v>-230</v>
      </c>
      <c r="AA813" s="533">
        <f>IFERROR(RANK(Z813,Z$807:Z$814,0)+COUNTIF(Z$807:Z813,Z813)-1,"")</f>
        <v>3</v>
      </c>
      <c r="AB813" s="533">
        <f t="shared" si="128"/>
        <v>0</v>
      </c>
      <c r="AC813" s="533"/>
      <c r="AD813" s="533"/>
      <c r="AE813" s="533"/>
      <c r="AF813" s="533"/>
      <c r="AG813" s="533"/>
      <c r="AH813" s="533"/>
      <c r="AI813" s="533"/>
      <c r="AJ813" s="1"/>
      <c r="AK813" s="533"/>
      <c r="AL813" s="533"/>
      <c r="AM813" s="533"/>
      <c r="AN813" s="533"/>
      <c r="AO813" s="533"/>
    </row>
    <row r="814" spans="1:41" ht="11.25" hidden="1" customHeight="1" thickBot="1" x14ac:dyDescent="0.3">
      <c r="A814" s="194"/>
      <c r="B814" s="614" t="s">
        <v>12</v>
      </c>
      <c r="C814" s="174" t="s">
        <v>891</v>
      </c>
      <c r="D814" s="663"/>
      <c r="E814" s="896"/>
      <c r="F814" s="218" t="s">
        <v>892</v>
      </c>
      <c r="G814" s="176"/>
      <c r="H814" s="195">
        <f>VLOOKUP(C814,A!A$1:O$669,15,FALSE)</f>
        <v>3</v>
      </c>
      <c r="I814" s="195"/>
      <c r="J814" s="28">
        <f>IF(VLOOKUP(C814,A!A$1:O$669,11,FALSE)="y",1,0)</f>
        <v>0</v>
      </c>
      <c r="K814" s="196">
        <f>IF(VLOOKUP(C814,A!A$1:O$669,12,FALSE)="y",1,0)</f>
        <v>0</v>
      </c>
      <c r="L814" s="197" t="str">
        <f>IF(VLOOKUP(C814,A!A$1:O$669,10,FALSE)="y","NEW","")</f>
        <v/>
      </c>
      <c r="M814" s="195">
        <f>VLOOKUP(C814,A!A$1:O$669,13,FALSE)</f>
        <v>0</v>
      </c>
      <c r="N814" s="177">
        <v>4</v>
      </c>
      <c r="O814" s="533">
        <f>VLOOKUP(C814,A!A$1:O$669,9,FALSE)</f>
        <v>0</v>
      </c>
      <c r="P814" s="533" t="s">
        <v>894</v>
      </c>
      <c r="Q814" s="533" t="str">
        <f>IF(S814=0,"",COUNTIF(Q$12:Q813,"&gt;0")+1)</f>
        <v/>
      </c>
      <c r="R814" s="533" t="str">
        <f>IF(S814=0,"",COUNTIF(R$12:R813,"&gt;0")+1)</f>
        <v/>
      </c>
      <c r="S814" s="533">
        <f t="shared" si="127"/>
        <v>0</v>
      </c>
      <c r="T814" s="533">
        <f>VLOOKUP(C814,A!A$1:AH$669,32,FALSE)</f>
        <v>30</v>
      </c>
      <c r="U814" s="533">
        <v>0.08</v>
      </c>
      <c r="V814" s="533">
        <v>-3</v>
      </c>
      <c r="W814" s="533"/>
      <c r="X814" s="533"/>
      <c r="Y814" s="533"/>
      <c r="Z814" s="533" t="str">
        <f t="shared" si="126"/>
        <v/>
      </c>
      <c r="AA814" s="533" t="str">
        <f>IFERROR(RANK(Z814,Z$807:Z$814,0)+COUNTIF(Z$807:Z814,Z814)-1,"")</f>
        <v/>
      </c>
      <c r="AB814" s="533">
        <f t="shared" si="128"/>
        <v>0</v>
      </c>
      <c r="AC814" s="533"/>
      <c r="AD814" s="533"/>
      <c r="AE814" s="533"/>
      <c r="AF814" s="533"/>
      <c r="AG814" s="533"/>
      <c r="AH814" s="533"/>
      <c r="AI814" s="533"/>
      <c r="AJ814" s="1"/>
      <c r="AK814" s="533"/>
      <c r="AL814" s="533"/>
      <c r="AM814" s="533"/>
      <c r="AN814" s="533"/>
      <c r="AO814" s="533"/>
    </row>
    <row r="815" spans="1:41" ht="11.25" customHeight="1" x14ac:dyDescent="0.25">
      <c r="A815" s="137">
        <f>SUM(A806:A814)</f>
        <v>0</v>
      </c>
      <c r="B815" s="616" t="s">
        <v>1136</v>
      </c>
      <c r="C815" s="178" t="s">
        <v>1154</v>
      </c>
      <c r="D815" s="661"/>
      <c r="E815" s="885"/>
      <c r="F815" s="164"/>
      <c r="G815" s="164"/>
      <c r="H815" s="164"/>
      <c r="I815" s="164"/>
      <c r="J815" s="208"/>
      <c r="K815" s="164"/>
      <c r="L815" s="179"/>
      <c r="M815" s="164"/>
      <c r="N815" s="180"/>
      <c r="O815" s="1068"/>
      <c r="P815" s="533" t="s">
        <v>894</v>
      </c>
      <c r="Q815" s="533" t="str">
        <f>IF(S815=0,"",COUNTIF(Q$12:Q814,"&gt;0")+1)</f>
        <v/>
      </c>
      <c r="R815" s="533"/>
      <c r="S815" s="533">
        <f>A815</f>
        <v>0</v>
      </c>
      <c r="T815" s="533"/>
      <c r="U815" s="533"/>
      <c r="V815" s="533"/>
      <c r="W815" s="533"/>
      <c r="X815" s="533"/>
      <c r="Y815" s="533"/>
      <c r="Z815" s="533"/>
      <c r="AA815" s="533" t="str">
        <f>IFERROR(RANK(Z815,Z$807:Z$814,0)+COUNTIF(Z$807:Z815,Z815)-1,"")</f>
        <v/>
      </c>
      <c r="AB815" s="533"/>
      <c r="AC815" s="533"/>
      <c r="AD815" s="533"/>
      <c r="AE815" s="533"/>
      <c r="AF815" s="533"/>
      <c r="AG815" s="533"/>
      <c r="AH815" s="533"/>
      <c r="AI815" s="533"/>
      <c r="AJ815" s="1"/>
      <c r="AK815" s="533"/>
      <c r="AL815" s="533"/>
      <c r="AM815" s="533"/>
      <c r="AN815" s="533"/>
      <c r="AO815" s="533"/>
    </row>
    <row r="816" spans="1:41" ht="11.25" customHeight="1" x14ac:dyDescent="0.25">
      <c r="A816" s="2"/>
      <c r="L816" s="3"/>
      <c r="M816" s="2"/>
      <c r="P816" s="533"/>
      <c r="Q816" s="533" t="str">
        <f>IF(S816=0,"",COUNTIF(Q$12:Q815,"&gt;0")+1)</f>
        <v/>
      </c>
      <c r="R816" s="533" t="str">
        <f>IF(S816=0,"",COUNTIF(R$12:R815,"&gt;0")+1)</f>
        <v/>
      </c>
      <c r="S816" s="533"/>
      <c r="T816" s="533"/>
      <c r="U816" s="533"/>
      <c r="V816" s="533"/>
      <c r="W816" s="533"/>
      <c r="X816" s="533"/>
      <c r="Y816" s="533"/>
      <c r="Z816" s="533"/>
      <c r="AA816" s="533"/>
      <c r="AB816" s="533"/>
      <c r="AC816" s="533"/>
      <c r="AD816" s="533"/>
      <c r="AE816" s="533"/>
      <c r="AF816" s="533"/>
      <c r="AG816" s="533"/>
      <c r="AH816" s="533"/>
      <c r="AI816" s="533"/>
      <c r="AJ816" s="1"/>
      <c r="AK816" s="533"/>
      <c r="AL816" s="533"/>
      <c r="AM816" s="533"/>
      <c r="AN816" s="533"/>
      <c r="AO816" s="533"/>
    </row>
    <row r="817" spans="1:41" ht="23.25" hidden="1" customHeight="1" x14ac:dyDescent="0.25">
      <c r="A817" s="677"/>
      <c r="L817" s="3"/>
      <c r="M817" s="2"/>
      <c r="P817" s="533"/>
      <c r="Q817" s="533"/>
      <c r="R817" s="533"/>
      <c r="S817" s="533"/>
      <c r="T817" s="533"/>
      <c r="U817" s="533"/>
      <c r="V817" s="533"/>
      <c r="W817" s="533"/>
      <c r="X817" s="533"/>
      <c r="Y817" s="533"/>
      <c r="Z817" s="533"/>
      <c r="AA817" s="533"/>
      <c r="AB817" s="533"/>
      <c r="AC817" s="533"/>
      <c r="AD817" s="533"/>
      <c r="AE817" s="533"/>
      <c r="AF817" s="533"/>
      <c r="AG817" s="533"/>
      <c r="AH817" s="533"/>
      <c r="AI817" s="533"/>
      <c r="AJ817" s="1"/>
      <c r="AK817" s="533"/>
      <c r="AL817" s="533"/>
      <c r="AM817" s="533"/>
      <c r="AN817" s="533"/>
      <c r="AO817" s="533"/>
    </row>
    <row r="818" spans="1:41" ht="11.25" customHeight="1" x14ac:dyDescent="0.25">
      <c r="A818" s="1228" t="s">
        <v>11</v>
      </c>
      <c r="B818" s="1229"/>
      <c r="C818" s="1230" t="s">
        <v>1084</v>
      </c>
      <c r="D818" s="1231"/>
      <c r="E818" s="1231"/>
      <c r="F818" s="1231"/>
      <c r="G818" s="414"/>
      <c r="H818" s="414"/>
      <c r="I818" s="414"/>
      <c r="J818" s="414"/>
      <c r="K818" s="414"/>
      <c r="L818" s="414"/>
      <c r="M818" s="414"/>
      <c r="N818" s="415"/>
      <c r="P818" s="533"/>
      <c r="Q818" s="533" t="str">
        <f>IF(S818=0,"",COUNTIF(Q$12:Q816,"&gt;0")+1)</f>
        <v/>
      </c>
      <c r="R818" s="533" t="str">
        <f>IF(S818=0,"",COUNTIF(R$12:R816,"&gt;0")+1)</f>
        <v/>
      </c>
      <c r="S818" s="533"/>
      <c r="T818" s="533"/>
      <c r="U818" s="533"/>
      <c r="V818" s="533"/>
      <c r="W818" s="533"/>
      <c r="X818" s="533"/>
      <c r="Y818" s="533"/>
      <c r="Z818" s="533"/>
      <c r="AA818" s="533"/>
      <c r="AB818" s="533"/>
      <c r="AC818" s="533"/>
      <c r="AD818" s="533"/>
      <c r="AE818" s="533"/>
      <c r="AF818" s="533"/>
      <c r="AG818" s="533"/>
      <c r="AH818" s="533"/>
      <c r="AI818" s="533"/>
      <c r="AJ818" s="1"/>
      <c r="AK818" s="533"/>
      <c r="AL818" s="533"/>
      <c r="AM818" s="533"/>
      <c r="AN818" s="533"/>
      <c r="AO818" s="533"/>
    </row>
    <row r="819" spans="1:41" ht="11.25" customHeight="1" x14ac:dyDescent="0.25">
      <c r="A819" s="1226" t="s">
        <v>895</v>
      </c>
      <c r="B819" s="1227"/>
      <c r="C819" s="1232"/>
      <c r="D819" s="1233"/>
      <c r="E819" s="1233"/>
      <c r="F819" s="1233"/>
      <c r="I819" s="220"/>
      <c r="J819" s="126"/>
      <c r="K819" s="221" t="s">
        <v>896</v>
      </c>
      <c r="L819" s="222"/>
      <c r="M819" s="126"/>
      <c r="N819" s="223"/>
      <c r="P819" s="533"/>
      <c r="Q819" s="533" t="str">
        <f>IF(S819=0,"",COUNTIF(Q$12:Q818,"&gt;0")+1)</f>
        <v/>
      </c>
      <c r="R819" s="533" t="str">
        <f>IF(S819=0,"",COUNTIF(R$12:R818,"&gt;0")+1)</f>
        <v/>
      </c>
      <c r="S819" s="533"/>
      <c r="T819" s="533"/>
      <c r="U819" s="533"/>
      <c r="V819" s="533"/>
      <c r="W819" s="533"/>
      <c r="X819" s="533"/>
      <c r="Y819" s="533"/>
      <c r="Z819" s="533"/>
      <c r="AA819" s="533"/>
      <c r="AB819" s="533"/>
      <c r="AC819" s="533"/>
      <c r="AD819" s="533"/>
      <c r="AE819" s="533"/>
      <c r="AF819" s="533"/>
      <c r="AG819" s="533"/>
      <c r="AH819" s="533"/>
      <c r="AI819" s="533"/>
      <c r="AJ819" s="1"/>
      <c r="AK819" s="533"/>
      <c r="AL819" s="533"/>
      <c r="AM819" s="533"/>
      <c r="AN819" s="533"/>
      <c r="AO819" s="533"/>
    </row>
    <row r="820" spans="1:41" ht="13.5" customHeight="1" x14ac:dyDescent="0.25">
      <c r="A820" s="789"/>
      <c r="B820" s="104" t="s">
        <v>741</v>
      </c>
      <c r="C820" s="696" t="s">
        <v>897</v>
      </c>
      <c r="D820" s="642"/>
      <c r="E820" s="861"/>
      <c r="F820" s="25"/>
      <c r="G820" s="224" t="s">
        <v>1283</v>
      </c>
      <c r="H820" s="147"/>
      <c r="I820" s="147"/>
      <c r="J820" s="147"/>
      <c r="K820" s="147"/>
      <c r="L820" s="373"/>
      <c r="M820" s="147"/>
      <c r="N820" s="226"/>
      <c r="O820" s="533" t="s">
        <v>32</v>
      </c>
      <c r="P820" s="533" t="str">
        <f t="shared" ref="P820:P831" si="129">H$831&amp;"Aquabaskets"</f>
        <v>Aquabaskets</v>
      </c>
      <c r="Q820" s="533" t="str">
        <f>IF(S820=0,"",COUNTIF(Q$12:Q819,"&gt;0")+1)</f>
        <v/>
      </c>
      <c r="R820" s="533" t="str">
        <f>IF(S820=0,"",COUNTIF(R$12:R819,"&gt;0")+1)</f>
        <v/>
      </c>
      <c r="S820" s="533">
        <f t="shared" ref="S820:S831" si="130">A820</f>
        <v>0</v>
      </c>
      <c r="T820" s="533">
        <v>25</v>
      </c>
      <c r="U820" s="533">
        <v>1E-3</v>
      </c>
      <c r="V820" s="533">
        <v>150</v>
      </c>
      <c r="W820" s="533"/>
      <c r="X820" s="533"/>
      <c r="Y820" s="533"/>
      <c r="Z820" s="533"/>
      <c r="AA820" s="533"/>
      <c r="AB820" s="533"/>
      <c r="AC820" s="533"/>
      <c r="AD820" s="533"/>
      <c r="AE820" s="533"/>
      <c r="AF820" s="533"/>
      <c r="AG820" s="533"/>
      <c r="AH820" s="533"/>
      <c r="AI820" s="533"/>
      <c r="AJ820" s="1"/>
      <c r="AK820" s="533"/>
      <c r="AL820" s="533"/>
      <c r="AM820" s="533"/>
      <c r="AN820" s="533"/>
      <c r="AO820" s="533"/>
    </row>
    <row r="821" spans="1:41" ht="13.5" customHeight="1" x14ac:dyDescent="0.25">
      <c r="A821" s="70"/>
      <c r="B821" s="104" t="s">
        <v>741</v>
      </c>
      <c r="C821" s="696" t="s">
        <v>898</v>
      </c>
      <c r="D821" s="642"/>
      <c r="E821" s="861"/>
      <c r="F821" s="25"/>
      <c r="G821" s="224" t="s">
        <v>1284</v>
      </c>
      <c r="H821" s="147"/>
      <c r="I821" s="147"/>
      <c r="J821" s="147"/>
      <c r="K821" s="147"/>
      <c r="L821" s="225"/>
      <c r="M821" s="147"/>
      <c r="N821" s="226"/>
      <c r="O821" s="533" t="s">
        <v>32</v>
      </c>
      <c r="P821" s="533" t="str">
        <f t="shared" si="129"/>
        <v>Aquabaskets</v>
      </c>
      <c r="Q821" s="533" t="str">
        <f>IF(S821=0,"",COUNTIF(Q$12:Q820,"&gt;0")+1)</f>
        <v/>
      </c>
      <c r="R821" s="533" t="str">
        <f>IF(S821=0,"",COUNTIF(R$12:R820,"&gt;0")+1)</f>
        <v/>
      </c>
      <c r="S821" s="533">
        <f t="shared" si="130"/>
        <v>0</v>
      </c>
      <c r="T821" s="533">
        <v>25</v>
      </c>
      <c r="U821" s="533">
        <v>7.5999999999999998E-2</v>
      </c>
      <c r="V821" s="533">
        <v>150</v>
      </c>
      <c r="W821" s="533"/>
      <c r="X821" s="533">
        <v>9.5</v>
      </c>
      <c r="Y821" s="533">
        <f>X821/125</f>
        <v>7.5999999999999998E-2</v>
      </c>
      <c r="Z821" s="533"/>
      <c r="AA821" s="533"/>
      <c r="AB821" s="533"/>
      <c r="AC821" s="533"/>
      <c r="AD821" s="533"/>
      <c r="AE821" s="533"/>
      <c r="AF821" s="533"/>
      <c r="AG821" s="533"/>
      <c r="AH821" s="533"/>
      <c r="AI821" s="533"/>
      <c r="AJ821" s="1"/>
      <c r="AK821" s="533"/>
      <c r="AL821" s="533"/>
      <c r="AM821" s="533"/>
      <c r="AN821" s="533"/>
      <c r="AO821" s="533"/>
    </row>
    <row r="822" spans="1:41" ht="13.5" customHeight="1" x14ac:dyDescent="0.25">
      <c r="A822" s="70"/>
      <c r="B822" s="104" t="s">
        <v>741</v>
      </c>
      <c r="C822" s="696" t="s">
        <v>899</v>
      </c>
      <c r="D822" s="642"/>
      <c r="E822" s="861"/>
      <c r="F822" s="25"/>
      <c r="G822" s="224" t="s">
        <v>1285</v>
      </c>
      <c r="H822" s="147"/>
      <c r="I822" s="147"/>
      <c r="J822" s="147"/>
      <c r="K822" s="147"/>
      <c r="L822" s="225"/>
      <c r="M822" s="147"/>
      <c r="N822" s="226"/>
      <c r="O822" s="533" t="s">
        <v>32</v>
      </c>
      <c r="P822" s="533" t="str">
        <f t="shared" si="129"/>
        <v>Aquabaskets</v>
      </c>
      <c r="Q822" s="533" t="str">
        <f>IF(S822=0,"",COUNTIF(Q$12:Q821,"&gt;0")+1)</f>
        <v/>
      </c>
      <c r="R822" s="533" t="str">
        <f>IF(S822=0,"",COUNTIF(R$12:R821,"&gt;0")+1)</f>
        <v/>
      </c>
      <c r="S822" s="533">
        <f t="shared" si="130"/>
        <v>0</v>
      </c>
      <c r="T822" s="533">
        <v>25</v>
      </c>
      <c r="U822" s="533">
        <v>9.1999999999999998E-2</v>
      </c>
      <c r="V822" s="533">
        <v>150</v>
      </c>
      <c r="W822" s="533"/>
      <c r="X822" s="533">
        <v>11.5</v>
      </c>
      <c r="Y822" s="533">
        <f t="shared" ref="Y822:Y830" si="131">X822/125</f>
        <v>9.1999999999999998E-2</v>
      </c>
      <c r="Z822" s="533"/>
      <c r="AA822" s="533"/>
      <c r="AB822" s="533"/>
      <c r="AC822" s="533"/>
      <c r="AD822" s="533"/>
      <c r="AE822" s="533"/>
      <c r="AF822" s="533"/>
      <c r="AG822" s="533"/>
      <c r="AH822" s="533"/>
      <c r="AI822" s="533"/>
      <c r="AJ822" s="1"/>
      <c r="AK822" s="533"/>
      <c r="AL822" s="533"/>
      <c r="AM822" s="533"/>
      <c r="AN822" s="533"/>
      <c r="AO822" s="533"/>
    </row>
    <row r="823" spans="1:41" ht="13.5" customHeight="1" x14ac:dyDescent="0.25">
      <c r="A823" s="70"/>
      <c r="B823" s="104" t="s">
        <v>741</v>
      </c>
      <c r="C823" s="696" t="s">
        <v>900</v>
      </c>
      <c r="D823" s="642"/>
      <c r="E823" s="861"/>
      <c r="F823" s="25"/>
      <c r="G823" s="224" t="s">
        <v>1286</v>
      </c>
      <c r="H823" s="147"/>
      <c r="I823" s="147"/>
      <c r="J823" s="147"/>
      <c r="K823" s="147"/>
      <c r="L823" s="225"/>
      <c r="M823" s="147"/>
      <c r="N823" s="226"/>
      <c r="O823" s="533" t="s">
        <v>32</v>
      </c>
      <c r="P823" s="533" t="str">
        <f t="shared" si="129"/>
        <v>Aquabaskets</v>
      </c>
      <c r="Q823" s="533" t="str">
        <f>IF(S823=0,"",COUNTIF(Q$12:Q822,"&gt;0")+1)</f>
        <v/>
      </c>
      <c r="R823" s="533" t="str">
        <f>IF(S823=0,"",COUNTIF(R$12:R822,"&gt;0")+1)</f>
        <v/>
      </c>
      <c r="S823" s="533">
        <f t="shared" si="130"/>
        <v>0</v>
      </c>
      <c r="T823" s="533">
        <v>45</v>
      </c>
      <c r="U823" s="533">
        <v>0.108</v>
      </c>
      <c r="V823" s="533">
        <v>150</v>
      </c>
      <c r="W823" s="533"/>
      <c r="X823" s="533">
        <v>13.5</v>
      </c>
      <c r="Y823" s="533">
        <f t="shared" si="131"/>
        <v>0.108</v>
      </c>
      <c r="Z823" s="533"/>
      <c r="AA823" s="533"/>
      <c r="AB823" s="533"/>
      <c r="AC823" s="533"/>
      <c r="AD823" s="533"/>
      <c r="AE823" s="533"/>
      <c r="AF823" s="533"/>
      <c r="AG823" s="533"/>
      <c r="AH823" s="533"/>
      <c r="AI823" s="533"/>
      <c r="AJ823" s="1"/>
      <c r="AK823" s="533"/>
      <c r="AL823" s="533"/>
      <c r="AM823" s="533"/>
      <c r="AN823" s="533"/>
      <c r="AO823" s="533"/>
    </row>
    <row r="824" spans="1:41" ht="13.5" customHeight="1" x14ac:dyDescent="0.25">
      <c r="A824" s="70"/>
      <c r="B824" s="209" t="s">
        <v>18</v>
      </c>
      <c r="C824" s="696" t="s">
        <v>901</v>
      </c>
      <c r="D824" s="642"/>
      <c r="E824" s="861"/>
      <c r="F824" s="25"/>
      <c r="G824" s="224" t="s">
        <v>1287</v>
      </c>
      <c r="H824" s="147"/>
      <c r="I824" s="147"/>
      <c r="J824" s="147"/>
      <c r="K824" s="147"/>
      <c r="L824" s="225"/>
      <c r="M824" s="147"/>
      <c r="N824" s="226"/>
      <c r="O824" s="533" t="s">
        <v>32</v>
      </c>
      <c r="P824" s="533" t="str">
        <f t="shared" si="129"/>
        <v>Aquabaskets</v>
      </c>
      <c r="Q824" s="533" t="str">
        <f>IF(S824=0,"",COUNTIF(Q$12:Q823,"&gt;0")+1)</f>
        <v/>
      </c>
      <c r="R824" s="533" t="str">
        <f>IF(S824=0,"",COUNTIF(R$12:R823,"&gt;0")+1)</f>
        <v/>
      </c>
      <c r="S824" s="533">
        <f>IF(A824=1,1,IF(A824=2,1,IF(A824=3,1,A824)))</f>
        <v>0</v>
      </c>
      <c r="T824" s="533">
        <f>IF(A824=1,40,IF(A824=2,45,IF(A824=3,55,40)))</f>
        <v>40</v>
      </c>
      <c r="U824" s="533">
        <v>0.28000000000000003</v>
      </c>
      <c r="V824" s="533">
        <v>150</v>
      </c>
      <c r="W824" s="533"/>
      <c r="X824" s="533">
        <v>35</v>
      </c>
      <c r="Y824" s="533">
        <f t="shared" si="131"/>
        <v>0.28000000000000003</v>
      </c>
      <c r="Z824" s="533"/>
      <c r="AA824" s="533"/>
      <c r="AB824" s="533"/>
      <c r="AC824" s="533"/>
      <c r="AD824" s="533"/>
      <c r="AE824" s="533"/>
      <c r="AF824" s="533"/>
      <c r="AG824" s="533"/>
      <c r="AH824" s="533"/>
      <c r="AI824" s="533"/>
      <c r="AJ824" s="1"/>
      <c r="AK824" s="533"/>
      <c r="AL824" s="533"/>
      <c r="AM824" s="533"/>
      <c r="AN824" s="533"/>
      <c r="AO824" s="533"/>
    </row>
    <row r="825" spans="1:41" ht="13.5" customHeight="1" x14ac:dyDescent="0.25">
      <c r="A825" s="70"/>
      <c r="B825" s="104" t="s">
        <v>741</v>
      </c>
      <c r="C825" s="700" t="s">
        <v>1018</v>
      </c>
      <c r="D825" s="642"/>
      <c r="E825" s="861"/>
      <c r="F825" s="324"/>
      <c r="G825" s="224" t="s">
        <v>1288</v>
      </c>
      <c r="H825" s="147"/>
      <c r="I825" s="147"/>
      <c r="J825" s="147"/>
      <c r="K825" s="147"/>
      <c r="L825" s="225"/>
      <c r="M825" s="147"/>
      <c r="N825" s="226"/>
      <c r="O825" s="533" t="s">
        <v>32</v>
      </c>
      <c r="P825" s="533" t="str">
        <f t="shared" si="129"/>
        <v>Aquabaskets</v>
      </c>
      <c r="Q825" s="533" t="str">
        <f>IF(S825=0,"",COUNTIF(Q$12:Q824,"&gt;0")+1)</f>
        <v/>
      </c>
      <c r="R825" s="533" t="str">
        <f>IF(S825=0,"",COUNTIF(R$12:R824,"&gt;0")+1)</f>
        <v/>
      </c>
      <c r="S825" s="533">
        <f t="shared" si="130"/>
        <v>0</v>
      </c>
      <c r="T825" s="533">
        <v>25</v>
      </c>
      <c r="U825" s="533">
        <v>1E-3</v>
      </c>
      <c r="V825" s="533">
        <v>150</v>
      </c>
      <c r="W825" s="533"/>
      <c r="X825" s="533"/>
      <c r="Y825" s="533"/>
      <c r="Z825" s="533"/>
      <c r="AA825" s="533"/>
      <c r="AB825" s="533"/>
      <c r="AC825" s="533"/>
      <c r="AD825" s="533"/>
      <c r="AE825" s="533"/>
      <c r="AF825" s="533"/>
      <c r="AG825" s="533"/>
      <c r="AH825" s="533"/>
      <c r="AI825" s="533"/>
      <c r="AJ825" s="1"/>
      <c r="AK825" s="533"/>
      <c r="AL825" s="533"/>
      <c r="AM825" s="533"/>
      <c r="AN825" s="533"/>
      <c r="AO825" s="533"/>
    </row>
    <row r="826" spans="1:41" ht="13.5" hidden="1" customHeight="1" x14ac:dyDescent="0.25">
      <c r="A826" s="1059"/>
      <c r="B826" s="104" t="s">
        <v>741</v>
      </c>
      <c r="C826" s="696" t="s">
        <v>902</v>
      </c>
      <c r="D826" s="642"/>
      <c r="E826" s="861"/>
      <c r="F826" s="25"/>
      <c r="G826" s="224" t="s">
        <v>1289</v>
      </c>
      <c r="H826" s="147"/>
      <c r="I826" s="147"/>
      <c r="J826" s="147"/>
      <c r="K826" s="147"/>
      <c r="L826" s="373"/>
      <c r="M826" s="147"/>
      <c r="N826" s="226"/>
      <c r="O826" s="533" t="s">
        <v>32</v>
      </c>
      <c r="P826" s="533" t="str">
        <f t="shared" si="129"/>
        <v>Aquabaskets</v>
      </c>
      <c r="Q826" s="533" t="str">
        <f>IF(S826=0,"",COUNTIF(Q$12:Q825,"&gt;0")+1)</f>
        <v/>
      </c>
      <c r="R826" s="533" t="str">
        <f>IF(S826=0,"",COUNTIF(R$12:R825,"&gt;0")+1)</f>
        <v/>
      </c>
      <c r="S826" s="533">
        <f t="shared" si="130"/>
        <v>0</v>
      </c>
      <c r="T826" s="533">
        <v>25</v>
      </c>
      <c r="U826" s="533">
        <v>0.13600000000000001</v>
      </c>
      <c r="V826" s="533">
        <v>150</v>
      </c>
      <c r="W826" s="533"/>
      <c r="X826" s="533">
        <v>17</v>
      </c>
      <c r="Y826" s="533">
        <f t="shared" si="131"/>
        <v>0.13600000000000001</v>
      </c>
      <c r="Z826" s="533"/>
      <c r="AA826" s="533"/>
      <c r="AB826" s="533"/>
      <c r="AC826" s="533"/>
      <c r="AD826" s="533"/>
      <c r="AE826" s="533"/>
      <c r="AF826" s="533"/>
      <c r="AG826" s="533"/>
      <c r="AH826" s="533"/>
      <c r="AI826" s="533"/>
      <c r="AJ826" s="1"/>
      <c r="AK826" s="533"/>
      <c r="AL826" s="533"/>
      <c r="AM826" s="533"/>
      <c r="AN826" s="533"/>
      <c r="AO826" s="533"/>
    </row>
    <row r="827" spans="1:41" ht="13.5" customHeight="1" x14ac:dyDescent="0.25">
      <c r="A827" s="127"/>
      <c r="B827" s="104" t="s">
        <v>741</v>
      </c>
      <c r="C827" s="696" t="s">
        <v>1498</v>
      </c>
      <c r="D827" s="642"/>
      <c r="E827" s="861"/>
      <c r="F827" s="25"/>
      <c r="G827" s="224" t="s">
        <v>1290</v>
      </c>
      <c r="H827" s="147"/>
      <c r="I827" s="147"/>
      <c r="J827" s="147"/>
      <c r="K827" s="147"/>
      <c r="L827" s="225"/>
      <c r="M827" s="124"/>
      <c r="N827" s="226"/>
      <c r="O827" s="533" t="s">
        <v>32</v>
      </c>
      <c r="P827" s="533" t="str">
        <f t="shared" si="129"/>
        <v>Aquabaskets</v>
      </c>
      <c r="Q827" s="533" t="str">
        <f>IF(S827=0,"",COUNTIF(Q$12:Q826,"&gt;0")+1)</f>
        <v/>
      </c>
      <c r="R827" s="533" t="str">
        <f>IF(S827=0,"",COUNTIF(R$12:R826,"&gt;0")+1)</f>
        <v/>
      </c>
      <c r="S827" s="533">
        <f t="shared" si="130"/>
        <v>0</v>
      </c>
      <c r="T827" s="533">
        <v>40</v>
      </c>
      <c r="U827" s="533">
        <v>8.7999999999999995E-2</v>
      </c>
      <c r="V827" s="533">
        <v>150</v>
      </c>
      <c r="W827" s="533"/>
      <c r="X827" s="533">
        <v>11</v>
      </c>
      <c r="Y827" s="533">
        <f t="shared" si="131"/>
        <v>8.7999999999999995E-2</v>
      </c>
      <c r="Z827" s="533"/>
      <c r="AA827" s="533"/>
      <c r="AB827" s="533"/>
      <c r="AC827" s="533"/>
      <c r="AD827" s="533"/>
      <c r="AE827" s="533"/>
      <c r="AF827" s="533"/>
      <c r="AG827" s="533"/>
      <c r="AH827" s="533"/>
      <c r="AI827" s="533"/>
      <c r="AJ827" s="1"/>
      <c r="AK827" s="533"/>
      <c r="AL827" s="533"/>
      <c r="AM827" s="533"/>
      <c r="AN827" s="533"/>
      <c r="AO827" s="533"/>
    </row>
    <row r="828" spans="1:41" ht="13.5" customHeight="1" x14ac:dyDescent="0.25">
      <c r="A828" s="789"/>
      <c r="B828" s="209" t="s">
        <v>18</v>
      </c>
      <c r="C828" s="699" t="s">
        <v>903</v>
      </c>
      <c r="D828" s="648"/>
      <c r="E828" s="875"/>
      <c r="F828" s="91"/>
      <c r="G828" s="227" t="s">
        <v>1291</v>
      </c>
      <c r="H828" s="143"/>
      <c r="I828" s="143"/>
      <c r="J828" s="143"/>
      <c r="K828" s="143"/>
      <c r="L828" s="228"/>
      <c r="M828" s="147"/>
      <c r="N828" s="226"/>
      <c r="O828" s="533" t="s">
        <v>32</v>
      </c>
      <c r="P828" s="533" t="str">
        <f t="shared" si="129"/>
        <v>Aquabaskets</v>
      </c>
      <c r="Q828" s="533" t="str">
        <f>IF(S828=0,"",COUNTIF(Q$12:Q827,"&gt;0")+1)</f>
        <v/>
      </c>
      <c r="R828" s="533" t="str">
        <f>IF(S828=0,"",COUNTIF(R$12:R827,"&gt;0")+1)</f>
        <v/>
      </c>
      <c r="S828" s="533">
        <f>IF(A828=1,1,IF(A828=2,1,IF(A828=3,1,A828)))</f>
        <v>0</v>
      </c>
      <c r="T828" s="533">
        <f>IF(A828=1,45,IF(A828=2,60,IF(A828=3,60,45)))</f>
        <v>45</v>
      </c>
      <c r="U828" s="533">
        <v>0.32</v>
      </c>
      <c r="V828" s="533">
        <v>150</v>
      </c>
      <c r="W828" s="533"/>
      <c r="X828" s="533">
        <v>40</v>
      </c>
      <c r="Y828" s="533">
        <f t="shared" si="131"/>
        <v>0.32</v>
      </c>
      <c r="Z828" s="533"/>
      <c r="AA828" s="533"/>
      <c r="AB828" s="533"/>
      <c r="AC828" s="533"/>
      <c r="AD828" s="533"/>
      <c r="AE828" s="533"/>
      <c r="AF828" s="533"/>
      <c r="AG828" s="533"/>
      <c r="AH828" s="533"/>
      <c r="AI828" s="533"/>
      <c r="AJ828" s="1"/>
      <c r="AK828" s="533"/>
      <c r="AL828" s="533"/>
      <c r="AM828" s="533"/>
      <c r="AN828" s="533"/>
      <c r="AO828" s="533"/>
    </row>
    <row r="829" spans="1:41" ht="13.5" hidden="1" customHeight="1" x14ac:dyDescent="0.25">
      <c r="A829" s="1059"/>
      <c r="B829" s="104" t="s">
        <v>741</v>
      </c>
      <c r="C829" s="696" t="s">
        <v>904</v>
      </c>
      <c r="D829" s="642"/>
      <c r="E829" s="861"/>
      <c r="G829" s="229" t="s">
        <v>1292</v>
      </c>
      <c r="H829" s="147"/>
      <c r="I829" s="147"/>
      <c r="J829" s="147"/>
      <c r="K829" s="147"/>
      <c r="L829" s="373"/>
      <c r="M829" s="147"/>
      <c r="N829" s="226"/>
      <c r="O829" s="533" t="s">
        <v>32</v>
      </c>
      <c r="P829" s="533" t="str">
        <f t="shared" si="129"/>
        <v>Aquabaskets</v>
      </c>
      <c r="Q829" s="533" t="str">
        <f>IF(S829=0,"",COUNTIF(Q$12:Q828,"&gt;0")+1)</f>
        <v/>
      </c>
      <c r="R829" s="533" t="str">
        <f>IF(S829=0,"",COUNTIF(R$12:R828,"&gt;0")+1)</f>
        <v/>
      </c>
      <c r="S829" s="533">
        <f t="shared" si="130"/>
        <v>0</v>
      </c>
      <c r="T829" s="533">
        <f>IF(A829=1,50,IF(A829&gt;1,25,0))</f>
        <v>0</v>
      </c>
      <c r="U829" s="533">
        <f>IF(A829=1,0.2,IF(A829=2,0.68,IF(A829=3,1,A829*0.33)))</f>
        <v>0</v>
      </c>
      <c r="V829" s="533">
        <v>150</v>
      </c>
      <c r="W829" s="533"/>
      <c r="X829" s="533">
        <v>25</v>
      </c>
      <c r="Y829" s="533">
        <f t="shared" si="131"/>
        <v>0.2</v>
      </c>
      <c r="Z829" s="533"/>
      <c r="AA829" s="533"/>
      <c r="AB829" s="533"/>
      <c r="AC829" s="533"/>
      <c r="AD829" s="533"/>
      <c r="AE829" s="533"/>
      <c r="AF829" s="533"/>
      <c r="AG829" s="533"/>
      <c r="AH829" s="533"/>
      <c r="AI829" s="533"/>
      <c r="AJ829" s="1"/>
      <c r="AK829" s="533"/>
      <c r="AL829" s="533"/>
      <c r="AM829" s="533"/>
      <c r="AN829" s="533"/>
      <c r="AO829" s="533"/>
    </row>
    <row r="830" spans="1:41" ht="13.5" customHeight="1" x14ac:dyDescent="0.25">
      <c r="A830" s="70"/>
      <c r="B830" s="619" t="s">
        <v>741</v>
      </c>
      <c r="C830" s="696" t="s">
        <v>1011</v>
      </c>
      <c r="D830" s="649"/>
      <c r="E830" s="897"/>
      <c r="F830" s="25"/>
      <c r="G830" s="229" t="s">
        <v>1148</v>
      </c>
      <c r="H830" s="124"/>
      <c r="I830" s="124"/>
      <c r="J830" s="124"/>
      <c r="K830" s="124"/>
      <c r="L830" s="125"/>
      <c r="M830" s="124"/>
      <c r="N830" s="226"/>
      <c r="O830" s="533" t="s">
        <v>32</v>
      </c>
      <c r="P830" s="533" t="str">
        <f t="shared" si="129"/>
        <v>Aquabaskets</v>
      </c>
      <c r="Q830" s="533" t="str">
        <f>IF(S830=0,"",COUNTIF(Q$12:Q829,"&gt;0")+1)</f>
        <v/>
      </c>
      <c r="R830" s="533" t="str">
        <f>IF(S830=0,"",COUNTIF(R$12:R829,"&gt;0")+1)</f>
        <v/>
      </c>
      <c r="S830" s="533">
        <f>A830</f>
        <v>0</v>
      </c>
      <c r="T830" s="533">
        <v>35</v>
      </c>
      <c r="U830" s="533">
        <v>6.4000000000000001E-2</v>
      </c>
      <c r="V830" s="533">
        <v>150</v>
      </c>
      <c r="W830" s="533"/>
      <c r="X830" s="533">
        <v>8</v>
      </c>
      <c r="Y830" s="533">
        <f t="shared" si="131"/>
        <v>6.4000000000000001E-2</v>
      </c>
      <c r="Z830" s="533"/>
      <c r="AA830" s="533"/>
      <c r="AB830" s="533"/>
      <c r="AC830" s="533"/>
      <c r="AD830" s="533"/>
      <c r="AE830" s="533"/>
      <c r="AF830" s="533"/>
      <c r="AG830" s="533"/>
      <c r="AH830" s="533"/>
      <c r="AI830" s="533"/>
      <c r="AJ830" s="1"/>
      <c r="AK830" s="533"/>
      <c r="AL830" s="533"/>
      <c r="AM830" s="533"/>
      <c r="AN830" s="533"/>
      <c r="AO830" s="533"/>
    </row>
    <row r="831" spans="1:41" x14ac:dyDescent="0.25">
      <c r="A831" s="128">
        <f>SUM(A820:A830)*25-(A824+A828)*15</f>
        <v>0</v>
      </c>
      <c r="B831" s="620" t="s">
        <v>12</v>
      </c>
      <c r="C831" s="129" t="str">
        <f>"Total Aquatic "&amp;H831&amp;"Baskets (Individual)"</f>
        <v>Total Aquatic Baskets (Individual)</v>
      </c>
      <c r="D831" s="667"/>
      <c r="E831" s="897"/>
      <c r="F831" s="124"/>
      <c r="G831" s="124"/>
      <c r="H831" s="230" t="str">
        <f>IF(L819&lt;&gt;"","Barcoded ","")</f>
        <v/>
      </c>
      <c r="I831" s="124"/>
      <c r="J831" s="124"/>
      <c r="K831" s="124"/>
      <c r="L831" s="125"/>
      <c r="M831" s="124"/>
      <c r="N831" s="130"/>
      <c r="P831" s="533" t="str">
        <f t="shared" si="129"/>
        <v>Aquabaskets</v>
      </c>
      <c r="Q831" s="533" t="str">
        <f>IF(S831=0,"",COUNTIF(Q$12:Q830,"&gt;0")+1)</f>
        <v/>
      </c>
      <c r="R831" s="533"/>
      <c r="S831" s="533">
        <f t="shared" si="130"/>
        <v>0</v>
      </c>
      <c r="T831" s="533"/>
      <c r="U831" s="533"/>
      <c r="V831" s="533"/>
      <c r="W831" s="533"/>
      <c r="X831" s="533"/>
      <c r="Y831" s="533"/>
      <c r="Z831" s="533"/>
      <c r="AA831" s="533"/>
      <c r="AB831" s="533"/>
      <c r="AC831" s="533"/>
      <c r="AD831" s="533"/>
      <c r="AE831" s="533"/>
      <c r="AF831" s="533"/>
      <c r="AG831" s="533"/>
      <c r="AH831" s="533"/>
      <c r="AI831" s="533"/>
      <c r="AJ831" s="1"/>
      <c r="AK831" s="533"/>
      <c r="AL831" s="533"/>
      <c r="AM831" s="533"/>
      <c r="AN831" s="533"/>
      <c r="AO831" s="533"/>
    </row>
    <row r="832" spans="1:41" ht="13.5" customHeight="1" x14ac:dyDescent="0.25">
      <c r="A832" s="2"/>
      <c r="L832" s="3"/>
      <c r="M832" s="2"/>
      <c r="P832" s="533"/>
      <c r="Q832" s="533" t="str">
        <f>IF(S832=0,"",COUNTIF(Q$12:Q831,"&gt;0")+1)</f>
        <v/>
      </c>
      <c r="R832" s="533" t="str">
        <f>IF(S832=0,"",COUNTIF(R$12:R831,"&gt;0")+1)</f>
        <v/>
      </c>
      <c r="S832" s="533"/>
      <c r="T832" s="533"/>
      <c r="U832" s="533"/>
      <c r="V832" s="533"/>
      <c r="W832" s="533"/>
      <c r="X832" s="533"/>
      <c r="Y832" s="533"/>
      <c r="Z832" s="533"/>
      <c r="AA832" s="533"/>
      <c r="AB832" s="533"/>
      <c r="AC832" s="533"/>
      <c r="AD832" s="533"/>
      <c r="AE832" s="533"/>
      <c r="AF832" s="533"/>
      <c r="AG832" s="533"/>
      <c r="AH832" s="533"/>
      <c r="AI832" s="533"/>
      <c r="AJ832" s="1"/>
      <c r="AK832" s="533"/>
      <c r="AL832" s="533"/>
      <c r="AM832" s="533"/>
      <c r="AN832" s="533"/>
      <c r="AO832" s="533"/>
    </row>
    <row r="833" spans="1:41" ht="12.75" customHeight="1" x14ac:dyDescent="0.25">
      <c r="A833" s="1228" t="s">
        <v>11</v>
      </c>
      <c r="B833" s="1229"/>
      <c r="C833" s="1235" t="s">
        <v>905</v>
      </c>
      <c r="D833" s="1236"/>
      <c r="E833" s="1236"/>
      <c r="F833" s="1236"/>
      <c r="G833" s="485"/>
      <c r="H833" s="485"/>
      <c r="I833" s="485"/>
      <c r="J833" s="485"/>
      <c r="K833" s="485"/>
      <c r="L833" s="485"/>
      <c r="M833" s="485"/>
      <c r="N833" s="486"/>
      <c r="P833" s="533"/>
      <c r="Q833" s="533" t="str">
        <f>IF(S833=0,"",COUNTIF(Q$12:Q832,"&gt;0")+1)</f>
        <v/>
      </c>
      <c r="R833" s="533" t="str">
        <f>IF(S833=0,"",COUNTIF(R$12:R832,"&gt;0")+1)</f>
        <v/>
      </c>
      <c r="S833" s="533"/>
      <c r="T833" s="533"/>
      <c r="U833" s="533"/>
      <c r="V833" s="533"/>
      <c r="W833" s="533"/>
      <c r="X833" s="533"/>
      <c r="Y833" s="533"/>
      <c r="Z833" s="533"/>
      <c r="AA833" s="533"/>
      <c r="AB833" s="533"/>
      <c r="AC833" s="533"/>
      <c r="AD833" s="533"/>
      <c r="AE833" s="533"/>
      <c r="AF833" s="533"/>
      <c r="AG833" s="533"/>
      <c r="AH833" s="533"/>
      <c r="AI833" s="533"/>
      <c r="AJ833" s="1"/>
      <c r="AK833" s="533"/>
      <c r="AL833" s="533"/>
      <c r="AM833" s="533"/>
      <c r="AN833" s="533"/>
      <c r="AO833" s="533"/>
    </row>
    <row r="834" spans="1:41" ht="10.5" customHeight="1" x14ac:dyDescent="0.25">
      <c r="A834" s="1226" t="s">
        <v>906</v>
      </c>
      <c r="B834" s="1227"/>
      <c r="C834" s="1237"/>
      <c r="D834" s="1238"/>
      <c r="E834" s="1238"/>
      <c r="F834" s="1238"/>
      <c r="G834" s="484"/>
      <c r="H834" s="484"/>
      <c r="I834" s="484"/>
      <c r="J834" s="484"/>
      <c r="K834" s="484"/>
      <c r="L834" s="484"/>
      <c r="M834" s="484"/>
      <c r="N834" s="487"/>
      <c r="P834" s="533"/>
      <c r="Q834" s="533" t="str">
        <f>IF(S834=0,"",COUNTIF(Q$12:Q833,"&gt;0")+1)</f>
        <v/>
      </c>
      <c r="R834" s="533" t="str">
        <f>IF(S834=0,"",COUNTIF(R$12:R833,"&gt;0")+1)</f>
        <v/>
      </c>
      <c r="S834" s="533"/>
      <c r="T834" s="533"/>
      <c r="U834" s="533"/>
      <c r="V834" s="533">
        <v>150</v>
      </c>
      <c r="W834" s="533"/>
      <c r="X834" s="533"/>
      <c r="Y834" s="533"/>
      <c r="Z834" s="533"/>
      <c r="AA834" s="533"/>
      <c r="AB834" s="533"/>
      <c r="AC834" s="533"/>
      <c r="AD834" s="533"/>
      <c r="AE834" s="533"/>
      <c r="AF834" s="533"/>
      <c r="AG834" s="533"/>
      <c r="AH834" s="533"/>
      <c r="AI834" s="533"/>
      <c r="AJ834" s="1"/>
      <c r="AK834" s="533"/>
      <c r="AL834" s="533"/>
      <c r="AM834" s="533"/>
      <c r="AN834" s="533"/>
      <c r="AO834" s="533"/>
    </row>
    <row r="835" spans="1:41" ht="13.5" customHeight="1" x14ac:dyDescent="0.25">
      <c r="A835" s="70"/>
      <c r="B835" s="609" t="s">
        <v>12</v>
      </c>
      <c r="C835" s="696" t="s">
        <v>907</v>
      </c>
      <c r="D835" s="102"/>
      <c r="E835" s="861"/>
      <c r="F835" s="147"/>
      <c r="G835" s="147"/>
      <c r="H835" s="147"/>
      <c r="I835" s="147"/>
      <c r="J835" s="147"/>
      <c r="K835" s="288"/>
      <c r="L835" s="504"/>
      <c r="M835" s="502"/>
      <c r="N835" s="289" t="s">
        <v>908</v>
      </c>
      <c r="O835" s="533" t="s">
        <v>32</v>
      </c>
      <c r="P835" s="533" t="s">
        <v>905</v>
      </c>
      <c r="Q835" s="533" t="str">
        <f>IF(S835=0,"",COUNTIF(Q$12:Q834,"&gt;0")+1)</f>
        <v/>
      </c>
      <c r="R835" s="533" t="str">
        <f>IF(S835=0,"",COUNTIF(R$12:R834,"&gt;0")+1)</f>
        <v/>
      </c>
      <c r="S835" s="533">
        <f t="shared" ref="S835:S840" si="132">A835</f>
        <v>0</v>
      </c>
      <c r="T835" s="533">
        <v>25</v>
      </c>
      <c r="U835" s="533">
        <v>1E-3</v>
      </c>
      <c r="V835" s="533">
        <v>150</v>
      </c>
      <c r="W835" s="533"/>
      <c r="X835" s="533"/>
      <c r="Y835" s="533"/>
      <c r="Z835" s="533"/>
      <c r="AA835" s="533"/>
      <c r="AB835" s="533"/>
      <c r="AC835" s="533"/>
      <c r="AD835" s="533"/>
      <c r="AE835" s="533"/>
      <c r="AF835" s="533"/>
      <c r="AG835" s="533"/>
      <c r="AH835" s="533"/>
      <c r="AI835" s="533"/>
      <c r="AJ835" s="1"/>
      <c r="AK835" s="533"/>
      <c r="AL835" s="533"/>
      <c r="AM835" s="533"/>
      <c r="AN835" s="533"/>
      <c r="AO835" s="533"/>
    </row>
    <row r="836" spans="1:41" ht="13.5" customHeight="1" x14ac:dyDescent="0.25">
      <c r="A836" s="70"/>
      <c r="B836" s="609" t="s">
        <v>1829</v>
      </c>
      <c r="C836" s="696" t="s">
        <v>1241</v>
      </c>
      <c r="D836" s="102"/>
      <c r="E836" s="861"/>
      <c r="F836" s="147"/>
      <c r="G836" s="231"/>
      <c r="H836" s="147"/>
      <c r="I836" s="147"/>
      <c r="J836" s="147"/>
      <c r="K836" s="288"/>
      <c r="L836" s="504"/>
      <c r="M836" s="502"/>
      <c r="N836" s="289" t="s">
        <v>910</v>
      </c>
      <c r="O836" s="533" t="s">
        <v>32</v>
      </c>
      <c r="P836" s="533" t="s">
        <v>905</v>
      </c>
      <c r="Q836" s="533" t="str">
        <f>IF(S836=0,"",COUNTIF(Q$12:Q835,"&gt;0")+1)</f>
        <v/>
      </c>
      <c r="R836" s="533" t="str">
        <f>IF(S836=0,"",COUNTIF(R$12:R835,"&gt;0")+1)</f>
        <v/>
      </c>
      <c r="S836" s="533">
        <f t="shared" si="132"/>
        <v>0</v>
      </c>
      <c r="T836" s="533">
        <v>25</v>
      </c>
      <c r="U836" s="533">
        <v>1E-3</v>
      </c>
      <c r="V836" s="533">
        <v>150</v>
      </c>
      <c r="W836" s="533"/>
      <c r="X836" s="533"/>
      <c r="Y836" s="533"/>
      <c r="Z836" s="533"/>
      <c r="AA836" s="533"/>
      <c r="AB836" s="533"/>
      <c r="AC836" s="533"/>
      <c r="AD836" s="533"/>
      <c r="AE836" s="533"/>
      <c r="AF836" s="533"/>
      <c r="AG836" s="533"/>
      <c r="AH836" s="533"/>
      <c r="AI836" s="533"/>
      <c r="AJ836" s="1"/>
      <c r="AK836" s="533"/>
      <c r="AL836" s="533"/>
      <c r="AM836" s="533"/>
      <c r="AN836" s="533"/>
      <c r="AO836" s="533"/>
    </row>
    <row r="837" spans="1:41" ht="13.5" customHeight="1" x14ac:dyDescent="0.25">
      <c r="A837" s="70"/>
      <c r="B837" s="609" t="s">
        <v>909</v>
      </c>
      <c r="C837" s="696" t="s">
        <v>1242</v>
      </c>
      <c r="D837" s="102"/>
      <c r="E837" s="861"/>
      <c r="F837" s="147"/>
      <c r="G837" s="224"/>
      <c r="H837" s="147"/>
      <c r="I837" s="232"/>
      <c r="J837" s="102"/>
      <c r="K837" s="288"/>
      <c r="L837" s="504"/>
      <c r="M837" s="502"/>
      <c r="N837" s="289" t="s">
        <v>911</v>
      </c>
      <c r="O837" s="533" t="s">
        <v>32</v>
      </c>
      <c r="P837" s="533" t="s">
        <v>905</v>
      </c>
      <c r="Q837" s="533" t="str">
        <f>IF(S837=0,"",COUNTIF(Q$12:Q836,"&gt;0")+1)</f>
        <v/>
      </c>
      <c r="R837" s="533" t="str">
        <f>IF(S837=0,"",COUNTIF(R$12:R836,"&gt;0")+1)</f>
        <v/>
      </c>
      <c r="S837" s="533">
        <f t="shared" si="132"/>
        <v>0</v>
      </c>
      <c r="T837" s="533">
        <v>25</v>
      </c>
      <c r="U837" s="533">
        <v>1E-3</v>
      </c>
      <c r="V837" s="533">
        <v>150</v>
      </c>
      <c r="W837" s="533"/>
      <c r="X837" s="533"/>
      <c r="Y837" s="533"/>
      <c r="Z837" s="533"/>
      <c r="AA837" s="533"/>
      <c r="AB837" s="533"/>
      <c r="AC837" s="533"/>
      <c r="AD837" s="533"/>
      <c r="AE837" s="533"/>
      <c r="AF837" s="533"/>
      <c r="AG837" s="533"/>
      <c r="AH837" s="533"/>
      <c r="AI837" s="533"/>
      <c r="AJ837" s="1"/>
      <c r="AK837" s="533"/>
      <c r="AL837" s="533"/>
      <c r="AM837" s="533"/>
      <c r="AN837" s="533"/>
      <c r="AO837" s="533"/>
    </row>
    <row r="838" spans="1:41" ht="13.5" customHeight="1" x14ac:dyDescent="0.25">
      <c r="A838" s="70"/>
      <c r="B838" s="609" t="s">
        <v>12</v>
      </c>
      <c r="C838" s="696" t="s">
        <v>1794</v>
      </c>
      <c r="D838" s="102"/>
      <c r="E838" s="861"/>
      <c r="F838" s="147"/>
      <c r="G838" s="224"/>
      <c r="H838" s="147"/>
      <c r="I838" s="232"/>
      <c r="J838" s="102"/>
      <c r="K838" s="288"/>
      <c r="L838" s="504"/>
      <c r="M838" s="502"/>
      <c r="N838" s="503" t="s">
        <v>1855</v>
      </c>
      <c r="O838" s="533" t="s">
        <v>32</v>
      </c>
      <c r="P838" s="533" t="s">
        <v>905</v>
      </c>
      <c r="Q838" s="533" t="str">
        <f>IF(S838=0,"",COUNTIF(Q$12:Q837,"&gt;0")+1)</f>
        <v/>
      </c>
      <c r="R838" s="533" t="str">
        <f>IF(S838=0,"",COUNTIF(R$12:R837,"&gt;0")+1)</f>
        <v/>
      </c>
      <c r="S838" s="533">
        <f t="shared" si="132"/>
        <v>0</v>
      </c>
      <c r="T838" s="533">
        <v>25</v>
      </c>
      <c r="U838" s="533">
        <v>1E-3</v>
      </c>
      <c r="V838" s="533">
        <v>150</v>
      </c>
      <c r="W838" s="533"/>
      <c r="X838" s="533"/>
      <c r="Y838" s="533"/>
      <c r="Z838" s="533"/>
      <c r="AA838" s="533"/>
      <c r="AB838" s="533"/>
      <c r="AC838" s="533"/>
      <c r="AD838" s="533"/>
      <c r="AE838" s="533"/>
      <c r="AF838" s="533"/>
      <c r="AG838" s="533"/>
      <c r="AH838" s="533"/>
      <c r="AI838" s="533"/>
      <c r="AJ838" s="1"/>
      <c r="AK838" s="533"/>
      <c r="AL838" s="533"/>
      <c r="AM838" s="533"/>
      <c r="AN838" s="533"/>
      <c r="AO838" s="533"/>
    </row>
    <row r="839" spans="1:41" ht="13.5" customHeight="1" x14ac:dyDescent="0.25">
      <c r="A839" s="70"/>
      <c r="B839" s="609" t="s">
        <v>12</v>
      </c>
      <c r="C839" s="695" t="s">
        <v>1149</v>
      </c>
      <c r="D839" s="102"/>
      <c r="E839" s="861"/>
      <c r="F839" s="334"/>
      <c r="G839" s="225"/>
      <c r="H839" s="225"/>
      <c r="I839" s="225"/>
      <c r="J839" s="225"/>
      <c r="K839" s="225"/>
      <c r="L839" s="502"/>
      <c r="M839" s="502"/>
      <c r="N839" s="503" t="s">
        <v>1856</v>
      </c>
      <c r="O839" s="533" t="s">
        <v>32</v>
      </c>
      <c r="P839" s="533" t="s">
        <v>905</v>
      </c>
      <c r="Q839" s="533" t="str">
        <f>IF(S839=0,"",COUNTIF(Q$12:Q838,"&gt;0")+1)</f>
        <v/>
      </c>
      <c r="R839" s="533" t="str">
        <f>IF(S839=0,"",COUNTIF(R$12:R838,"&gt;0")+1)</f>
        <v/>
      </c>
      <c r="S839" s="533">
        <f t="shared" si="132"/>
        <v>0</v>
      </c>
      <c r="T839" s="533">
        <v>25</v>
      </c>
      <c r="U839" s="533">
        <v>1E-3</v>
      </c>
      <c r="V839" s="533">
        <v>150</v>
      </c>
      <c r="W839" s="533"/>
      <c r="X839" s="533"/>
      <c r="Y839" s="533"/>
      <c r="Z839" s="533"/>
      <c r="AA839" s="533"/>
      <c r="AB839" s="533"/>
      <c r="AC839" s="533"/>
      <c r="AD839" s="533"/>
      <c r="AE839" s="533"/>
      <c r="AF839" s="533"/>
      <c r="AG839" s="533"/>
      <c r="AH839" s="533"/>
      <c r="AI839" s="533"/>
      <c r="AJ839" s="1"/>
      <c r="AK839" s="533"/>
      <c r="AL839" s="533"/>
      <c r="AM839" s="533"/>
      <c r="AN839" s="533"/>
      <c r="AO839" s="533"/>
    </row>
    <row r="840" spans="1:41" ht="13.5" customHeight="1" x14ac:dyDescent="0.25">
      <c r="A840" s="70"/>
      <c r="B840" s="609" t="s">
        <v>12</v>
      </c>
      <c r="C840" s="695" t="s">
        <v>1777</v>
      </c>
      <c r="D840" s="102"/>
      <c r="E840" s="711"/>
      <c r="F840" s="334"/>
      <c r="G840" s="225"/>
      <c r="H840" s="225"/>
      <c r="I840" s="225"/>
      <c r="J840" s="225"/>
      <c r="K840" s="225"/>
      <c r="L840" s="502"/>
      <c r="M840" s="502"/>
      <c r="N840" s="503"/>
      <c r="O840" s="533" t="s">
        <v>32</v>
      </c>
      <c r="P840" s="533" t="s">
        <v>905</v>
      </c>
      <c r="Q840" s="533" t="str">
        <f>IF(S840=0,"",COUNTIF(Q$12:Q839,"&gt;0")+1)</f>
        <v/>
      </c>
      <c r="R840" s="533" t="str">
        <f>IF(S840=0,"",COUNTIF(R$12:R839,"&gt;0")+1)</f>
        <v/>
      </c>
      <c r="S840" s="533">
        <f t="shared" si="132"/>
        <v>0</v>
      </c>
      <c r="T840" s="533">
        <v>25</v>
      </c>
      <c r="U840" s="533">
        <v>1E-3</v>
      </c>
      <c r="V840" s="533">
        <v>150</v>
      </c>
      <c r="W840" s="533"/>
      <c r="X840" s="533"/>
      <c r="Y840" s="533"/>
      <c r="Z840" s="533"/>
      <c r="AA840" s="533"/>
      <c r="AB840" s="533"/>
      <c r="AC840" s="533"/>
      <c r="AD840" s="533"/>
      <c r="AE840" s="533"/>
      <c r="AF840" s="533"/>
      <c r="AG840" s="533"/>
      <c r="AH840" s="533"/>
      <c r="AI840" s="533"/>
      <c r="AJ840" s="1"/>
      <c r="AK840" s="533"/>
      <c r="AL840" s="533"/>
      <c r="AM840" s="533"/>
      <c r="AN840" s="533"/>
      <c r="AO840" s="533"/>
    </row>
    <row r="841" spans="1:41" ht="13.5" customHeight="1" x14ac:dyDescent="0.25">
      <c r="A841" s="70"/>
      <c r="B841" s="609" t="s">
        <v>12</v>
      </c>
      <c r="C841" s="695" t="s">
        <v>1778</v>
      </c>
      <c r="D841" s="102"/>
      <c r="E841" s="711"/>
      <c r="F841" s="334"/>
      <c r="G841" s="225"/>
      <c r="H841" s="225"/>
      <c r="I841" s="225"/>
      <c r="J841" s="225"/>
      <c r="K841" s="225"/>
      <c r="L841" s="502"/>
      <c r="M841" s="502"/>
      <c r="N841" s="503"/>
      <c r="O841" s="533" t="s">
        <v>32</v>
      </c>
      <c r="P841" s="533" t="s">
        <v>905</v>
      </c>
      <c r="Q841" s="533" t="str">
        <f>IF(S841=0,"",COUNTIF(Q$12:Q840,"&gt;0")+1)</f>
        <v/>
      </c>
      <c r="R841" s="533" t="str">
        <f>IF(S841=0,"",COUNTIF(R$12:R840,"&gt;0")+1)</f>
        <v/>
      </c>
      <c r="S841" s="533">
        <f>A841</f>
        <v>0</v>
      </c>
      <c r="T841" s="533">
        <v>25</v>
      </c>
      <c r="U841" s="533">
        <v>1E-3</v>
      </c>
      <c r="V841" s="533">
        <v>150</v>
      </c>
      <c r="W841" s="533"/>
      <c r="X841" s="533"/>
      <c r="Y841" s="533"/>
      <c r="Z841" s="533"/>
      <c r="AA841" s="533"/>
      <c r="AB841" s="533"/>
      <c r="AC841" s="533"/>
      <c r="AD841" s="533"/>
      <c r="AE841" s="533"/>
      <c r="AF841" s="533"/>
      <c r="AG841" s="533"/>
      <c r="AH841" s="533"/>
      <c r="AI841" s="533"/>
      <c r="AJ841" s="1"/>
      <c r="AK841" s="533"/>
      <c r="AL841" s="533"/>
      <c r="AM841" s="533"/>
      <c r="AN841" s="533"/>
      <c r="AO841" s="533"/>
    </row>
    <row r="842" spans="1:41" ht="11.25" customHeight="1" x14ac:dyDescent="0.25">
      <c r="A842" s="23"/>
      <c r="B842" s="621"/>
      <c r="C842" s="553"/>
      <c r="F842" s="554"/>
      <c r="G842" s="3"/>
      <c r="H842" s="3"/>
      <c r="I842" s="3"/>
      <c r="J842" s="3"/>
      <c r="K842" s="3"/>
      <c r="L842" s="555"/>
      <c r="M842" s="555"/>
      <c r="N842" s="555"/>
      <c r="P842" s="533"/>
      <c r="Q842" s="533" t="str">
        <f>IF(S842=0,"",COUNTIF(Q$12:Q841,"&gt;0")+1)</f>
        <v/>
      </c>
      <c r="R842" s="533" t="str">
        <f>IF(S842=0,"",COUNTIF(R$12:R841,"&gt;0")+1)</f>
        <v/>
      </c>
      <c r="S842" s="533"/>
      <c r="T842" s="533"/>
      <c r="U842" s="533"/>
      <c r="V842" s="533"/>
      <c r="W842" s="533"/>
      <c r="X842" s="533"/>
      <c r="Y842" s="533"/>
      <c r="Z842" s="533"/>
      <c r="AA842" s="533"/>
      <c r="AB842" s="533"/>
      <c r="AC842" s="533"/>
      <c r="AD842" s="533"/>
      <c r="AE842" s="533"/>
      <c r="AF842" s="533"/>
      <c r="AG842" s="533"/>
      <c r="AH842" s="533"/>
      <c r="AI842" s="533"/>
      <c r="AJ842" s="1"/>
      <c r="AK842" s="533"/>
      <c r="AL842" s="533"/>
      <c r="AM842" s="533"/>
      <c r="AN842" s="533"/>
      <c r="AO842" s="533"/>
    </row>
    <row r="843" spans="1:41" ht="11.25" customHeight="1" x14ac:dyDescent="0.25">
      <c r="A843" s="1228" t="s">
        <v>11</v>
      </c>
      <c r="B843" s="1229"/>
      <c r="C843" s="1235" t="s">
        <v>1828</v>
      </c>
      <c r="D843" s="1236"/>
      <c r="E843" s="1236"/>
      <c r="F843" s="1236"/>
      <c r="G843" s="1236"/>
      <c r="H843" s="1236"/>
      <c r="I843" s="1236"/>
      <c r="J843" s="1236"/>
      <c r="K843" s="1236"/>
      <c r="L843" s="1236"/>
      <c r="M843" s="1236"/>
      <c r="N843" s="1241"/>
      <c r="P843" s="533"/>
      <c r="Q843" s="533" t="str">
        <f>IF(S843=0,"",COUNTIF(Q$12:Q842,"&gt;0")+1)</f>
        <v/>
      </c>
      <c r="R843" s="533" t="str">
        <f>IF(S843=0,"",COUNTIF(R$12:R842,"&gt;0")+1)</f>
        <v/>
      </c>
      <c r="S843" s="533"/>
      <c r="T843" s="533"/>
      <c r="U843" s="533"/>
      <c r="V843" s="533"/>
      <c r="W843" s="533"/>
      <c r="X843" s="533"/>
      <c r="Y843" s="533"/>
      <c r="Z843" s="533"/>
      <c r="AA843" s="533"/>
      <c r="AB843" s="533"/>
      <c r="AC843" s="533"/>
      <c r="AD843" s="533"/>
      <c r="AE843" s="533"/>
      <c r="AF843" s="533"/>
      <c r="AG843" s="533"/>
      <c r="AH843" s="533"/>
      <c r="AI843" s="533"/>
      <c r="AJ843" s="1"/>
      <c r="AK843" s="533"/>
      <c r="AL843" s="533"/>
      <c r="AM843" s="533"/>
      <c r="AN843" s="533"/>
      <c r="AO843" s="533"/>
    </row>
    <row r="844" spans="1:41" ht="11.25" customHeight="1" x14ac:dyDescent="0.25">
      <c r="A844" s="1226" t="s">
        <v>906</v>
      </c>
      <c r="B844" s="1227"/>
      <c r="C844" s="1237"/>
      <c r="D844" s="1238"/>
      <c r="E844" s="1238"/>
      <c r="F844" s="1238"/>
      <c r="G844" s="1238"/>
      <c r="H844" s="1238"/>
      <c r="I844" s="1238"/>
      <c r="J844" s="1238"/>
      <c r="K844" s="1238"/>
      <c r="L844" s="1238"/>
      <c r="M844" s="1238"/>
      <c r="N844" s="1242"/>
      <c r="P844" s="533"/>
      <c r="Q844" s="533" t="str">
        <f>IF(S844=0,"",COUNTIF(Q$12:Q843,"&gt;0")+1)</f>
        <v/>
      </c>
      <c r="R844" s="533" t="str">
        <f>IF(S844=0,"",COUNTIF(R$12:R843,"&gt;0")+1)</f>
        <v/>
      </c>
      <c r="S844" s="533"/>
      <c r="T844" s="533"/>
      <c r="U844" s="533"/>
      <c r="V844" s="533"/>
      <c r="W844" s="533"/>
      <c r="X844" s="533"/>
      <c r="Y844" s="533"/>
      <c r="Z844" s="533"/>
      <c r="AA844" s="533"/>
      <c r="AB844" s="533"/>
      <c r="AC844" s="533"/>
      <c r="AD844" s="533"/>
      <c r="AE844" s="533"/>
      <c r="AF844" s="533"/>
      <c r="AG844" s="533"/>
      <c r="AH844" s="533"/>
      <c r="AI844" s="533"/>
      <c r="AJ844" s="1"/>
      <c r="AK844" s="533"/>
      <c r="AL844" s="533"/>
      <c r="AM844" s="533"/>
      <c r="AN844" s="533"/>
      <c r="AO844" s="533"/>
    </row>
    <row r="845" spans="1:41" ht="13.5" customHeight="1" x14ac:dyDescent="0.25">
      <c r="A845" s="70"/>
      <c r="B845" s="104" t="s">
        <v>1186</v>
      </c>
      <c r="C845" s="695" t="s">
        <v>1183</v>
      </c>
      <c r="D845" s="102"/>
      <c r="E845" s="861"/>
      <c r="F845" s="334"/>
      <c r="G845" s="25"/>
      <c r="H845" s="225"/>
      <c r="I845" s="225"/>
      <c r="J845" s="225"/>
      <c r="K845" s="225"/>
      <c r="L845" s="502"/>
      <c r="M845" s="502"/>
      <c r="N845" s="557" t="s">
        <v>1190</v>
      </c>
      <c r="O845" s="533" t="s">
        <v>32</v>
      </c>
      <c r="P845" s="533" t="s">
        <v>905</v>
      </c>
      <c r="Q845" s="533" t="str">
        <f>IF(S845=0,"",COUNTIF(Q$12:Q844,"&gt;0")+1)</f>
        <v/>
      </c>
      <c r="R845" s="533" t="str">
        <f>IF(S845=0,"",COUNTIF(R$12:R844,"&gt;0")+1)</f>
        <v/>
      </c>
      <c r="S845" s="533">
        <f>A845</f>
        <v>0</v>
      </c>
      <c r="T845" s="533">
        <v>25</v>
      </c>
      <c r="U845" s="533">
        <v>0.1</v>
      </c>
      <c r="V845" s="533">
        <v>150</v>
      </c>
      <c r="W845" s="533"/>
      <c r="X845" s="533"/>
      <c r="Y845" s="533"/>
      <c r="Z845" s="533"/>
      <c r="AA845" s="533"/>
      <c r="AB845" s="533"/>
      <c r="AC845" s="533"/>
      <c r="AD845" s="533"/>
      <c r="AE845" s="533"/>
      <c r="AF845" s="533"/>
      <c r="AG845" s="533"/>
      <c r="AH845" s="533"/>
      <c r="AI845" s="533"/>
      <c r="AJ845" s="1"/>
      <c r="AK845" s="533"/>
      <c r="AL845" s="533"/>
      <c r="AM845" s="533"/>
      <c r="AN845" s="533"/>
      <c r="AO845" s="533"/>
    </row>
    <row r="846" spans="1:41" ht="13.5" customHeight="1" x14ac:dyDescent="0.25">
      <c r="A846" s="70"/>
      <c r="B846" s="104" t="s">
        <v>1186</v>
      </c>
      <c r="C846" s="695" t="s">
        <v>1184</v>
      </c>
      <c r="D846" s="102"/>
      <c r="E846" s="861"/>
      <c r="F846" s="334"/>
      <c r="G846" s="25"/>
      <c r="H846" s="225"/>
      <c r="I846" s="225"/>
      <c r="J846" s="225"/>
      <c r="K846" s="225"/>
      <c r="L846" s="502"/>
      <c r="M846" s="502"/>
      <c r="N846" s="557" t="s">
        <v>1190</v>
      </c>
      <c r="O846" s="533" t="s">
        <v>32</v>
      </c>
      <c r="P846" s="533" t="s">
        <v>905</v>
      </c>
      <c r="Q846" s="533" t="str">
        <f>IF(S846=0,"",COUNTIF(Q$12:Q845,"&gt;0")+1)</f>
        <v/>
      </c>
      <c r="R846" s="533" t="str">
        <f>IF(S846=0,"",COUNTIF(R$12:R845,"&gt;0")+1)</f>
        <v/>
      </c>
      <c r="S846" s="533">
        <f>A846</f>
        <v>0</v>
      </c>
      <c r="T846" s="533">
        <v>25</v>
      </c>
      <c r="U846" s="533">
        <v>0.1</v>
      </c>
      <c r="V846" s="533">
        <v>150</v>
      </c>
      <c r="W846" s="533"/>
      <c r="X846" s="533"/>
      <c r="Y846" s="533"/>
      <c r="Z846" s="533"/>
      <c r="AA846" s="533"/>
      <c r="AB846" s="533"/>
      <c r="AC846" s="533"/>
      <c r="AD846" s="533"/>
      <c r="AE846" s="533"/>
      <c r="AF846" s="533"/>
      <c r="AG846" s="533"/>
      <c r="AH846" s="533"/>
      <c r="AI846" s="533"/>
      <c r="AJ846" s="1"/>
      <c r="AK846" s="533"/>
      <c r="AL846" s="533"/>
      <c r="AM846" s="533"/>
      <c r="AN846" s="533"/>
      <c r="AO846" s="533"/>
    </row>
    <row r="847" spans="1:41" ht="13.5" customHeight="1" x14ac:dyDescent="0.25">
      <c r="A847" s="70"/>
      <c r="B847" s="104" t="s">
        <v>1186</v>
      </c>
      <c r="C847" s="695" t="s">
        <v>1185</v>
      </c>
      <c r="D847" s="102"/>
      <c r="E847" s="861"/>
      <c r="F847" s="334"/>
      <c r="G847" s="25"/>
      <c r="H847" s="225"/>
      <c r="I847" s="225"/>
      <c r="J847" s="225"/>
      <c r="K847" s="225"/>
      <c r="L847" s="502"/>
      <c r="M847" s="502"/>
      <c r="N847" s="557" t="s">
        <v>1190</v>
      </c>
      <c r="O847" s="533" t="s">
        <v>32</v>
      </c>
      <c r="P847" s="533" t="s">
        <v>905</v>
      </c>
      <c r="Q847" s="533" t="str">
        <f>IF(S847=0,"",COUNTIF(Q$12:Q846,"&gt;0")+1)</f>
        <v/>
      </c>
      <c r="R847" s="533" t="str">
        <f>IF(S847=0,"",COUNTIF(R$12:R846,"&gt;0")+1)</f>
        <v/>
      </c>
      <c r="S847" s="533">
        <f>A847</f>
        <v>0</v>
      </c>
      <c r="T847" s="533">
        <v>25</v>
      </c>
      <c r="U847" s="533">
        <v>0.1</v>
      </c>
      <c r="V847" s="533">
        <v>150</v>
      </c>
      <c r="W847" s="533"/>
      <c r="X847" s="533"/>
      <c r="Y847" s="533"/>
      <c r="Z847" s="533"/>
      <c r="AA847" s="533"/>
      <c r="AB847" s="533"/>
      <c r="AC847" s="533"/>
      <c r="AD847" s="533"/>
      <c r="AE847" s="533"/>
      <c r="AF847" s="533"/>
      <c r="AG847" s="533"/>
      <c r="AH847" s="533"/>
      <c r="AI847" s="533"/>
      <c r="AJ847" s="1"/>
      <c r="AK847" s="533"/>
      <c r="AL847" s="533"/>
      <c r="AM847" s="533"/>
      <c r="AN847" s="533"/>
      <c r="AO847" s="533"/>
    </row>
    <row r="848" spans="1:41" ht="13.5" customHeight="1" x14ac:dyDescent="0.25">
      <c r="A848" s="70"/>
      <c r="B848" s="104" t="s">
        <v>1186</v>
      </c>
      <c r="C848" s="696" t="s">
        <v>1188</v>
      </c>
      <c r="D848" s="102"/>
      <c r="E848" s="861"/>
      <c r="F848" s="147"/>
      <c r="G848" s="25"/>
      <c r="H848" s="147"/>
      <c r="I848" s="147"/>
      <c r="J848" s="147"/>
      <c r="K848" s="147"/>
      <c r="L848" s="225"/>
      <c r="M848" s="147"/>
      <c r="N848" s="104" t="s">
        <v>1189</v>
      </c>
      <c r="O848" s="533" t="s">
        <v>32</v>
      </c>
      <c r="P848" s="533" t="s">
        <v>905</v>
      </c>
      <c r="Q848" s="533" t="str">
        <f>IF(S848=0,"",COUNTIF(Q$12:Q847,"&gt;0")+1)</f>
        <v/>
      </c>
      <c r="R848" s="533" t="str">
        <f>IF(S848=0,"",COUNTIF(R$12:R847,"&gt;0")+1)</f>
        <v/>
      </c>
      <c r="S848" s="533">
        <f>A848</f>
        <v>0</v>
      </c>
      <c r="T848" s="533">
        <v>25</v>
      </c>
      <c r="U848" s="533">
        <v>0.1</v>
      </c>
      <c r="V848" s="533">
        <v>150</v>
      </c>
      <c r="W848" s="533"/>
      <c r="X848" s="533"/>
      <c r="Y848" s="533"/>
      <c r="Z848" s="533"/>
      <c r="AA848" s="533"/>
      <c r="AB848" s="533"/>
      <c r="AC848" s="533"/>
      <c r="AD848" s="533"/>
      <c r="AE848" s="533"/>
      <c r="AF848" s="533"/>
      <c r="AG848" s="533"/>
      <c r="AH848" s="533"/>
      <c r="AI848" s="533"/>
      <c r="AJ848" s="1"/>
      <c r="AK848" s="533"/>
      <c r="AL848" s="533"/>
      <c r="AM848" s="533"/>
      <c r="AN848" s="533"/>
      <c r="AO848" s="533"/>
    </row>
    <row r="849" spans="1:41" ht="13.5" customHeight="1" x14ac:dyDescent="0.25">
      <c r="A849" s="70"/>
      <c r="B849" s="104" t="s">
        <v>1186</v>
      </c>
      <c r="C849" s="696" t="s">
        <v>1187</v>
      </c>
      <c r="D849" s="102"/>
      <c r="E849" s="861"/>
      <c r="F849" s="147"/>
      <c r="G849" s="25"/>
      <c r="H849" s="147"/>
      <c r="I849" s="147"/>
      <c r="J849" s="147"/>
      <c r="K849" s="147"/>
      <c r="L849" s="225"/>
      <c r="M849" s="147"/>
      <c r="N849" s="104" t="s">
        <v>1189</v>
      </c>
      <c r="O849" s="533" t="s">
        <v>32</v>
      </c>
      <c r="P849" s="533" t="s">
        <v>905</v>
      </c>
      <c r="Q849" s="533" t="str">
        <f>IF(S849=0,"",COUNTIF(Q$12:Q848,"&gt;0")+1)</f>
        <v/>
      </c>
      <c r="R849" s="533" t="str">
        <f>IF(S849=0,"",COUNTIF(R$12:R848,"&gt;0")+1)</f>
        <v/>
      </c>
      <c r="S849" s="533">
        <f>A849</f>
        <v>0</v>
      </c>
      <c r="T849" s="533">
        <v>25</v>
      </c>
      <c r="U849" s="533">
        <v>0.1</v>
      </c>
      <c r="V849" s="533">
        <v>150</v>
      </c>
      <c r="W849" s="533"/>
      <c r="X849" s="533"/>
      <c r="Y849" s="533"/>
      <c r="Z849" s="533"/>
      <c r="AA849" s="533"/>
      <c r="AB849" s="533"/>
      <c r="AC849" s="533"/>
      <c r="AD849" s="533"/>
      <c r="AE849" s="533"/>
      <c r="AF849" s="533"/>
      <c r="AG849" s="533"/>
      <c r="AH849" s="533"/>
      <c r="AI849" s="533"/>
      <c r="AJ849" s="1"/>
      <c r="AK849" s="533"/>
      <c r="AL849" s="533"/>
      <c r="AM849" s="533"/>
      <c r="AN849" s="533"/>
      <c r="AO849" s="533"/>
    </row>
    <row r="850" spans="1:41" ht="12" customHeight="1" x14ac:dyDescent="0.25">
      <c r="A850" s="2"/>
      <c r="L850" s="3"/>
      <c r="M850" s="2"/>
      <c r="P850" s="533"/>
      <c r="Q850" s="533" t="str">
        <f>IF(S850=0,"",COUNTIF(Q$12:Q849,"&gt;0")+1)</f>
        <v/>
      </c>
      <c r="R850" s="533" t="str">
        <f>IF(S850=0,"",COUNTIF(R$12:R849,"&gt;0")+1)</f>
        <v/>
      </c>
      <c r="S850" s="533"/>
      <c r="T850" s="533"/>
      <c r="U850" s="533"/>
      <c r="V850" s="533"/>
      <c r="W850" s="533"/>
      <c r="X850" s="533"/>
      <c r="Y850" s="533"/>
      <c r="Z850" s="533"/>
      <c r="AA850" s="533"/>
      <c r="AB850" s="533"/>
      <c r="AC850" s="533"/>
      <c r="AD850" s="533"/>
      <c r="AE850" s="533"/>
      <c r="AF850" s="533"/>
      <c r="AG850" s="533"/>
      <c r="AH850" s="533"/>
      <c r="AI850" s="533"/>
      <c r="AJ850" s="1"/>
      <c r="AK850" s="533"/>
      <c r="AL850" s="533"/>
      <c r="AM850" s="533"/>
      <c r="AN850" s="533"/>
      <c r="AO850" s="533"/>
    </row>
    <row r="851" spans="1:41" ht="12.75" customHeight="1" x14ac:dyDescent="0.25">
      <c r="A851" s="1228" t="s">
        <v>11</v>
      </c>
      <c r="B851" s="1229"/>
      <c r="C851" s="1235" t="s">
        <v>912</v>
      </c>
      <c r="D851" s="1236"/>
      <c r="E851" s="1236"/>
      <c r="F851" s="1236"/>
      <c r="G851" s="485"/>
      <c r="H851" s="485"/>
      <c r="I851" s="485"/>
      <c r="J851" s="485"/>
      <c r="K851" s="485"/>
      <c r="L851" s="485"/>
      <c r="M851" s="485"/>
      <c r="N851" s="486"/>
      <c r="P851" s="533"/>
      <c r="Q851" s="533" t="str">
        <f>IF(S851=0,"",COUNTIF(Q$12:Q850,"&gt;0")+1)</f>
        <v/>
      </c>
      <c r="R851" s="533" t="str">
        <f>IF(S851=0,"",COUNTIF(R$12:R850,"&gt;0")+1)</f>
        <v/>
      </c>
      <c r="S851" s="533"/>
      <c r="T851" s="533"/>
      <c r="U851" s="533"/>
      <c r="V851" s="533"/>
      <c r="W851" s="533"/>
      <c r="X851" s="533"/>
      <c r="Y851" s="533"/>
      <c r="Z851" s="533"/>
      <c r="AA851" s="533"/>
      <c r="AB851" s="533"/>
      <c r="AC851" s="533"/>
      <c r="AD851" s="533"/>
      <c r="AE851" s="533"/>
      <c r="AF851" s="533"/>
      <c r="AG851" s="533"/>
      <c r="AH851" s="533"/>
      <c r="AI851" s="533"/>
      <c r="AJ851" s="1"/>
      <c r="AK851" s="533"/>
      <c r="AL851" s="533"/>
      <c r="AM851" s="533"/>
    </row>
    <row r="852" spans="1:41" ht="12.75" customHeight="1" x14ac:dyDescent="0.25">
      <c r="A852" s="1226" t="s">
        <v>906</v>
      </c>
      <c r="B852" s="1227"/>
      <c r="C852" s="1237"/>
      <c r="D852" s="1238"/>
      <c r="E852" s="1238"/>
      <c r="F852" s="1238"/>
      <c r="G852" s="484"/>
      <c r="H852" s="484"/>
      <c r="I852" s="484"/>
      <c r="J852" s="484"/>
      <c r="K852" s="484"/>
      <c r="L852" s="484"/>
      <c r="M852" s="484"/>
      <c r="N852" s="487"/>
      <c r="P852" s="533"/>
      <c r="Q852" s="533" t="str">
        <f>IF(S852=0,"",COUNTIF(Q$12:Q851,"&gt;0")+1)</f>
        <v/>
      </c>
      <c r="R852" s="533" t="str">
        <f>IF(S852=0,"",COUNTIF(R$12:R851,"&gt;0")+1)</f>
        <v/>
      </c>
      <c r="S852" s="533"/>
      <c r="T852" s="533"/>
      <c r="U852" s="533"/>
      <c r="V852" s="533"/>
      <c r="W852" s="533"/>
      <c r="X852" s="533"/>
      <c r="Y852" s="533"/>
      <c r="Z852" s="533"/>
      <c r="AA852" s="533"/>
      <c r="AB852" s="533"/>
      <c r="AC852" s="533"/>
      <c r="AD852" s="533"/>
      <c r="AE852" s="533"/>
      <c r="AF852" s="533"/>
      <c r="AG852" s="533"/>
      <c r="AH852" s="533"/>
      <c r="AI852" s="533"/>
      <c r="AJ852" s="1"/>
      <c r="AK852" s="533"/>
      <c r="AL852" s="533"/>
      <c r="AM852" s="533"/>
    </row>
    <row r="853" spans="1:41" ht="13.5" customHeight="1" x14ac:dyDescent="0.25">
      <c r="A853" s="127"/>
      <c r="B853" s="104" t="s">
        <v>12</v>
      </c>
      <c r="C853" s="703" t="s">
        <v>1022</v>
      </c>
      <c r="D853" s="642"/>
      <c r="E853" s="861"/>
      <c r="F853" s="25"/>
      <c r="G853" s="313"/>
      <c r="H853" s="231"/>
      <c r="I853" s="147"/>
      <c r="J853" s="147"/>
      <c r="K853" s="147"/>
      <c r="L853" s="502"/>
      <c r="M853" s="502"/>
      <c r="N853" s="503">
        <v>2.5</v>
      </c>
      <c r="O853" s="533" t="s">
        <v>32</v>
      </c>
      <c r="P853" s="533" t="s">
        <v>912</v>
      </c>
      <c r="Q853" s="533" t="str">
        <f>IF(S853=0,"",COUNTIF(Q$12:Q852,"&gt;0")+1)</f>
        <v/>
      </c>
      <c r="R853" s="533" t="str">
        <f>IF(S853=0,"",COUNTIF(R$12:R852,"&gt;0")+1)</f>
        <v/>
      </c>
      <c r="S853" s="533">
        <f t="shared" ref="S853:S857" si="133">A853</f>
        <v>0</v>
      </c>
      <c r="T853" s="533">
        <v>25</v>
      </c>
      <c r="U853" s="533">
        <v>1E-3</v>
      </c>
      <c r="V853" s="533">
        <v>150</v>
      </c>
      <c r="W853" s="533"/>
      <c r="X853" s="533"/>
      <c r="Y853" s="533"/>
      <c r="Z853" s="533"/>
      <c r="AA853" s="533"/>
      <c r="AB853" s="533"/>
      <c r="AC853" s="533"/>
      <c r="AD853" s="533"/>
      <c r="AE853" s="533"/>
      <c r="AF853" s="533"/>
      <c r="AG853" s="533"/>
      <c r="AH853" s="533"/>
      <c r="AI853" s="533"/>
      <c r="AJ853" s="1"/>
      <c r="AK853" s="533"/>
      <c r="AL853" s="533"/>
      <c r="AM853" s="533"/>
    </row>
    <row r="854" spans="1:41" ht="13.5" customHeight="1" x14ac:dyDescent="0.25">
      <c r="A854" s="70"/>
      <c r="B854" s="619" t="s">
        <v>12</v>
      </c>
      <c r="C854" s="696" t="s">
        <v>915</v>
      </c>
      <c r="D854" s="642"/>
      <c r="E854" s="861"/>
      <c r="F854" s="25"/>
      <c r="G854" s="314"/>
      <c r="H854" s="147"/>
      <c r="I854" s="147"/>
      <c r="J854" s="147"/>
      <c r="K854" s="147"/>
      <c r="L854" s="502"/>
      <c r="M854" s="502"/>
      <c r="N854" s="503">
        <v>2.5</v>
      </c>
      <c r="O854" s="533" t="s">
        <v>32</v>
      </c>
      <c r="P854" s="533" t="s">
        <v>912</v>
      </c>
      <c r="Q854" s="533" t="str">
        <f>IF(S854=0,"",COUNTIF(Q$12:Q853,"&gt;0")+1)</f>
        <v/>
      </c>
      <c r="R854" s="533" t="str">
        <f>IF(S854=0,"",COUNTIF(R$12:R853,"&gt;0")+1)</f>
        <v/>
      </c>
      <c r="S854" s="533">
        <f t="shared" si="133"/>
        <v>0</v>
      </c>
      <c r="T854" s="533">
        <v>25</v>
      </c>
      <c r="U854" s="533">
        <v>1E-3</v>
      </c>
      <c r="V854" s="533">
        <v>150</v>
      </c>
      <c r="W854" s="533"/>
      <c r="X854" s="533"/>
      <c r="Y854" s="533"/>
      <c r="Z854" s="533"/>
      <c r="AA854" s="533"/>
      <c r="AB854" s="533"/>
      <c r="AC854" s="533"/>
      <c r="AD854" s="533"/>
      <c r="AE854" s="533"/>
      <c r="AF854" s="533"/>
      <c r="AG854" s="533"/>
      <c r="AH854" s="533"/>
      <c r="AI854" s="533"/>
      <c r="AJ854" s="1"/>
      <c r="AK854" s="533"/>
      <c r="AL854" s="533"/>
      <c r="AM854" s="533"/>
    </row>
    <row r="855" spans="1:41" ht="13.5" customHeight="1" x14ac:dyDescent="0.25">
      <c r="A855" s="70"/>
      <c r="B855" s="619" t="s">
        <v>12</v>
      </c>
      <c r="C855" s="696" t="s">
        <v>914</v>
      </c>
      <c r="D855" s="642"/>
      <c r="E855" s="861"/>
      <c r="F855" s="25"/>
      <c r="G855" s="314"/>
      <c r="H855" s="147"/>
      <c r="I855" s="147"/>
      <c r="J855" s="147"/>
      <c r="K855" s="147"/>
      <c r="L855" s="502"/>
      <c r="M855" s="502"/>
      <c r="N855" s="503">
        <v>2.5</v>
      </c>
      <c r="O855" s="533" t="s">
        <v>32</v>
      </c>
      <c r="P855" s="533" t="s">
        <v>912</v>
      </c>
      <c r="Q855" s="533" t="str">
        <f>IF(S855=0,"",COUNTIF(Q$12:Q854,"&gt;0")+1)</f>
        <v/>
      </c>
      <c r="R855" s="533" t="str">
        <f>IF(S855=0,"",COUNTIF(R$12:R854,"&gt;0")+1)</f>
        <v/>
      </c>
      <c r="S855" s="533">
        <f>A855</f>
        <v>0</v>
      </c>
      <c r="T855" s="533">
        <v>25</v>
      </c>
      <c r="U855" s="533">
        <v>1E-3</v>
      </c>
      <c r="V855" s="533">
        <v>150</v>
      </c>
      <c r="W855" s="533"/>
      <c r="X855" s="533"/>
      <c r="Y855" s="533"/>
      <c r="Z855" s="533"/>
      <c r="AA855" s="533"/>
      <c r="AB855" s="533"/>
      <c r="AC855" s="533"/>
      <c r="AD855" s="533"/>
      <c r="AE855" s="533"/>
      <c r="AF855" s="533"/>
      <c r="AG855" s="533"/>
      <c r="AH855" s="533"/>
      <c r="AI855" s="533"/>
      <c r="AJ855" s="1"/>
      <c r="AK855" s="533"/>
      <c r="AL855" s="533"/>
      <c r="AM855" s="533"/>
    </row>
    <row r="856" spans="1:41" ht="13.5" customHeight="1" x14ac:dyDescent="0.25">
      <c r="A856" s="70"/>
      <c r="B856" s="619" t="s">
        <v>12</v>
      </c>
      <c r="C856" s="696" t="s">
        <v>913</v>
      </c>
      <c r="D856" s="642"/>
      <c r="E856" s="861"/>
      <c r="F856" s="25"/>
      <c r="G856" s="315"/>
      <c r="H856" s="147"/>
      <c r="I856" s="147"/>
      <c r="J856" s="147"/>
      <c r="K856" s="147"/>
      <c r="L856" s="502"/>
      <c r="M856" s="502"/>
      <c r="N856" s="503">
        <v>3.42</v>
      </c>
      <c r="O856" s="533" t="s">
        <v>32</v>
      </c>
      <c r="P856" s="533" t="s">
        <v>912</v>
      </c>
      <c r="Q856" s="533" t="str">
        <f>IF(S856=0,"",COUNTIF(Q$12:Q855,"&gt;0")+1)</f>
        <v/>
      </c>
      <c r="R856" s="533" t="str">
        <f>IF(S856=0,"",COUNTIF(R$12:R855,"&gt;0")+1)</f>
        <v/>
      </c>
      <c r="S856" s="533">
        <f t="shared" si="133"/>
        <v>0</v>
      </c>
      <c r="T856" s="533">
        <v>25</v>
      </c>
      <c r="U856" s="533">
        <v>1E-3</v>
      </c>
      <c r="V856" s="533">
        <v>150</v>
      </c>
      <c r="W856" s="533"/>
      <c r="X856" s="533"/>
      <c r="Y856" s="533"/>
      <c r="Z856" s="533"/>
      <c r="AA856" s="533"/>
      <c r="AB856" s="533"/>
      <c r="AC856" s="533"/>
      <c r="AD856" s="533"/>
      <c r="AE856" s="533"/>
      <c r="AF856" s="533"/>
      <c r="AG856" s="533"/>
      <c r="AH856" s="533"/>
      <c r="AI856" s="533"/>
      <c r="AJ856" s="1"/>
      <c r="AK856" s="533"/>
      <c r="AL856" s="533"/>
      <c r="AM856" s="533"/>
    </row>
    <row r="857" spans="1:41" ht="13.5" customHeight="1" x14ac:dyDescent="0.25">
      <c r="A857" s="233"/>
      <c r="B857" s="104" t="s">
        <v>12</v>
      </c>
      <c r="C857" s="696" t="s">
        <v>1293</v>
      </c>
      <c r="D857" s="642"/>
      <c r="E857" s="861"/>
      <c r="F857" s="25"/>
      <c r="G857" s="316"/>
      <c r="H857" s="147"/>
      <c r="I857" s="147"/>
      <c r="J857" s="147"/>
      <c r="K857" s="147"/>
      <c r="L857" s="502"/>
      <c r="M857" s="502"/>
      <c r="N857" s="503">
        <v>3.42</v>
      </c>
      <c r="O857" s="533" t="s">
        <v>32</v>
      </c>
      <c r="P857" s="533" t="s">
        <v>912</v>
      </c>
      <c r="Q857" s="533" t="str">
        <f>IF(S857=0,"",COUNTIF(Q$12:Q856,"&gt;0")+1)</f>
        <v/>
      </c>
      <c r="R857" s="533" t="str">
        <f>IF(S857=0,"",COUNTIF(R$12:R856,"&gt;0")+1)</f>
        <v/>
      </c>
      <c r="S857" s="533">
        <f t="shared" si="133"/>
        <v>0</v>
      </c>
      <c r="T857" s="533">
        <v>25</v>
      </c>
      <c r="U857" s="533">
        <v>1E-3</v>
      </c>
      <c r="V857" s="533">
        <v>150</v>
      </c>
      <c r="W857" s="533"/>
      <c r="X857" s="533"/>
      <c r="Y857" s="533"/>
      <c r="Z857" s="533"/>
      <c r="AA857" s="533"/>
      <c r="AB857" s="533"/>
      <c r="AC857" s="533"/>
      <c r="AD857" s="533"/>
      <c r="AE857" s="533"/>
      <c r="AF857" s="533"/>
      <c r="AG857" s="533"/>
      <c r="AH857" s="533"/>
      <c r="AI857" s="533"/>
      <c r="AJ857" s="1"/>
      <c r="AK857" s="533"/>
      <c r="AL857" s="533"/>
      <c r="AM857" s="533"/>
    </row>
    <row r="858" spans="1:41" ht="13.5" customHeight="1" x14ac:dyDescent="0.25">
      <c r="A858" s="233"/>
      <c r="B858" s="104" t="s">
        <v>12</v>
      </c>
      <c r="C858" s="696" t="s">
        <v>1141</v>
      </c>
      <c r="D858" s="642"/>
      <c r="E858" s="861"/>
      <c r="F858" s="25"/>
      <c r="G858" s="316"/>
      <c r="H858" s="147"/>
      <c r="I858" s="147"/>
      <c r="J858" s="147"/>
      <c r="K858" s="147"/>
      <c r="L858" s="502"/>
      <c r="M858" s="502"/>
      <c r="N858" s="503">
        <v>3.42</v>
      </c>
      <c r="O858" s="533" t="s">
        <v>32</v>
      </c>
      <c r="P858" s="533" t="s">
        <v>912</v>
      </c>
      <c r="Q858" s="533" t="str">
        <f>IF(S858=0,"",COUNTIF(Q$12:Q857,"&gt;0")+1)</f>
        <v/>
      </c>
      <c r="R858" s="533" t="str">
        <f>IF(S858=0,"",COUNTIF(R$12:R857,"&gt;0")+1)</f>
        <v/>
      </c>
      <c r="S858" s="533">
        <f>A858</f>
        <v>0</v>
      </c>
      <c r="T858" s="533">
        <v>25</v>
      </c>
      <c r="U858" s="533">
        <v>1E-3</v>
      </c>
      <c r="V858" s="533">
        <v>150</v>
      </c>
      <c r="W858" s="533"/>
      <c r="X858" s="533"/>
      <c r="Y858" s="533"/>
      <c r="Z858" s="533"/>
      <c r="AA858" s="533"/>
      <c r="AB858" s="533"/>
      <c r="AC858" s="533"/>
      <c r="AD858" s="533"/>
      <c r="AE858" s="533"/>
      <c r="AF858" s="533"/>
      <c r="AG858" s="533"/>
      <c r="AH858" s="533"/>
      <c r="AI858" s="533"/>
      <c r="AJ858" s="533"/>
      <c r="AK858" s="533"/>
      <c r="AL858" s="533"/>
      <c r="AM858" s="533"/>
    </row>
    <row r="859" spans="1:41" ht="13.5" customHeight="1" x14ac:dyDescent="0.25">
      <c r="A859" s="2"/>
      <c r="L859" s="3"/>
      <c r="M859" s="2"/>
      <c r="P859" s="533"/>
      <c r="Q859" s="533" t="str">
        <f>IF(S859=0,"",COUNTIF(Q$12:Q857,"&gt;0")+1)</f>
        <v/>
      </c>
      <c r="R859" s="533" t="str">
        <f>IF(S859=0,"",COUNTIF(R$12:R857,"&gt;0")+1)</f>
        <v/>
      </c>
      <c r="S859" s="533"/>
      <c r="T859" s="533"/>
      <c r="U859" s="533"/>
      <c r="V859" s="533"/>
      <c r="W859" s="533"/>
      <c r="X859" s="533"/>
      <c r="Y859" s="533"/>
      <c r="Z859" s="533"/>
      <c r="AA859" s="533"/>
      <c r="AB859" s="533"/>
      <c r="AC859" s="533"/>
      <c r="AD859" s="533"/>
      <c r="AE859" s="533"/>
      <c r="AF859" s="533"/>
      <c r="AG859" s="533"/>
      <c r="AH859" s="533"/>
      <c r="AI859" s="533"/>
      <c r="AJ859" s="533"/>
      <c r="AK859" s="533"/>
      <c r="AL859" s="533"/>
      <c r="AM859" s="533"/>
    </row>
    <row r="860" spans="1:41" ht="15" customHeight="1" x14ac:dyDescent="0.25">
      <c r="B860" s="622"/>
      <c r="C860" s="317"/>
      <c r="D860" s="668"/>
      <c r="E860" s="898"/>
      <c r="F860" s="317"/>
      <c r="G860" s="317"/>
      <c r="H860" s="317"/>
      <c r="I860" s="317"/>
      <c r="J860" s="317"/>
      <c r="K860" s="317"/>
      <c r="L860" s="317"/>
      <c r="M860" s="317"/>
      <c r="N860" s="317"/>
      <c r="O860" s="1060"/>
      <c r="P860" s="533"/>
      <c r="Q860" s="705"/>
      <c r="R860" s="705"/>
      <c r="S860" s="533"/>
      <c r="T860" s="533"/>
      <c r="U860" s="533"/>
      <c r="V860" s="533"/>
      <c r="W860" s="704"/>
      <c r="X860" s="704"/>
      <c r="Y860" s="704"/>
      <c r="Z860" s="704"/>
      <c r="AA860" s="704"/>
      <c r="AB860" s="704"/>
      <c r="AC860" s="704"/>
      <c r="AD860" s="704"/>
      <c r="AE860" s="704"/>
      <c r="AF860" s="704"/>
      <c r="AG860" s="533"/>
      <c r="AH860" s="533"/>
      <c r="AI860" s="533"/>
      <c r="AJ860" s="533"/>
      <c r="AK860" s="533"/>
      <c r="AL860" s="533"/>
      <c r="AM860" s="533"/>
    </row>
    <row r="861" spans="1:41" ht="15" customHeight="1" x14ac:dyDescent="0.25">
      <c r="B861" s="622"/>
      <c r="C861" s="317"/>
      <c r="D861" s="668"/>
      <c r="E861" s="898"/>
      <c r="F861" s="317"/>
      <c r="G861" s="317"/>
      <c r="H861" s="317"/>
      <c r="I861" s="317"/>
      <c r="J861" s="317"/>
      <c r="K861" s="317"/>
      <c r="L861" s="317"/>
      <c r="M861" s="317"/>
      <c r="N861" s="317"/>
      <c r="O861" s="1060"/>
      <c r="P861" s="533"/>
      <c r="Q861" s="705"/>
      <c r="R861" s="705"/>
      <c r="S861" s="533"/>
      <c r="T861" s="533"/>
      <c r="U861" s="533"/>
      <c r="V861" s="533"/>
      <c r="W861" s="704"/>
      <c r="X861" s="704"/>
      <c r="Y861" s="704"/>
      <c r="Z861" s="704"/>
      <c r="AA861" s="704"/>
      <c r="AB861" s="704"/>
      <c r="AC861" s="704"/>
      <c r="AD861" s="704"/>
      <c r="AE861" s="704"/>
      <c r="AF861" s="704"/>
      <c r="AG861" s="533"/>
      <c r="AH861" s="533"/>
      <c r="AI861" s="533"/>
      <c r="AJ861" s="533"/>
      <c r="AK861" s="533"/>
      <c r="AL861" s="533"/>
      <c r="AM861" s="533"/>
    </row>
    <row r="862" spans="1:41" x14ac:dyDescent="0.25">
      <c r="P862" s="533"/>
      <c r="Q862" s="705"/>
      <c r="R862" s="705"/>
      <c r="S862" s="533"/>
      <c r="T862" s="533"/>
      <c r="U862" s="533"/>
      <c r="V862" s="533"/>
      <c r="W862" s="704"/>
      <c r="X862" s="704"/>
      <c r="Y862" s="704"/>
      <c r="Z862" s="704"/>
      <c r="AA862" s="704"/>
      <c r="AB862" s="704"/>
      <c r="AC862" s="704"/>
      <c r="AD862" s="704"/>
      <c r="AE862" s="704"/>
      <c r="AF862" s="704"/>
      <c r="AG862" s="533"/>
      <c r="AH862" s="533"/>
      <c r="AI862" s="533"/>
      <c r="AJ862" s="533"/>
      <c r="AK862" s="533"/>
      <c r="AL862" s="533"/>
      <c r="AM862" s="533"/>
    </row>
    <row r="863" spans="1:41" x14ac:dyDescent="0.25">
      <c r="P863" s="533"/>
      <c r="Q863" s="705"/>
      <c r="R863" s="705"/>
      <c r="S863" s="533"/>
      <c r="T863" s="533"/>
      <c r="U863" s="533"/>
      <c r="V863" s="533"/>
      <c r="W863" s="704"/>
      <c r="X863" s="704"/>
      <c r="Y863" s="704"/>
      <c r="Z863" s="704"/>
      <c r="AA863" s="704"/>
      <c r="AB863" s="704"/>
      <c r="AC863" s="704"/>
      <c r="AD863" s="704"/>
      <c r="AE863" s="704"/>
      <c r="AF863" s="704"/>
      <c r="AG863" s="533"/>
    </row>
  </sheetData>
  <sortState xmlns:xlrd2="http://schemas.microsoft.com/office/spreadsheetml/2017/richdata2" ref="C625:AE639">
    <sortCondition ref="C625:C639"/>
  </sortState>
  <mergeCells count="144">
    <mergeCell ref="C642:G643"/>
    <mergeCell ref="A643:B643"/>
    <mergeCell ref="G753:G754"/>
    <mergeCell ref="A796:B796"/>
    <mergeCell ref="A795:B795"/>
    <mergeCell ref="G609:G610"/>
    <mergeCell ref="C795:F796"/>
    <mergeCell ref="AT44:AU44"/>
    <mergeCell ref="C44:F45"/>
    <mergeCell ref="G44:G45"/>
    <mergeCell ref="AN44:AO44"/>
    <mergeCell ref="AP44:AQ44"/>
    <mergeCell ref="AR44:AS44"/>
    <mergeCell ref="C609:F610"/>
    <mergeCell ref="G688:G689"/>
    <mergeCell ref="C698:F699"/>
    <mergeCell ref="C753:F754"/>
    <mergeCell ref="C623:G624"/>
    <mergeCell ref="A648:B648"/>
    <mergeCell ref="A649:B649"/>
    <mergeCell ref="C648:G649"/>
    <mergeCell ref="A623:B623"/>
    <mergeCell ref="A754:B754"/>
    <mergeCell ref="A753:B753"/>
    <mergeCell ref="A659:B659"/>
    <mergeCell ref="A660:B660"/>
    <mergeCell ref="A642:B642"/>
    <mergeCell ref="A852:B852"/>
    <mergeCell ref="A851:B851"/>
    <mergeCell ref="C818:F819"/>
    <mergeCell ref="A833:B833"/>
    <mergeCell ref="A834:B834"/>
    <mergeCell ref="A819:B819"/>
    <mergeCell ref="A818:B818"/>
    <mergeCell ref="C804:F805"/>
    <mergeCell ref="C851:F852"/>
    <mergeCell ref="A804:B804"/>
    <mergeCell ref="A805:B805"/>
    <mergeCell ref="A843:B843"/>
    <mergeCell ref="A844:B844"/>
    <mergeCell ref="C843:N844"/>
    <mergeCell ref="C833:F834"/>
    <mergeCell ref="G804:G805"/>
    <mergeCell ref="A672:B672"/>
    <mergeCell ref="C672:G673"/>
    <mergeCell ref="A673:B673"/>
    <mergeCell ref="A682:B682"/>
    <mergeCell ref="C682:G683"/>
    <mergeCell ref="A610:B610"/>
    <mergeCell ref="A624:B624"/>
    <mergeCell ref="A496:B496"/>
    <mergeCell ref="C360:F361"/>
    <mergeCell ref="C495:F496"/>
    <mergeCell ref="C591:F592"/>
    <mergeCell ref="A699:B699"/>
    <mergeCell ref="G698:G699"/>
    <mergeCell ref="G277:G278"/>
    <mergeCell ref="C490:G491"/>
    <mergeCell ref="G591:G592"/>
    <mergeCell ref="G495:G496"/>
    <mergeCell ref="A591:B591"/>
    <mergeCell ref="A592:B592"/>
    <mergeCell ref="A688:B688"/>
    <mergeCell ref="A609:B609"/>
    <mergeCell ref="A689:B689"/>
    <mergeCell ref="C688:F689"/>
    <mergeCell ref="A698:B698"/>
    <mergeCell ref="C659:G660"/>
    <mergeCell ref="C665:E665"/>
    <mergeCell ref="A495:B495"/>
    <mergeCell ref="A617:B617"/>
    <mergeCell ref="C617:F618"/>
    <mergeCell ref="A360:B360"/>
    <mergeCell ref="G255:G256"/>
    <mergeCell ref="C255:F256"/>
    <mergeCell ref="A256:B256"/>
    <mergeCell ref="A44:B44"/>
    <mergeCell ref="C25:K26"/>
    <mergeCell ref="L25:N26"/>
    <mergeCell ref="B25:B26"/>
    <mergeCell ref="A25:A26"/>
    <mergeCell ref="C35:N35"/>
    <mergeCell ref="C38:N38"/>
    <mergeCell ref="C36:N36"/>
    <mergeCell ref="C37:N37"/>
    <mergeCell ref="C40:N40"/>
    <mergeCell ref="A491:B491"/>
    <mergeCell ref="A490:B490"/>
    <mergeCell ref="C30:N30"/>
    <mergeCell ref="C29:N29"/>
    <mergeCell ref="G360:G361"/>
    <mergeCell ref="C14:K14"/>
    <mergeCell ref="C28:N28"/>
    <mergeCell ref="L12:N14"/>
    <mergeCell ref="L21:N22"/>
    <mergeCell ref="G229:G230"/>
    <mergeCell ref="C229:F230"/>
    <mergeCell ref="A230:B230"/>
    <mergeCell ref="A45:B45"/>
    <mergeCell ref="A361:B361"/>
    <mergeCell ref="A277:B277"/>
    <mergeCell ref="A278:B278"/>
    <mergeCell ref="C277:F278"/>
    <mergeCell ref="A229:B229"/>
    <mergeCell ref="B21:B22"/>
    <mergeCell ref="C23:K24"/>
    <mergeCell ref="L23:N24"/>
    <mergeCell ref="A255:B255"/>
    <mergeCell ref="B23:B24"/>
    <mergeCell ref="A23:A24"/>
    <mergeCell ref="A12:B14"/>
    <mergeCell ref="L17:N18"/>
    <mergeCell ref="C15:K16"/>
    <mergeCell ref="L19:N20"/>
    <mergeCell ref="C17:K18"/>
    <mergeCell ref="C19:K20"/>
    <mergeCell ref="Y4:AC4"/>
    <mergeCell ref="C12:K13"/>
    <mergeCell ref="A21:A22"/>
    <mergeCell ref="C21:K22"/>
    <mergeCell ref="A683:B683"/>
    <mergeCell ref="AV31:AW31"/>
    <mergeCell ref="C33:N33"/>
    <mergeCell ref="C32:N32"/>
    <mergeCell ref="C34:N34"/>
    <mergeCell ref="C31:N31"/>
    <mergeCell ref="G617:G618"/>
    <mergeCell ref="A618:B618"/>
    <mergeCell ref="Y2:AC3"/>
    <mergeCell ref="A2:G3"/>
    <mergeCell ref="A19:A20"/>
    <mergeCell ref="B19:B20"/>
    <mergeCell ref="A17:A18"/>
    <mergeCell ref="B17:B18"/>
    <mergeCell ref="A15:A16"/>
    <mergeCell ref="B15:B16"/>
    <mergeCell ref="P2:U3"/>
    <mergeCell ref="P4:U12"/>
    <mergeCell ref="A6:C6"/>
    <mergeCell ref="A7:N7"/>
    <mergeCell ref="D4:J4"/>
    <mergeCell ref="D5:F5"/>
    <mergeCell ref="H5:N5"/>
    <mergeCell ref="L15:N16"/>
  </mergeCells>
  <phoneticPr fontId="68" type="noConversion"/>
  <conditionalFormatting sqref="A7 A9:B11">
    <cfRule type="expression" dxfId="25" priority="187" stopIfTrue="1">
      <formula>#REF!="Off"</formula>
    </cfRule>
  </conditionalFormatting>
  <conditionalFormatting sqref="A41:A43">
    <cfRule type="expression" dxfId="24" priority="159">
      <formula>#REF!=0</formula>
    </cfRule>
  </conditionalFormatting>
  <conditionalFormatting sqref="A28:B40">
    <cfRule type="expression" dxfId="23" priority="118">
      <formula>#REF!=0</formula>
    </cfRule>
  </conditionalFormatting>
  <conditionalFormatting sqref="A46:B226 A231:B252 A257:A274 A279:B357 A362:B487 A497:B588 A593:B606 A611:A614 A625:B639 A644:B644 A650:A656 A661:B669 A684:B685 A690:A695 A700:B749 A755:A792 A797:B801 A806:A814 A820:B830">
    <cfRule type="expression" dxfId="22" priority="188" stopIfTrue="1">
      <formula>O46=0</formula>
    </cfRule>
  </conditionalFormatting>
  <conditionalFormatting sqref="A644:B646 A640:B641">
    <cfRule type="expression" dxfId="21" priority="194" stopIfTrue="1">
      <formula>#REF!="Off"</formula>
    </cfRule>
  </conditionalFormatting>
  <conditionalFormatting sqref="A657:B657">
    <cfRule type="expression" dxfId="20" priority="195" stopIfTrue="1">
      <formula>#REF!="Off"</formula>
    </cfRule>
  </conditionalFormatting>
  <conditionalFormatting sqref="A674:B679">
    <cfRule type="expression" dxfId="19" priority="1" stopIfTrue="1">
      <formula>O674=0</formula>
    </cfRule>
  </conditionalFormatting>
  <conditionalFormatting sqref="A815:B815">
    <cfRule type="expression" dxfId="18" priority="196" stopIfTrue="1">
      <formula>#REF!="Off"</formula>
    </cfRule>
  </conditionalFormatting>
  <conditionalFormatting sqref="L12:L13 I41:I43 M41:M43">
    <cfRule type="cellIs" dxfId="17" priority="185" operator="equal">
      <formula>0</formula>
    </cfRule>
  </conditionalFormatting>
  <conditionalFormatting sqref="M41:M622 I41:I749 M625:M641 M644:M749 I751:I815 M751:M815">
    <cfRule type="cellIs" dxfId="16" priority="198" stopIfTrue="1" operator="equal">
      <formula>0</formula>
    </cfRule>
  </conditionalFormatting>
  <conditionalFormatting sqref="Y6:Y24">
    <cfRule type="expression" dxfId="15" priority="54">
      <formula>AD6&gt;0</formula>
    </cfRule>
    <cfRule type="expression" dxfId="14" priority="49">
      <formula>AH6=1</formula>
    </cfRule>
  </conditionalFormatting>
  <conditionalFormatting sqref="Z6:Z24">
    <cfRule type="expression" dxfId="13" priority="48">
      <formula>AH6=1</formula>
    </cfRule>
    <cfRule type="expression" dxfId="12" priority="53">
      <formula>AD6&gt;0.2</formula>
    </cfRule>
  </conditionalFormatting>
  <conditionalFormatting sqref="AA6:AA24">
    <cfRule type="expression" dxfId="11" priority="47">
      <formula>AH6=1</formula>
    </cfRule>
    <cfRule type="expression" dxfId="10" priority="52">
      <formula>AD6&gt;0.4</formula>
    </cfRule>
  </conditionalFormatting>
  <conditionalFormatting sqref="AB6:AB24">
    <cfRule type="expression" dxfId="9" priority="46">
      <formula>AH6=1</formula>
    </cfRule>
    <cfRule type="expression" dxfId="8" priority="51">
      <formula>AD6&gt;0.6</formula>
    </cfRule>
  </conditionalFormatting>
  <conditionalFormatting sqref="AC6:AC24">
    <cfRule type="expression" dxfId="7" priority="45">
      <formula>AH6=1</formula>
    </cfRule>
    <cfRule type="expression" dxfId="6" priority="50">
      <formula>AD6&gt;0.8</formula>
    </cfRule>
  </conditionalFormatting>
  <pageMargins left="0.31496062992125984" right="0.31496062992125984" top="0.15748031496062992" bottom="0.15748031496062992" header="0.15748031496062992" footer="0"/>
  <pageSetup paperSize="9" scale="82" fitToWidth="0" fitToHeight="0" orientation="portrait" horizontalDpi="1200" verticalDpi="1200" r:id="rId1"/>
  <headerFooter>
    <oddHeader xml:space="preserve">&amp;C         &amp;R      </oddHeader>
    <oddFooter xml:space="preserve">&amp;C Page &amp;P of &amp;N                                                                  .         </oddFooter>
  </headerFooter>
  <rowBreaks count="3" manualBreakCount="3">
    <brk id="227" max="13" man="1"/>
    <brk id="615" max="13" man="1"/>
    <brk id="817" max="13" man="1"/>
  </rowBreaks>
  <drawing r:id="rId2"/>
  <extLst>
    <ext xmlns:x14="http://schemas.microsoft.com/office/spreadsheetml/2009/9/main" uri="{78C0D931-6437-407d-A8EE-F0AAD7539E65}">
      <x14:conditionalFormattings>
        <x14:conditionalFormatting xmlns:xm="http://schemas.microsoft.com/office/excel/2006/main">
          <x14:cfRule type="iconSet" priority="323" id="{E9C7EE90-9AA0-4530-9717-91BEDFF5ADE1}">
            <x14:iconSet iconSet="3Stars" custom="1">
              <x14:cfvo type="percent">
                <xm:f>0</xm:f>
              </x14:cfvo>
              <x14:cfvo type="num">
                <xm:f>0</xm:f>
              </x14:cfvo>
              <x14:cfvo type="num">
                <xm:f>1</xm:f>
              </x14:cfvo>
              <x14:cfIcon iconSet="NoIcons" iconId="0"/>
              <x14:cfIcon iconSet="NoIcons" iconId="0"/>
              <x14:cfIcon iconSet="3Stars" iconId="2"/>
            </x14:iconSet>
          </x14:cfRule>
          <xm:sqref>J41:J43</xm:sqref>
        </x14:conditionalFormatting>
        <x14:conditionalFormatting xmlns:xm="http://schemas.microsoft.com/office/excel/2006/main">
          <x14:cfRule type="iconSet" priority="27" id="{3A09DF6D-8697-4520-A087-422AE8CAB46E}">
            <x14:iconSet iconSet="3Stars" custom="1">
              <x14:cfvo type="percent">
                <xm:f>0</xm:f>
              </x14:cfvo>
              <x14:cfvo type="num">
                <xm:f>0</xm:f>
              </x14:cfvo>
              <x14:cfvo type="num">
                <xm:f>1</xm:f>
              </x14:cfvo>
              <x14:cfIcon iconSet="NoIcons" iconId="0"/>
              <x14:cfIcon iconSet="NoIcons" iconId="0"/>
              <x14:cfIcon iconSet="3Stars" iconId="2"/>
            </x14:iconSet>
          </x14:cfRule>
          <xm:sqref>J299</xm:sqref>
        </x14:conditionalFormatting>
        <x14:conditionalFormatting xmlns:xm="http://schemas.microsoft.com/office/excel/2006/main">
          <x14:cfRule type="iconSet" priority="21" id="{2C03CBC2-B5D7-43FE-B0C9-2F7EB7E0C2C8}">
            <x14:iconSet iconSet="3Stars" custom="1">
              <x14:cfvo type="percent">
                <xm:f>0</xm:f>
              </x14:cfvo>
              <x14:cfvo type="num">
                <xm:f>0</xm:f>
              </x14:cfvo>
              <x14:cfvo type="num">
                <xm:f>1</xm:f>
              </x14:cfvo>
              <x14:cfIcon iconSet="NoIcons" iconId="0"/>
              <x14:cfIcon iconSet="NoIcons" iconId="0"/>
              <x14:cfIcon iconSet="3Stars" iconId="2"/>
            </x14:iconSet>
          </x14:cfRule>
          <xm:sqref>J302</xm:sqref>
        </x14:conditionalFormatting>
        <x14:conditionalFormatting xmlns:xm="http://schemas.microsoft.com/office/excel/2006/main">
          <x14:cfRule type="iconSet" priority="24" id="{084E051C-3DA8-419D-82F4-0AE3B1CC56E9}">
            <x14:iconSet iconSet="3Stars" custom="1">
              <x14:cfvo type="percent">
                <xm:f>0</xm:f>
              </x14:cfvo>
              <x14:cfvo type="num">
                <xm:f>0</xm:f>
              </x14:cfvo>
              <x14:cfvo type="num">
                <xm:f>1</xm:f>
              </x14:cfvo>
              <x14:cfIcon iconSet="NoIcons" iconId="0"/>
              <x14:cfIcon iconSet="NoIcons" iconId="0"/>
              <x14:cfIcon iconSet="3Stars" iconId="2"/>
            </x14:iconSet>
          </x14:cfRule>
          <xm:sqref>J303</xm:sqref>
        </x14:conditionalFormatting>
        <x14:conditionalFormatting xmlns:xm="http://schemas.microsoft.com/office/excel/2006/main">
          <x14:cfRule type="iconSet" priority="478" id="{8C78A660-4333-4AEE-B6EB-0FBBA53ABB0E}">
            <x14:iconSet iconSet="3Stars" custom="1">
              <x14:cfvo type="percent">
                <xm:f>0</xm:f>
              </x14:cfvo>
              <x14:cfvo type="num">
                <xm:f>0</xm:f>
              </x14:cfvo>
              <x14:cfvo type="num">
                <xm:f>1</xm:f>
              </x14:cfvo>
              <x14:cfIcon iconSet="NoIcons" iconId="0"/>
              <x14:cfIcon iconSet="NoIcons" iconId="0"/>
              <x14:cfIcon iconSet="3Stars" iconId="2"/>
            </x14:iconSet>
          </x14:cfRule>
          <xm:sqref>J492</xm:sqref>
        </x14:conditionalFormatting>
        <x14:conditionalFormatting xmlns:xm="http://schemas.microsoft.com/office/excel/2006/main">
          <x14:cfRule type="iconSet" priority="5" id="{1C61795B-E92B-4F09-9205-A4F5D52FEB27}">
            <x14:iconSet iconSet="3Stars" custom="1">
              <x14:cfvo type="percent">
                <xm:f>0</xm:f>
              </x14:cfvo>
              <x14:cfvo type="num">
                <xm:f>0</xm:f>
              </x14:cfvo>
              <x14:cfvo type="num">
                <xm:f>1</xm:f>
              </x14:cfvo>
              <x14:cfIcon iconSet="NoIcons" iconId="0"/>
              <x14:cfIcon iconSet="NoIcons" iconId="0"/>
              <x14:cfIcon iconSet="3Stars" iconId="2"/>
            </x14:iconSet>
          </x14:cfRule>
          <xm:sqref>J497:J579</xm:sqref>
        </x14:conditionalFormatting>
        <x14:conditionalFormatting xmlns:xm="http://schemas.microsoft.com/office/excel/2006/main">
          <x14:cfRule type="iconSet" priority="325" id="{36ED2227-C7F3-48B6-A7A6-F01BB599520F}">
            <x14:iconSet iconSet="3Stars" custom="1">
              <x14:cfvo type="percent">
                <xm:f>0</xm:f>
              </x14:cfvo>
              <x14:cfvo type="num">
                <xm:f>0</xm:f>
              </x14:cfvo>
              <x14:cfvo type="num">
                <xm:f>1</xm:f>
              </x14:cfvo>
              <x14:cfIcon iconSet="NoIcons" iconId="0"/>
              <x14:cfIcon iconSet="NoIcons" iconId="0"/>
              <x14:cfIcon iconSet="3Stars" iconId="2"/>
            </x14:iconSet>
          </x14:cfRule>
          <xm:sqref>K41:K43</xm:sqref>
        </x14:conditionalFormatting>
        <x14:conditionalFormatting xmlns:xm="http://schemas.microsoft.com/office/excel/2006/main">
          <x14:cfRule type="iconSet" priority="28" id="{BF70795F-5FCD-48BD-A66A-D3CFBFF75E52}">
            <x14:iconSet iconSet="3Stars" custom="1">
              <x14:cfvo type="percent">
                <xm:f>0</xm:f>
              </x14:cfvo>
              <x14:cfvo type="num">
                <xm:f>0</xm:f>
              </x14:cfvo>
              <x14:cfvo type="num">
                <xm:f>1</xm:f>
              </x14:cfvo>
              <x14:cfIcon iconSet="NoIcons" iconId="0"/>
              <x14:cfIcon iconSet="NoIcons" iconId="0"/>
              <x14:cfIcon iconSet="3Stars" iconId="2"/>
            </x14:iconSet>
          </x14:cfRule>
          <xm:sqref>K299</xm:sqref>
        </x14:conditionalFormatting>
        <x14:conditionalFormatting xmlns:xm="http://schemas.microsoft.com/office/excel/2006/main">
          <x14:cfRule type="iconSet" priority="22" id="{03883156-6FFA-4D85-A06B-3C3CB9AC4200}">
            <x14:iconSet iconSet="3Stars" custom="1">
              <x14:cfvo type="percent">
                <xm:f>0</xm:f>
              </x14:cfvo>
              <x14:cfvo type="num">
                <xm:f>0</xm:f>
              </x14:cfvo>
              <x14:cfvo type="num">
                <xm:f>1</xm:f>
              </x14:cfvo>
              <x14:cfIcon iconSet="NoIcons" iconId="0"/>
              <x14:cfIcon iconSet="NoIcons" iconId="0"/>
              <x14:cfIcon iconSet="3Stars" iconId="2"/>
            </x14:iconSet>
          </x14:cfRule>
          <xm:sqref>K302</xm:sqref>
        </x14:conditionalFormatting>
        <x14:conditionalFormatting xmlns:xm="http://schemas.microsoft.com/office/excel/2006/main">
          <x14:cfRule type="iconSet" priority="25" id="{272E1DC7-5D61-402D-B313-E1A924199798}">
            <x14:iconSet iconSet="3Stars" custom="1">
              <x14:cfvo type="percent">
                <xm:f>0</xm:f>
              </x14:cfvo>
              <x14:cfvo type="num">
                <xm:f>0</xm:f>
              </x14:cfvo>
              <x14:cfvo type="num">
                <xm:f>1</xm:f>
              </x14:cfvo>
              <x14:cfIcon iconSet="NoIcons" iconId="0"/>
              <x14:cfIcon iconSet="NoIcons" iconId="0"/>
              <x14:cfIcon iconSet="3Stars" iconId="2"/>
            </x14:iconSet>
          </x14:cfRule>
          <xm:sqref>K303</xm:sqref>
        </x14:conditionalFormatting>
        <x14:conditionalFormatting xmlns:xm="http://schemas.microsoft.com/office/excel/2006/main">
          <x14:cfRule type="iconSet" priority="68" id="{7A119876-B39B-4CB6-AA5A-629B50BAAEE2}">
            <x14:iconSet iconSet="3Stars" custom="1">
              <x14:cfvo type="percent">
                <xm:f>0</xm:f>
              </x14:cfvo>
              <x14:cfvo type="num">
                <xm:f>0</xm:f>
              </x14:cfvo>
              <x14:cfvo type="num">
                <xm:f>1</xm:f>
              </x14:cfvo>
              <x14:cfIcon iconSet="NoIcons" iconId="0"/>
              <x14:cfIcon iconSet="NoIcons" iconId="0"/>
              <x14:cfIcon iconSet="3Stars" iconId="2"/>
            </x14:iconSet>
          </x14:cfRule>
          <xm:sqref>K354</xm:sqref>
        </x14:conditionalFormatting>
        <x14:conditionalFormatting xmlns:xm="http://schemas.microsoft.com/office/excel/2006/main">
          <x14:cfRule type="iconSet" priority="479" id="{89A4F54C-DD06-47F2-B704-CD8E22A0233E}">
            <x14:iconSet iconSet="3Stars" custom="1">
              <x14:cfvo type="percent">
                <xm:f>0</xm:f>
              </x14:cfvo>
              <x14:cfvo type="num">
                <xm:f>0</xm:f>
              </x14:cfvo>
              <x14:cfvo type="num">
                <xm:f>1</xm:f>
              </x14:cfvo>
              <x14:cfIcon iconSet="NoIcons" iconId="0"/>
              <x14:cfIcon iconSet="NoIcons" iconId="0"/>
              <x14:cfIcon iconSet="3Stars" iconId="2"/>
            </x14:iconSet>
          </x14:cfRule>
          <xm:sqref>K492</xm:sqref>
        </x14:conditionalFormatting>
        <x14:conditionalFormatting xmlns:xm="http://schemas.microsoft.com/office/excel/2006/main">
          <x14:cfRule type="iconSet" priority="89" id="{3FBD3367-F114-4DF4-8A71-BEFB07DCC836}">
            <x14:iconSet iconSet="3Stars" custom="1">
              <x14:cfvo type="percent">
                <xm:f>0</xm:f>
              </x14:cfvo>
              <x14:cfvo type="num">
                <xm:f>0</xm:f>
              </x14:cfvo>
              <x14:cfvo type="num">
                <xm:f>1</xm:f>
              </x14:cfvo>
              <x14:cfIcon iconSet="NoIcons" iconId="0"/>
              <x14:cfIcon iconSet="NoIcons" iconId="0"/>
              <x14:cfIcon iconSet="3Stars" iconId="2"/>
            </x14:iconSet>
          </x14:cfRule>
          <xm:sqref>K497 K528:K534 K500:K523</xm:sqref>
        </x14:conditionalFormatting>
        <x14:conditionalFormatting xmlns:xm="http://schemas.microsoft.com/office/excel/2006/main">
          <x14:cfRule type="iconSet" priority="13" id="{56B874A4-B1F1-4930-B9A7-B672BE356A96}">
            <x14:iconSet iconSet="3Stars" custom="1">
              <x14:cfvo type="percent">
                <xm:f>0</xm:f>
              </x14:cfvo>
              <x14:cfvo type="num">
                <xm:f>0</xm:f>
              </x14:cfvo>
              <x14:cfvo type="num">
                <xm:f>1</xm:f>
              </x14:cfvo>
              <x14:cfIcon iconSet="NoIcons" iconId="0"/>
              <x14:cfIcon iconSet="NoIcons" iconId="0"/>
              <x14:cfIcon iconSet="3Stars" iconId="2"/>
            </x14:iconSet>
          </x14:cfRule>
          <xm:sqref>K498:K499</xm:sqref>
        </x14:conditionalFormatting>
        <x14:conditionalFormatting xmlns:xm="http://schemas.microsoft.com/office/excel/2006/main">
          <x14:cfRule type="iconSet" priority="6" id="{D30AEF35-DF11-4FDA-B80D-235DE95E9B32}">
            <x14:iconSet iconSet="3Stars" custom="1">
              <x14:cfvo type="percent">
                <xm:f>0</xm:f>
              </x14:cfvo>
              <x14:cfvo type="num">
                <xm:f>0</xm:f>
              </x14:cfvo>
              <x14:cfvo type="num">
                <xm:f>1</xm:f>
              </x14:cfvo>
              <x14:cfIcon iconSet="NoIcons" iconId="0"/>
              <x14:cfIcon iconSet="NoIcons" iconId="0"/>
              <x14:cfIcon iconSet="3Stars" iconId="2"/>
            </x14:iconSet>
          </x14:cfRule>
          <xm:sqref>K524:K527</xm:sqref>
        </x14:conditionalFormatting>
        <x14:conditionalFormatting xmlns:xm="http://schemas.microsoft.com/office/excel/2006/main">
          <x14:cfRule type="iconSet" priority="488" id="{B8B5CE15-E693-4BFF-A3EC-A4D7B6659181}">
            <x14:iconSet iconSet="3Stars" custom="1">
              <x14:cfvo type="percent">
                <xm:f>0</xm:f>
              </x14:cfvo>
              <x14:cfvo type="num">
                <xm:f>0</xm:f>
              </x14:cfvo>
              <x14:cfvo type="num">
                <xm:f>1</xm:f>
              </x14:cfvo>
              <x14:cfIcon iconSet="NoIcons" iconId="0"/>
              <x14:cfIcon iconSet="NoIcons" iconId="0"/>
              <x14:cfIcon iconSet="3Stars" iconId="2"/>
            </x14:iconSet>
          </x14:cfRule>
          <xm:sqref>K535:K562 K564:K588</xm:sqref>
        </x14:conditionalFormatting>
        <x14:conditionalFormatting xmlns:xm="http://schemas.microsoft.com/office/excel/2006/main">
          <x14:cfRule type="iconSet" priority="8" id="{C5F70E03-E5A9-44FA-BBC9-323A1F6F8804}">
            <x14:iconSet iconSet="3Stars" custom="1">
              <x14:cfvo type="percent">
                <xm:f>0</xm:f>
              </x14:cfvo>
              <x14:cfvo type="num">
                <xm:f>0</xm:f>
              </x14:cfvo>
              <x14:cfvo type="num">
                <xm:f>1</xm:f>
              </x14:cfvo>
              <x14:cfIcon iconSet="NoIcons" iconId="0"/>
              <x14:cfIcon iconSet="NoIcons" iconId="0"/>
              <x14:cfIcon iconSet="3Stars" iconId="2"/>
            </x14:iconSet>
          </x14:cfRule>
          <xm:sqref>K563</xm:sqref>
        </x14:conditionalFormatting>
        <x14:conditionalFormatting xmlns:xm="http://schemas.microsoft.com/office/excel/2006/main">
          <x14:cfRule type="iconSet" priority="506" id="{C680776E-C879-4B29-BE74-0F86624595D2}">
            <x14:iconSet iconSet="3Stars" custom="1">
              <x14:cfvo type="percent">
                <xm:f>0</xm:f>
              </x14:cfvo>
              <x14:cfvo type="num">
                <xm:f>0</xm:f>
              </x14:cfvo>
              <x14:cfvo type="num">
                <xm:f>1</xm:f>
              </x14:cfvo>
              <x14:cfIcon iconSet="NoIcons" iconId="0"/>
              <x14:cfIcon iconSet="NoIcons" iconId="0"/>
              <x14:cfIcon iconSet="3Stars" iconId="2"/>
            </x14:iconSet>
          </x14:cfRule>
          <xm:sqref>K690:K694 J300:J301 J493:J496 J625:K627 J644:K644 J304:J491 J589:J618 J622:J624 J619:K621 J628:J643 K628:K639 J645:J674 J679:J813 J675:K678 J46:J298</xm:sqref>
        </x14:conditionalFormatting>
        <x14:conditionalFormatting xmlns:xm="http://schemas.microsoft.com/office/excel/2006/main">
          <x14:cfRule type="iconSet" priority="520" id="{FF9B2BF1-D111-49DC-B069-F1019623E3AD}">
            <x14:iconSet iconSet="3Stars" custom="1">
              <x14:cfvo type="percent">
                <xm:f>0</xm:f>
              </x14:cfvo>
              <x14:cfvo type="num">
                <xm:f>0</xm:f>
              </x14:cfvo>
              <x14:cfvo type="num">
                <xm:f>1</xm:f>
              </x14:cfvo>
              <x14:cfIcon iconSet="NoIcons" iconId="0"/>
              <x14:cfIcon iconSet="NoIcons" iconId="0"/>
              <x14:cfIcon iconSet="3Stars" iconId="2"/>
            </x14:iconSet>
          </x14:cfRule>
          <xm:sqref>K695:K813 K272:K298 K300:K301 K304:K353 K493:K496 K640:K643 K355:K491 K589:K618 K622:K624 K645:K674 K46:K269 K679:K689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86"/>
  <sheetViews>
    <sheetView topLeftCell="A6" workbookViewId="0">
      <selection activeCell="B45" sqref="B45"/>
    </sheetView>
  </sheetViews>
  <sheetFormatPr defaultColWidth="8.85546875" defaultRowHeight="13.5" x14ac:dyDescent="0.15"/>
  <cols>
    <col min="1" max="1" width="26.7109375" style="236" customWidth="1"/>
    <col min="2" max="2" width="44.5703125" style="236" bestFit="1" customWidth="1"/>
    <col min="3" max="3" width="7.42578125" style="236" customWidth="1"/>
    <col min="4" max="4" width="5.5703125" style="236" customWidth="1"/>
    <col min="5" max="6" width="3.7109375" style="236" customWidth="1"/>
    <col min="7" max="7" width="3.42578125" style="236" customWidth="1"/>
    <col min="8" max="8" width="4.42578125" style="566" bestFit="1" customWidth="1"/>
    <col min="9" max="9" width="25" style="236" bestFit="1" customWidth="1"/>
    <col min="10" max="10" width="8.85546875" style="236" customWidth="1"/>
    <col min="11" max="11" width="13.42578125" style="236" bestFit="1" customWidth="1"/>
    <col min="12" max="12" width="12.28515625" style="236" customWidth="1"/>
    <col min="13" max="13" width="8.85546875" style="236"/>
    <col min="14" max="14" width="3.28515625" style="236" bestFit="1" customWidth="1"/>
    <col min="15" max="16384" width="8.85546875" style="236"/>
  </cols>
  <sheetData>
    <row r="1" spans="1:31" ht="15" customHeight="1" x14ac:dyDescent="0.15">
      <c r="A1" s="234" t="s">
        <v>917</v>
      </c>
      <c r="B1" s="235" t="str">
        <f>IF(Order!D4="", "Please enter your name",Order!D4)</f>
        <v>Please enter your name</v>
      </c>
      <c r="C1" s="1259" t="str">
        <f>Order!F6</f>
        <v>18.03.2024</v>
      </c>
      <c r="D1" s="1259"/>
      <c r="I1" s="237"/>
      <c r="J1" s="237"/>
      <c r="K1" s="238"/>
      <c r="L1" s="238"/>
    </row>
    <row r="2" spans="1:31" x14ac:dyDescent="0.15">
      <c r="A2" s="239" t="str">
        <f>Order!A1</f>
        <v>Your order is 1 Trolley</v>
      </c>
      <c r="B2" s="684"/>
      <c r="D2" s="240"/>
      <c r="E2" s="241"/>
      <c r="F2" s="564"/>
      <c r="G2" s="566"/>
      <c r="I2" s="566"/>
      <c r="J2" s="566"/>
      <c r="K2" s="566"/>
      <c r="L2" s="566"/>
      <c r="M2" s="566"/>
      <c r="N2" s="566"/>
      <c r="O2" s="564"/>
      <c r="P2" s="564"/>
      <c r="Q2" s="564"/>
      <c r="R2" s="564"/>
      <c r="S2" s="564"/>
      <c r="T2" s="564"/>
      <c r="U2" s="564"/>
    </row>
    <row r="3" spans="1:31" ht="14.25" x14ac:dyDescent="0.15">
      <c r="A3" s="234"/>
      <c r="B3" s="235"/>
      <c r="D3" s="237"/>
      <c r="E3" s="576"/>
      <c r="F3" s="564"/>
      <c r="G3" s="566"/>
      <c r="I3" s="566"/>
      <c r="J3" s="566"/>
      <c r="K3" s="566"/>
      <c r="L3" s="566"/>
      <c r="M3" s="566"/>
      <c r="N3" s="566"/>
      <c r="O3" s="564"/>
      <c r="P3" s="564"/>
      <c r="Q3" s="566"/>
      <c r="R3" s="566"/>
      <c r="S3" s="566"/>
      <c r="T3" s="566"/>
      <c r="U3" s="566"/>
      <c r="V3" s="566"/>
      <c r="W3" s="566"/>
    </row>
    <row r="4" spans="1:31" x14ac:dyDescent="0.15">
      <c r="A4" s="242" t="s">
        <v>918</v>
      </c>
      <c r="B4" s="242" t="s">
        <v>919</v>
      </c>
      <c r="C4" s="1260" t="s">
        <v>920</v>
      </c>
      <c r="D4" s="1260"/>
      <c r="E4" s="576"/>
      <c r="F4" s="576"/>
      <c r="G4" s="566"/>
      <c r="I4" s="566"/>
      <c r="J4" s="566"/>
      <c r="K4" s="566"/>
      <c r="L4" s="566"/>
      <c r="M4" s="566"/>
      <c r="N4" s="566"/>
      <c r="O4" s="566"/>
      <c r="P4" s="566"/>
      <c r="Q4" s="566"/>
      <c r="R4" s="576"/>
      <c r="S4" s="713"/>
      <c r="T4" s="713"/>
      <c r="U4" s="713"/>
      <c r="V4" s="713"/>
      <c r="W4" s="567"/>
      <c r="X4" s="565"/>
      <c r="Y4" s="477"/>
      <c r="Z4" s="477"/>
      <c r="AA4" s="477"/>
      <c r="AB4" s="477"/>
      <c r="AC4" s="477"/>
      <c r="AD4" s="477"/>
      <c r="AE4" s="477"/>
    </row>
    <row r="5" spans="1:31" x14ac:dyDescent="0.15">
      <c r="A5" s="243" t="str">
        <f>K5</f>
        <v/>
      </c>
      <c r="B5" s="244" t="str">
        <f>I5</f>
        <v/>
      </c>
      <c r="C5" s="245" t="str">
        <f>J5</f>
        <v/>
      </c>
      <c r="D5" s="246" t="str">
        <f>L5</f>
        <v/>
      </c>
      <c r="E5" s="576"/>
      <c r="F5" s="576"/>
      <c r="G5" s="566"/>
      <c r="H5" s="566">
        <v>1</v>
      </c>
      <c r="I5" s="566" t="str">
        <f>_xlfn.XLOOKUP(H5,Order!Q$12:Q$859,Order!C$12:C$859,"")</f>
        <v/>
      </c>
      <c r="J5" s="566" t="str">
        <f>_xlfn.XLOOKUP(H5,Order!Q$12:Q$859,Order!S$12:S$859,"")</f>
        <v/>
      </c>
      <c r="K5" s="566" t="str">
        <f>_xlfn.XLOOKUP(H5,Order!Q$12:Q$859,Order!P$12:P$859,"")</f>
        <v/>
      </c>
      <c r="L5" s="566" t="str">
        <f>_xlfn.XLOOKUP(H5,Order!Q$12:Q$859,Order!B$12:B$859,"")</f>
        <v/>
      </c>
      <c r="M5" s="566"/>
      <c r="N5" s="566"/>
      <c r="O5" s="566"/>
      <c r="P5" s="854"/>
      <c r="Q5" s="712"/>
      <c r="R5" s="576"/>
      <c r="S5" s="576"/>
      <c r="T5" s="576"/>
      <c r="U5" s="576"/>
      <c r="V5" s="576"/>
      <c r="W5" s="566"/>
      <c r="X5" s="564"/>
    </row>
    <row r="6" spans="1:31" x14ac:dyDescent="0.15">
      <c r="A6" s="243" t="str">
        <f>IF(K6=0,"",IF(K6=K5,"",K6))</f>
        <v/>
      </c>
      <c r="B6" s="247" t="str">
        <f>IF(J6=I5,"",I6)</f>
        <v/>
      </c>
      <c r="C6" s="245" t="str">
        <f>J6</f>
        <v/>
      </c>
      <c r="D6" s="246" t="str">
        <f>IF(I6=I5,"",L6)</f>
        <v/>
      </c>
      <c r="E6" s="576"/>
      <c r="F6" s="576"/>
      <c r="G6" s="566"/>
      <c r="H6" s="566">
        <v>2</v>
      </c>
      <c r="I6" s="566" t="str">
        <f>_xlfn.XLOOKUP(H6,Order!Q$12:Q$859,Order!C$12:C$859,"")</f>
        <v/>
      </c>
      <c r="J6" s="566" t="str">
        <f>_xlfn.XLOOKUP(H6,Order!Q$12:Q$859,Order!S$12:S$859,"")</f>
        <v/>
      </c>
      <c r="K6" s="566" t="str">
        <f>_xlfn.XLOOKUP(H6,Order!Q$12:Q$859,Order!P$12:P$859,"")</f>
        <v/>
      </c>
      <c r="L6" s="566" t="str">
        <f>_xlfn.XLOOKUP(H6,Order!Q$12:Q$859,Order!B$12:B$859,"")</f>
        <v/>
      </c>
      <c r="M6" s="566"/>
      <c r="N6" s="566"/>
      <c r="O6" s="566"/>
      <c r="P6" s="854"/>
      <c r="Q6" s="712"/>
      <c r="R6" s="576"/>
      <c r="S6" s="576"/>
      <c r="T6" s="576"/>
      <c r="U6" s="576"/>
      <c r="V6" s="576"/>
      <c r="W6" s="566"/>
      <c r="X6" s="564"/>
    </row>
    <row r="7" spans="1:31" x14ac:dyDescent="0.15">
      <c r="A7" s="243" t="str">
        <f>IF(K7=0,"",IF(K7=K6,"",K7))</f>
        <v/>
      </c>
      <c r="B7" s="247" t="str">
        <f>IF(I7=I6,"",I7)</f>
        <v/>
      </c>
      <c r="C7" s="245" t="str">
        <f>IF(I7=I6,"",J7)</f>
        <v/>
      </c>
      <c r="D7" s="246" t="str">
        <f>IF(I7=I6,"",L7)</f>
        <v/>
      </c>
      <c r="E7" s="576"/>
      <c r="F7" s="576"/>
      <c r="G7" s="566"/>
      <c r="H7" s="566">
        <v>3</v>
      </c>
      <c r="I7" s="566" t="str">
        <f>_xlfn.XLOOKUP(H7,Order!Q$12:Q$859,Order!C$12:C$859,"")</f>
        <v/>
      </c>
      <c r="J7" s="566" t="str">
        <f>_xlfn.XLOOKUP(H7,Order!Q$12:Q$859,Order!S$12:S$859,"")</f>
        <v/>
      </c>
      <c r="K7" s="566" t="str">
        <f>_xlfn.XLOOKUP(H7,Order!Q$12:Q$859,Order!P$12:P$859,"")</f>
        <v/>
      </c>
      <c r="L7" s="566" t="str">
        <f>_xlfn.XLOOKUP(H7,Order!Q$12:Q$859,Order!B$12:B$859,"")</f>
        <v/>
      </c>
      <c r="M7" s="566"/>
      <c r="N7" s="566"/>
      <c r="O7" s="566"/>
      <c r="P7" s="854"/>
      <c r="Q7" s="712"/>
      <c r="R7" s="576"/>
      <c r="S7" s="576"/>
      <c r="T7" s="576"/>
      <c r="U7" s="576"/>
      <c r="V7" s="576"/>
      <c r="W7" s="566"/>
      <c r="X7" s="564"/>
    </row>
    <row r="8" spans="1:31" x14ac:dyDescent="0.15">
      <c r="A8" s="243" t="str">
        <f>IF(K8=0,"",IF(K8=K7,"",K8))</f>
        <v/>
      </c>
      <c r="B8" s="247" t="str">
        <f>IF(I8=I7,"",I8)</f>
        <v/>
      </c>
      <c r="C8" s="245" t="str">
        <f>IF(I8=I7,"",J8)</f>
        <v/>
      </c>
      <c r="D8" s="246" t="str">
        <f>IF(I8=I7,"",L8)</f>
        <v/>
      </c>
      <c r="E8" s="576"/>
      <c r="F8" s="576"/>
      <c r="G8" s="566"/>
      <c r="H8" s="566">
        <v>4</v>
      </c>
      <c r="I8" s="566" t="str">
        <f>_xlfn.XLOOKUP(H8,Order!Q$12:Q$859,Order!C$12:C$859,"")</f>
        <v/>
      </c>
      <c r="J8" s="566" t="str">
        <f>_xlfn.XLOOKUP(H8,Order!Q$12:Q$859,Order!S$12:S$859,"")</f>
        <v/>
      </c>
      <c r="K8" s="566" t="str">
        <f>_xlfn.XLOOKUP(H8,Order!Q$12:Q$859,Order!P$12:P$859,"")</f>
        <v/>
      </c>
      <c r="L8" s="566" t="str">
        <f>_xlfn.XLOOKUP(H8,Order!Q$12:Q$859,Order!B$12:B$859,"")</f>
        <v/>
      </c>
      <c r="M8" s="566"/>
      <c r="N8" s="566"/>
      <c r="O8" s="566"/>
      <c r="P8" s="854"/>
      <c r="Q8" s="712"/>
      <c r="R8" s="576"/>
      <c r="S8" s="576"/>
      <c r="T8" s="576"/>
      <c r="U8" s="576"/>
      <c r="V8" s="576"/>
      <c r="W8" s="566"/>
      <c r="X8" s="564"/>
    </row>
    <row r="9" spans="1:31" x14ac:dyDescent="0.15">
      <c r="A9" s="243" t="str">
        <f>IF(K9=0,"",IF(K9=K8,"",K9))</f>
        <v/>
      </c>
      <c r="B9" s="247" t="str">
        <f>IF(I9=I8,"",I9)</f>
        <v/>
      </c>
      <c r="C9" s="245" t="str">
        <f>IF(I9=I8,"",J9)</f>
        <v/>
      </c>
      <c r="D9" s="246" t="str">
        <f>IF(I9=I8,"",L9)</f>
        <v/>
      </c>
      <c r="E9" s="576"/>
      <c r="F9" s="576"/>
      <c r="G9" s="566"/>
      <c r="H9" s="566">
        <v>5</v>
      </c>
      <c r="I9" s="566" t="str">
        <f>_xlfn.XLOOKUP(H9,Order!Q$12:Q$859,Order!C$12:C$859,"")</f>
        <v/>
      </c>
      <c r="J9" s="566" t="str">
        <f>_xlfn.XLOOKUP(H9,Order!Q$12:Q$859,Order!S$12:S$859,"")</f>
        <v/>
      </c>
      <c r="K9" s="566" t="str">
        <f>_xlfn.XLOOKUP(H9,Order!Q$12:Q$859,Order!P$12:P$859,"")</f>
        <v/>
      </c>
      <c r="L9" s="566" t="str">
        <f>_xlfn.XLOOKUP(H9,Order!Q$12:Q$859,Order!B$12:B$859,"")</f>
        <v/>
      </c>
      <c r="M9" s="566"/>
      <c r="N9" s="566"/>
      <c r="O9" s="566"/>
      <c r="P9" s="854"/>
      <c r="Q9" s="712"/>
      <c r="R9" s="576"/>
      <c r="S9" s="576"/>
      <c r="T9" s="576"/>
      <c r="U9" s="576"/>
      <c r="V9" s="576"/>
      <c r="W9" s="566"/>
      <c r="X9" s="564"/>
    </row>
    <row r="10" spans="1:31" x14ac:dyDescent="0.15">
      <c r="A10" s="243" t="str">
        <f t="shared" ref="A10:A37" si="0">IF(K10=0,"",IF(K10=K9,"",K10))</f>
        <v/>
      </c>
      <c r="B10" s="247" t="str">
        <f>IF(I10=I9,"",I10)</f>
        <v/>
      </c>
      <c r="C10" s="245" t="str">
        <f t="shared" ref="C10:C37" si="1">IF(I10=I9,"",J10)</f>
        <v/>
      </c>
      <c r="D10" s="246" t="str">
        <f>IF(I10=I9,"",L10)</f>
        <v/>
      </c>
      <c r="E10" s="576"/>
      <c r="F10" s="576"/>
      <c r="G10" s="566"/>
      <c r="H10" s="566">
        <v>6</v>
      </c>
      <c r="I10" s="566" t="str">
        <f>_xlfn.XLOOKUP(H10,Order!Q$12:Q$859,Order!C$12:C$859,"")</f>
        <v/>
      </c>
      <c r="J10" s="566" t="str">
        <f>_xlfn.XLOOKUP(H10,Order!Q$12:Q$859,Order!S$12:S$859,"")</f>
        <v/>
      </c>
      <c r="K10" s="566" t="str">
        <f>_xlfn.XLOOKUP(H10,Order!Q$12:Q$859,Order!P$12:P$859,"")</f>
        <v/>
      </c>
      <c r="L10" s="566" t="str">
        <f>_xlfn.XLOOKUP(H10,Order!Q$12:Q$859,Order!B$12:B$859,"")</f>
        <v/>
      </c>
      <c r="M10" s="566"/>
      <c r="N10" s="566"/>
      <c r="O10" s="566"/>
      <c r="P10" s="854"/>
      <c r="Q10" s="712"/>
      <c r="R10" s="576"/>
      <c r="S10" s="576"/>
      <c r="T10" s="576"/>
      <c r="U10" s="576"/>
      <c r="V10" s="576"/>
      <c r="W10" s="566"/>
      <c r="X10" s="564"/>
    </row>
    <row r="11" spans="1:31" x14ac:dyDescent="0.15">
      <c r="A11" s="243" t="str">
        <f t="shared" si="0"/>
        <v/>
      </c>
      <c r="B11" s="247" t="str">
        <f t="shared" ref="B11:B37" si="2">IF(I11=I10,"",I11)</f>
        <v/>
      </c>
      <c r="C11" s="245" t="str">
        <f t="shared" si="1"/>
        <v/>
      </c>
      <c r="D11" s="246" t="str">
        <f t="shared" ref="D11:D21" si="3">IF(I11=I10,"",L11)</f>
        <v/>
      </c>
      <c r="E11" s="576"/>
      <c r="F11" s="576"/>
      <c r="G11" s="566"/>
      <c r="H11" s="566">
        <v>7</v>
      </c>
      <c r="I11" s="566" t="str">
        <f>_xlfn.XLOOKUP(H11,Order!Q$12:Q$859,Order!C$12:C$859,"")</f>
        <v/>
      </c>
      <c r="J11" s="566" t="str">
        <f>_xlfn.XLOOKUP(H11,Order!Q$12:Q$859,Order!S$12:S$859,"")</f>
        <v/>
      </c>
      <c r="K11" s="566" t="str">
        <f>_xlfn.XLOOKUP(H11,Order!Q$12:Q$859,Order!P$12:P$859,"")</f>
        <v/>
      </c>
      <c r="L11" s="566" t="str">
        <f>_xlfn.XLOOKUP(H11,Order!Q$12:Q$859,Order!B$12:B$859,"")</f>
        <v/>
      </c>
      <c r="M11" s="566"/>
      <c r="N11" s="566"/>
      <c r="O11" s="566"/>
      <c r="P11" s="854"/>
      <c r="Q11" s="712"/>
      <c r="R11" s="576"/>
      <c r="S11" s="576"/>
      <c r="T11" s="576"/>
      <c r="U11" s="576"/>
      <c r="V11" s="576"/>
      <c r="W11" s="566"/>
      <c r="X11" s="564"/>
    </row>
    <row r="12" spans="1:31" x14ac:dyDescent="0.15">
      <c r="A12" s="243" t="str">
        <f t="shared" si="0"/>
        <v/>
      </c>
      <c r="B12" s="247" t="str">
        <f t="shared" si="2"/>
        <v/>
      </c>
      <c r="C12" s="245" t="str">
        <f t="shared" si="1"/>
        <v/>
      </c>
      <c r="D12" s="246" t="str">
        <f>IF(I12=I11,"",L12)</f>
        <v/>
      </c>
      <c r="E12" s="576"/>
      <c r="F12" s="576"/>
      <c r="G12" s="566"/>
      <c r="H12" s="566">
        <v>8</v>
      </c>
      <c r="I12" s="566" t="str">
        <f>_xlfn.XLOOKUP(H12,Order!Q$12:Q$859,Order!C$12:C$859,"")</f>
        <v/>
      </c>
      <c r="J12" s="566" t="str">
        <f>_xlfn.XLOOKUP(H12,Order!Q$12:Q$859,Order!S$12:S$859,"")</f>
        <v/>
      </c>
      <c r="K12" s="566" t="str">
        <f>_xlfn.XLOOKUP(H12,Order!Q$12:Q$859,Order!P$12:P$859,"")</f>
        <v/>
      </c>
      <c r="L12" s="566" t="str">
        <f>_xlfn.XLOOKUP(H12,Order!Q$12:Q$859,Order!B$12:B$859,"")</f>
        <v/>
      </c>
      <c r="M12" s="566"/>
      <c r="N12" s="566"/>
      <c r="O12" s="566"/>
      <c r="P12" s="854"/>
      <c r="Q12" s="712"/>
      <c r="R12" s="576"/>
      <c r="S12" s="576"/>
      <c r="T12" s="576"/>
      <c r="U12" s="576"/>
      <c r="V12" s="576"/>
      <c r="W12" s="566"/>
      <c r="X12" s="564"/>
    </row>
    <row r="13" spans="1:31" x14ac:dyDescent="0.15">
      <c r="A13" s="243" t="str">
        <f t="shared" si="0"/>
        <v/>
      </c>
      <c r="B13" s="247" t="str">
        <f>IF(I13=I12,"",I13)</f>
        <v/>
      </c>
      <c r="C13" s="245" t="str">
        <f t="shared" si="1"/>
        <v/>
      </c>
      <c r="D13" s="246" t="str">
        <f>IF(I13=I12,"",L13)</f>
        <v/>
      </c>
      <c r="E13" s="576"/>
      <c r="F13" s="576"/>
      <c r="G13" s="566"/>
      <c r="H13" s="566">
        <v>9</v>
      </c>
      <c r="I13" s="566" t="str">
        <f>_xlfn.XLOOKUP(H13,Order!Q$12:Q$859,Order!C$12:C$859,"")</f>
        <v/>
      </c>
      <c r="J13" s="566" t="str">
        <f>_xlfn.XLOOKUP(H13,Order!Q$12:Q$859,Order!S$12:S$859,"")</f>
        <v/>
      </c>
      <c r="K13" s="566" t="str">
        <f>_xlfn.XLOOKUP(H13,Order!Q$12:Q$859,Order!P$12:P$859,"")</f>
        <v/>
      </c>
      <c r="L13" s="566" t="str">
        <f>_xlfn.XLOOKUP(H13,Order!Q$12:Q$859,Order!B$12:B$859,"")</f>
        <v/>
      </c>
      <c r="M13" s="566"/>
      <c r="N13" s="566"/>
      <c r="O13" s="566"/>
      <c r="P13" s="854"/>
      <c r="Q13" s="712"/>
      <c r="R13" s="576"/>
      <c r="S13" s="576"/>
      <c r="T13" s="576"/>
      <c r="U13" s="576"/>
      <c r="V13" s="576"/>
      <c r="W13" s="566"/>
      <c r="X13" s="564"/>
    </row>
    <row r="14" spans="1:31" x14ac:dyDescent="0.15">
      <c r="A14" s="243" t="str">
        <f t="shared" si="0"/>
        <v/>
      </c>
      <c r="B14" s="247" t="str">
        <f t="shared" si="2"/>
        <v/>
      </c>
      <c r="C14" s="245" t="str">
        <f t="shared" si="1"/>
        <v/>
      </c>
      <c r="D14" s="246" t="str">
        <f t="shared" si="3"/>
        <v/>
      </c>
      <c r="E14" s="576"/>
      <c r="F14" s="576"/>
      <c r="G14" s="566"/>
      <c r="H14" s="566">
        <v>10</v>
      </c>
      <c r="I14" s="566" t="str">
        <f>_xlfn.XLOOKUP(H14,Order!Q$12:Q$859,Order!C$12:C$859,"")</f>
        <v/>
      </c>
      <c r="J14" s="566" t="str">
        <f>_xlfn.XLOOKUP(H14,Order!Q$12:Q$859,Order!S$12:S$859,"")</f>
        <v/>
      </c>
      <c r="K14" s="566" t="str">
        <f>_xlfn.XLOOKUP(H14,Order!Q$12:Q$859,Order!P$12:P$859,"")</f>
        <v/>
      </c>
      <c r="L14" s="566" t="str">
        <f>_xlfn.XLOOKUP(H14,Order!Q$12:Q$859,Order!B$12:B$859,"")</f>
        <v/>
      </c>
      <c r="M14" s="566"/>
      <c r="N14" s="566"/>
      <c r="O14" s="566"/>
      <c r="P14" s="854"/>
      <c r="Q14" s="712"/>
      <c r="R14" s="576"/>
      <c r="S14" s="576"/>
      <c r="T14" s="576"/>
      <c r="U14" s="576"/>
      <c r="V14" s="576"/>
      <c r="W14" s="566"/>
      <c r="X14" s="564"/>
    </row>
    <row r="15" spans="1:31" x14ac:dyDescent="0.15">
      <c r="A15" s="243" t="str">
        <f t="shared" si="0"/>
        <v/>
      </c>
      <c r="B15" s="247" t="str">
        <f t="shared" si="2"/>
        <v/>
      </c>
      <c r="C15" s="245" t="str">
        <f>IF(I15=I14,"",J15)</f>
        <v/>
      </c>
      <c r="D15" s="246" t="str">
        <f t="shared" si="3"/>
        <v/>
      </c>
      <c r="E15" s="576"/>
      <c r="F15" s="576"/>
      <c r="G15" s="566"/>
      <c r="H15" s="566">
        <v>11</v>
      </c>
      <c r="I15" s="566" t="str">
        <f>_xlfn.XLOOKUP(H15,Order!Q$12:Q$859,Order!C$12:C$859,"")</f>
        <v/>
      </c>
      <c r="J15" s="566" t="str">
        <f>_xlfn.XLOOKUP(H15,Order!Q$12:Q$859,Order!S$12:S$859,"")</f>
        <v/>
      </c>
      <c r="K15" s="566" t="str">
        <f>_xlfn.XLOOKUP(H15,Order!Q$12:Q$859,Order!P$12:P$859,"")</f>
        <v/>
      </c>
      <c r="L15" s="566" t="str">
        <f>_xlfn.XLOOKUP(H15,Order!Q$12:Q$859,Order!B$12:B$859,"")</f>
        <v/>
      </c>
      <c r="M15" s="566"/>
      <c r="N15" s="566"/>
      <c r="O15" s="566"/>
      <c r="P15" s="854"/>
      <c r="Q15" s="712"/>
      <c r="R15" s="566"/>
      <c r="S15" s="566"/>
      <c r="T15" s="566"/>
      <c r="U15" s="566"/>
      <c r="V15" s="566"/>
      <c r="W15" s="566"/>
      <c r="X15" s="564"/>
    </row>
    <row r="16" spans="1:31" x14ac:dyDescent="0.15">
      <c r="A16" s="243" t="str">
        <f t="shared" si="0"/>
        <v/>
      </c>
      <c r="B16" s="247" t="str">
        <f t="shared" si="2"/>
        <v/>
      </c>
      <c r="C16" s="245" t="str">
        <f>IF(I16=I15,"",J16)</f>
        <v/>
      </c>
      <c r="D16" s="246" t="str">
        <f t="shared" si="3"/>
        <v/>
      </c>
      <c r="E16" s="576"/>
      <c r="F16" s="576"/>
      <c r="G16" s="566"/>
      <c r="H16" s="566">
        <v>12</v>
      </c>
      <c r="I16" s="566" t="str">
        <f>_xlfn.XLOOKUP(H16,Order!Q$12:Q$859,Order!C$12:C$859,"")</f>
        <v/>
      </c>
      <c r="J16" s="566" t="str">
        <f>_xlfn.XLOOKUP(H16,Order!Q$12:Q$859,Order!S$12:S$859,"")</f>
        <v/>
      </c>
      <c r="K16" s="566" t="str">
        <f>_xlfn.XLOOKUP(H16,Order!Q$12:Q$859,Order!P$12:P$859,"")</f>
        <v/>
      </c>
      <c r="L16" s="566" t="str">
        <f>_xlfn.XLOOKUP(H16,Order!Q$12:Q$859,Order!B$12:B$859,"")</f>
        <v/>
      </c>
      <c r="M16" s="566"/>
      <c r="N16" s="566"/>
      <c r="O16" s="566"/>
      <c r="P16" s="854"/>
      <c r="Q16" s="712"/>
      <c r="R16" s="566"/>
      <c r="S16" s="566"/>
      <c r="T16" s="566"/>
      <c r="U16" s="566"/>
      <c r="V16" s="566"/>
      <c r="W16" s="566"/>
      <c r="X16" s="564"/>
    </row>
    <row r="17" spans="1:29" x14ac:dyDescent="0.15">
      <c r="A17" s="243" t="str">
        <f t="shared" si="0"/>
        <v/>
      </c>
      <c r="B17" s="247" t="str">
        <f t="shared" si="2"/>
        <v/>
      </c>
      <c r="C17" s="245" t="str">
        <f t="shared" si="1"/>
        <v/>
      </c>
      <c r="D17" s="246" t="str">
        <f t="shared" si="3"/>
        <v/>
      </c>
      <c r="E17" s="566"/>
      <c r="F17" s="564"/>
      <c r="G17" s="566"/>
      <c r="H17" s="566">
        <v>13</v>
      </c>
      <c r="I17" s="566" t="str">
        <f>_xlfn.XLOOKUP(H17,Order!Q$12:Q$859,Order!C$12:C$859,"")</f>
        <v/>
      </c>
      <c r="J17" s="566" t="str">
        <f>_xlfn.XLOOKUP(H17,Order!Q$12:Q$859,Order!S$12:S$859,"")</f>
        <v/>
      </c>
      <c r="K17" s="566" t="str">
        <f>_xlfn.XLOOKUP(H17,Order!Q$12:Q$859,Order!P$12:P$859,"")</f>
        <v/>
      </c>
      <c r="L17" s="566" t="str">
        <f>_xlfn.XLOOKUP(H17,Order!Q$12:Q$859,Order!B$12:B$859,"")</f>
        <v/>
      </c>
      <c r="M17" s="566"/>
      <c r="N17" s="566"/>
      <c r="O17" s="566"/>
      <c r="P17" s="854"/>
      <c r="Q17" s="712"/>
      <c r="R17" s="566"/>
      <c r="S17" s="566"/>
      <c r="T17" s="566"/>
      <c r="U17" s="566"/>
      <c r="V17" s="566"/>
      <c r="W17" s="566"/>
      <c r="X17" s="564"/>
    </row>
    <row r="18" spans="1:29" x14ac:dyDescent="0.15">
      <c r="A18" s="243" t="str">
        <f t="shared" si="0"/>
        <v/>
      </c>
      <c r="B18" s="247" t="str">
        <f t="shared" si="2"/>
        <v/>
      </c>
      <c r="C18" s="245" t="str">
        <f t="shared" si="1"/>
        <v/>
      </c>
      <c r="D18" s="246" t="str">
        <f t="shared" si="3"/>
        <v/>
      </c>
      <c r="E18" s="566"/>
      <c r="F18" s="564"/>
      <c r="G18" s="566"/>
      <c r="H18" s="566">
        <v>14</v>
      </c>
      <c r="I18" s="566" t="str">
        <f>_xlfn.XLOOKUP(H18,Order!Q$12:Q$859,Order!C$12:C$859,"")</f>
        <v/>
      </c>
      <c r="J18" s="566" t="str">
        <f>_xlfn.XLOOKUP(H18,Order!Q$12:Q$859,Order!S$12:S$859,"")</f>
        <v/>
      </c>
      <c r="K18" s="566" t="str">
        <f>_xlfn.XLOOKUP(H18,Order!Q$12:Q$859,Order!P$12:P$859,"")</f>
        <v/>
      </c>
      <c r="L18" s="566" t="str">
        <f>_xlfn.XLOOKUP(H18,Order!Q$12:Q$859,Order!B$12:B$859,"")</f>
        <v/>
      </c>
      <c r="M18" s="566"/>
      <c r="N18" s="566"/>
      <c r="O18" s="566"/>
      <c r="P18" s="854"/>
      <c r="Q18" s="712"/>
      <c r="R18" s="566"/>
      <c r="S18" s="566"/>
      <c r="T18" s="566"/>
      <c r="U18" s="566"/>
      <c r="V18" s="566"/>
      <c r="W18" s="566"/>
      <c r="X18" s="564"/>
    </row>
    <row r="19" spans="1:29" x14ac:dyDescent="0.15">
      <c r="A19" s="243" t="str">
        <f t="shared" si="0"/>
        <v/>
      </c>
      <c r="B19" s="247" t="str">
        <f t="shared" si="2"/>
        <v/>
      </c>
      <c r="C19" s="245" t="str">
        <f>IF(I19=I18,"",J19)</f>
        <v/>
      </c>
      <c r="D19" s="246" t="str">
        <f t="shared" si="3"/>
        <v/>
      </c>
      <c r="E19" s="566"/>
      <c r="F19" s="564"/>
      <c r="G19" s="566"/>
      <c r="H19" s="566">
        <v>15</v>
      </c>
      <c r="I19" s="566" t="str">
        <f>_xlfn.XLOOKUP(H19,Order!Q$12:Q$859,Order!C$12:C$859,"")</f>
        <v/>
      </c>
      <c r="J19" s="566" t="str">
        <f>_xlfn.XLOOKUP(H19,Order!Q$12:Q$859,Order!S$12:S$859,"")</f>
        <v/>
      </c>
      <c r="K19" s="566" t="str">
        <f>_xlfn.XLOOKUP(H19,Order!Q$12:Q$859,Order!P$12:P$859,"")</f>
        <v/>
      </c>
      <c r="L19" s="566" t="str">
        <f>_xlfn.XLOOKUP(H19,Order!Q$12:Q$859,Order!B$12:B$859,"")</f>
        <v/>
      </c>
      <c r="M19" s="566"/>
      <c r="N19" s="566"/>
      <c r="O19" s="566"/>
      <c r="P19" s="854"/>
      <c r="Q19" s="712"/>
      <c r="R19" s="566"/>
      <c r="S19" s="566"/>
      <c r="T19" s="566"/>
      <c r="U19" s="566"/>
      <c r="V19" s="566"/>
      <c r="W19" s="566"/>
      <c r="X19" s="564"/>
    </row>
    <row r="20" spans="1:29" x14ac:dyDescent="0.15">
      <c r="A20" s="243" t="str">
        <f t="shared" si="0"/>
        <v/>
      </c>
      <c r="B20" s="247" t="str">
        <f t="shared" si="2"/>
        <v/>
      </c>
      <c r="C20" s="245" t="str">
        <f t="shared" si="1"/>
        <v/>
      </c>
      <c r="D20" s="246" t="str">
        <f t="shared" si="3"/>
        <v/>
      </c>
      <c r="E20" s="566"/>
      <c r="F20" s="564"/>
      <c r="G20" s="566"/>
      <c r="H20" s="566">
        <v>16</v>
      </c>
      <c r="I20" s="566" t="str">
        <f>_xlfn.XLOOKUP(H20,Order!Q$12:Q$859,Order!C$12:C$859,"")</f>
        <v/>
      </c>
      <c r="J20" s="566" t="str">
        <f>_xlfn.XLOOKUP(H20,Order!Q$12:Q$859,Order!S$12:S$859,"")</f>
        <v/>
      </c>
      <c r="K20" s="566" t="str">
        <f>_xlfn.XLOOKUP(H20,Order!Q$12:Q$859,Order!P$12:P$859,"")</f>
        <v/>
      </c>
      <c r="L20" s="566" t="str">
        <f>_xlfn.XLOOKUP(H20,Order!Q$12:Q$859,Order!B$12:B$859,"")</f>
        <v/>
      </c>
      <c r="M20" s="566"/>
      <c r="N20" s="566"/>
      <c r="O20" s="566"/>
      <c r="P20" s="854"/>
      <c r="Q20" s="712"/>
      <c r="R20" s="566"/>
      <c r="S20" s="566"/>
      <c r="T20" s="566"/>
      <c r="U20" s="566"/>
      <c r="V20" s="566"/>
      <c r="W20" s="566"/>
      <c r="X20" s="564"/>
    </row>
    <row r="21" spans="1:29" x14ac:dyDescent="0.15">
      <c r="A21" s="243" t="str">
        <f t="shared" si="0"/>
        <v/>
      </c>
      <c r="B21" s="247" t="str">
        <f t="shared" si="2"/>
        <v/>
      </c>
      <c r="C21" s="245" t="str">
        <f t="shared" si="1"/>
        <v/>
      </c>
      <c r="D21" s="246" t="str">
        <f t="shared" si="3"/>
        <v/>
      </c>
      <c r="E21" s="566"/>
      <c r="F21" s="564"/>
      <c r="G21" s="566"/>
      <c r="H21" s="566">
        <v>17</v>
      </c>
      <c r="I21" s="566" t="str">
        <f>_xlfn.XLOOKUP(H21,Order!Q$12:Q$859,Order!C$12:C$859,"")</f>
        <v/>
      </c>
      <c r="J21" s="566" t="str">
        <f>_xlfn.XLOOKUP(H21,Order!Q$12:Q$859,Order!S$12:S$859,"")</f>
        <v/>
      </c>
      <c r="K21" s="566" t="str">
        <f>_xlfn.XLOOKUP(H21,Order!Q$12:Q$859,Order!P$12:P$859,"")</f>
        <v/>
      </c>
      <c r="L21" s="566" t="str">
        <f>_xlfn.XLOOKUP(H21,Order!Q$12:Q$859,Order!B$12:B$859,"")</f>
        <v/>
      </c>
      <c r="M21" s="566"/>
      <c r="N21" s="566"/>
      <c r="O21" s="566"/>
      <c r="P21" s="854"/>
      <c r="Q21" s="712"/>
      <c r="R21" s="566"/>
      <c r="S21" s="566"/>
      <c r="T21" s="566"/>
      <c r="U21" s="566"/>
      <c r="V21" s="566"/>
      <c r="W21" s="566"/>
      <c r="X21" s="564"/>
    </row>
    <row r="22" spans="1:29" x14ac:dyDescent="0.15">
      <c r="A22" s="243" t="str">
        <f t="shared" si="0"/>
        <v/>
      </c>
      <c r="B22" s="247" t="str">
        <f t="shared" si="2"/>
        <v/>
      </c>
      <c r="C22" s="245" t="str">
        <f t="shared" si="1"/>
        <v/>
      </c>
      <c r="D22" s="246" t="str">
        <f t="shared" ref="D22:D37" si="4">IF(I22=I21,"",L22)</f>
        <v/>
      </c>
      <c r="E22" s="566"/>
      <c r="F22" s="564"/>
      <c r="G22" s="566"/>
      <c r="H22" s="566">
        <v>18</v>
      </c>
      <c r="I22" s="566" t="str">
        <f>_xlfn.XLOOKUP(H22,Order!Q$12:Q$859,Order!C$12:C$859,"")</f>
        <v/>
      </c>
      <c r="J22" s="566" t="str">
        <f>_xlfn.XLOOKUP(H22,Order!Q$12:Q$859,Order!S$12:S$859,"")</f>
        <v/>
      </c>
      <c r="K22" s="566" t="str">
        <f>_xlfn.XLOOKUP(H22,Order!Q$12:Q$859,Order!P$12:P$859,"")</f>
        <v/>
      </c>
      <c r="L22" s="566" t="str">
        <f>_xlfn.XLOOKUP(H22,Order!Q$12:Q$859,Order!B$12:B$859,"")</f>
        <v/>
      </c>
      <c r="M22" s="566"/>
      <c r="N22" s="566"/>
      <c r="O22" s="566"/>
      <c r="P22" s="854"/>
      <c r="Q22" s="712"/>
      <c r="R22" s="566"/>
      <c r="S22" s="566"/>
      <c r="T22" s="566"/>
      <c r="U22" s="566"/>
      <c r="V22" s="566"/>
      <c r="W22" s="566"/>
      <c r="X22" s="564"/>
    </row>
    <row r="23" spans="1:29" x14ac:dyDescent="0.15">
      <c r="A23" s="243" t="str">
        <f t="shared" si="0"/>
        <v/>
      </c>
      <c r="B23" s="247" t="str">
        <f t="shared" si="2"/>
        <v/>
      </c>
      <c r="C23" s="245" t="str">
        <f t="shared" si="1"/>
        <v/>
      </c>
      <c r="D23" s="246" t="str">
        <f t="shared" si="4"/>
        <v/>
      </c>
      <c r="E23" s="564"/>
      <c r="F23" s="564"/>
      <c r="G23" s="566"/>
      <c r="H23" s="566">
        <v>19</v>
      </c>
      <c r="I23" s="566" t="str">
        <f>_xlfn.XLOOKUP(H23,Order!Q$12:Q$859,Order!C$12:C$859,"")</f>
        <v/>
      </c>
      <c r="J23" s="566" t="str">
        <f>_xlfn.XLOOKUP(H23,Order!Q$12:Q$859,Order!S$12:S$859,"")</f>
        <v/>
      </c>
      <c r="K23" s="566" t="str">
        <f>_xlfn.XLOOKUP(H23,Order!Q$12:Q$859,Order!P$12:P$859,"")</f>
        <v/>
      </c>
      <c r="L23" s="566" t="str">
        <f>_xlfn.XLOOKUP(H23,Order!Q$12:Q$859,Order!B$12:B$859,"")</f>
        <v/>
      </c>
      <c r="M23" s="566"/>
      <c r="N23" s="566"/>
      <c r="O23" s="566"/>
      <c r="P23" s="854"/>
      <c r="Q23" s="712"/>
      <c r="R23" s="566"/>
      <c r="S23" s="566"/>
      <c r="T23" s="566"/>
      <c r="U23" s="566"/>
      <c r="V23" s="566"/>
      <c r="W23" s="566"/>
      <c r="X23" s="564"/>
    </row>
    <row r="24" spans="1:29" x14ac:dyDescent="0.15">
      <c r="A24" s="243" t="str">
        <f t="shared" si="0"/>
        <v/>
      </c>
      <c r="B24" s="247" t="str">
        <f t="shared" si="2"/>
        <v/>
      </c>
      <c r="C24" s="245" t="str">
        <f t="shared" si="1"/>
        <v/>
      </c>
      <c r="D24" s="246" t="str">
        <f t="shared" si="4"/>
        <v/>
      </c>
      <c r="E24" s="564"/>
      <c r="F24" s="564"/>
      <c r="G24" s="566"/>
      <c r="H24" s="566">
        <v>20</v>
      </c>
      <c r="I24" s="566" t="str">
        <f>_xlfn.XLOOKUP(H24,Order!Q$12:Q$859,Order!C$12:C$859,"")</f>
        <v/>
      </c>
      <c r="J24" s="566" t="str">
        <f>_xlfn.XLOOKUP(H24,Order!Q$12:Q$859,Order!S$12:S$859,"")</f>
        <v/>
      </c>
      <c r="K24" s="566" t="str">
        <f>_xlfn.XLOOKUP(H24,Order!Q$12:Q$859,Order!P$12:P$859,"")</f>
        <v/>
      </c>
      <c r="L24" s="566" t="str">
        <f>_xlfn.XLOOKUP(H24,Order!Q$12:Q$859,Order!B$12:B$859,"")</f>
        <v/>
      </c>
      <c r="M24" s="566"/>
      <c r="N24" s="566"/>
      <c r="O24" s="566"/>
      <c r="P24" s="854"/>
      <c r="Q24" s="712"/>
      <c r="R24" s="566"/>
      <c r="S24" s="566"/>
      <c r="T24" s="566"/>
      <c r="U24" s="566"/>
      <c r="V24" s="566"/>
      <c r="W24" s="566"/>
      <c r="X24" s="564"/>
    </row>
    <row r="25" spans="1:29" x14ac:dyDescent="0.15">
      <c r="A25" s="243" t="str">
        <f t="shared" si="0"/>
        <v/>
      </c>
      <c r="B25" s="247" t="str">
        <f>IF(I25=I24,"",I25)</f>
        <v/>
      </c>
      <c r="C25" s="245" t="str">
        <f t="shared" si="1"/>
        <v/>
      </c>
      <c r="D25" s="246" t="str">
        <f t="shared" si="4"/>
        <v/>
      </c>
      <c r="E25" s="564"/>
      <c r="F25" s="564"/>
      <c r="G25" s="566"/>
      <c r="H25" s="566">
        <v>21</v>
      </c>
      <c r="I25" s="566" t="str">
        <f>_xlfn.XLOOKUP(H25,Order!Q$12:Q$859,Order!C$12:C$859,"")</f>
        <v/>
      </c>
      <c r="J25" s="566" t="str">
        <f>_xlfn.XLOOKUP(H25,Order!Q$12:Q$859,Order!S$12:S$859,"")</f>
        <v/>
      </c>
      <c r="K25" s="566" t="str">
        <f>_xlfn.XLOOKUP(H25,Order!Q$12:Q$859,Order!P$12:P$859,"")</f>
        <v/>
      </c>
      <c r="L25" s="566" t="str">
        <f>_xlfn.XLOOKUP(H25,Order!Q$12:Q$859,Order!B$12:B$859,"")</f>
        <v/>
      </c>
      <c r="M25" s="566"/>
      <c r="N25" s="566"/>
      <c r="O25" s="566"/>
      <c r="P25" s="566"/>
      <c r="Q25" s="566"/>
      <c r="R25" s="566"/>
      <c r="S25" s="566"/>
      <c r="T25" s="566"/>
      <c r="U25" s="566"/>
      <c r="V25" s="566"/>
      <c r="W25" s="566"/>
      <c r="X25" s="564"/>
    </row>
    <row r="26" spans="1:29" x14ac:dyDescent="0.15">
      <c r="A26" s="243" t="str">
        <f t="shared" si="0"/>
        <v/>
      </c>
      <c r="B26" s="247" t="str">
        <f t="shared" si="2"/>
        <v/>
      </c>
      <c r="C26" s="245" t="str">
        <f t="shared" si="1"/>
        <v/>
      </c>
      <c r="D26" s="246" t="str">
        <f t="shared" si="4"/>
        <v/>
      </c>
      <c r="E26" s="564"/>
      <c r="F26" s="564"/>
      <c r="G26" s="566"/>
      <c r="H26" s="566">
        <v>22</v>
      </c>
      <c r="I26" s="566" t="str">
        <f>_xlfn.XLOOKUP(H26,Order!Q$12:Q$859,Order!C$12:C$859,"")</f>
        <v/>
      </c>
      <c r="J26" s="566" t="str">
        <f>_xlfn.XLOOKUP(H26,Order!Q$12:Q$859,Order!S$12:S$859,"")</f>
        <v/>
      </c>
      <c r="K26" s="566" t="str">
        <f>_xlfn.XLOOKUP(H26,Order!Q$12:Q$859,Order!P$12:P$859,"")</f>
        <v/>
      </c>
      <c r="L26" s="566" t="str">
        <f>_xlfn.XLOOKUP(H26,Order!Q$12:Q$859,Order!B$12:B$859,"")</f>
        <v/>
      </c>
      <c r="M26" s="566"/>
      <c r="N26" s="566"/>
      <c r="O26" s="566"/>
      <c r="P26" s="566"/>
      <c r="Q26" s="566"/>
      <c r="R26" s="566"/>
      <c r="S26" s="566"/>
      <c r="T26" s="566"/>
      <c r="U26" s="566"/>
      <c r="V26" s="566"/>
      <c r="W26" s="566"/>
      <c r="X26" s="564"/>
    </row>
    <row r="27" spans="1:29" x14ac:dyDescent="0.15">
      <c r="A27" s="243"/>
      <c r="B27" s="247" t="str">
        <f>IF(I27=I26,"",I27)</f>
        <v/>
      </c>
      <c r="C27" s="245" t="str">
        <f t="shared" si="1"/>
        <v/>
      </c>
      <c r="D27" s="246" t="str">
        <f t="shared" si="4"/>
        <v/>
      </c>
      <c r="E27" s="564"/>
      <c r="F27" s="564"/>
      <c r="G27" s="566"/>
      <c r="H27" s="566">
        <v>23</v>
      </c>
      <c r="I27" s="566" t="str">
        <f>_xlfn.XLOOKUP(H27,Order!Q$12:Q$859,Order!C$12:C$859,"")</f>
        <v/>
      </c>
      <c r="J27" s="566" t="str">
        <f>_xlfn.XLOOKUP(H27,Order!Q$12:Q$859,Order!S$12:S$859,"")</f>
        <v/>
      </c>
      <c r="K27" s="566" t="str">
        <f>_xlfn.XLOOKUP(H27,Order!Q$12:Q$859,Order!P$12:P$859,"")</f>
        <v/>
      </c>
      <c r="L27" s="566" t="str">
        <f>_xlfn.XLOOKUP(H27,Order!Q$12:Q$859,Order!B$12:B$859,"")</f>
        <v/>
      </c>
      <c r="M27" s="566"/>
      <c r="N27" s="566"/>
      <c r="O27" s="566"/>
      <c r="P27" s="566"/>
      <c r="Q27" s="566"/>
      <c r="R27" s="566"/>
      <c r="S27" s="566"/>
      <c r="T27" s="566"/>
      <c r="U27" s="566"/>
      <c r="V27" s="566"/>
      <c r="W27" s="566"/>
      <c r="X27" s="564"/>
    </row>
    <row r="28" spans="1:29" x14ac:dyDescent="0.15">
      <c r="A28" s="243" t="str">
        <f t="shared" si="0"/>
        <v/>
      </c>
      <c r="B28" s="247" t="str">
        <f>IF(I28=I27,"",I28)</f>
        <v/>
      </c>
      <c r="C28" s="245" t="str">
        <f t="shared" si="1"/>
        <v/>
      </c>
      <c r="D28" s="246" t="str">
        <f t="shared" si="4"/>
        <v/>
      </c>
      <c r="E28" s="564"/>
      <c r="F28" s="564"/>
      <c r="G28" s="566"/>
      <c r="H28" s="566">
        <v>24</v>
      </c>
      <c r="I28" s="566" t="str">
        <f>_xlfn.XLOOKUP(H28,Order!Q$12:Q$859,Order!C$12:C$859,"")</f>
        <v/>
      </c>
      <c r="J28" s="566" t="str">
        <f>_xlfn.XLOOKUP(H28,Order!Q$12:Q$859,Order!S$12:S$859,"")</f>
        <v/>
      </c>
      <c r="K28" s="566" t="str">
        <f>_xlfn.XLOOKUP(H28,Order!Q$12:Q$859,Order!P$12:P$859,"")</f>
        <v/>
      </c>
      <c r="L28" s="566" t="str">
        <f>_xlfn.XLOOKUP(H28,Order!Q$12:Q$859,Order!B$12:B$859,"")</f>
        <v/>
      </c>
      <c r="M28" s="566"/>
      <c r="N28" s="566"/>
      <c r="O28" s="566"/>
      <c r="P28" s="566"/>
      <c r="Q28" s="566"/>
      <c r="R28" s="566"/>
      <c r="S28" s="566"/>
      <c r="T28" s="566"/>
      <c r="U28" s="566"/>
      <c r="V28" s="566"/>
      <c r="W28" s="566"/>
      <c r="X28" s="564"/>
      <c r="Y28" s="419"/>
      <c r="Z28" s="419"/>
      <c r="AA28" s="419"/>
      <c r="AB28" s="419"/>
      <c r="AC28" s="419"/>
    </row>
    <row r="29" spans="1:29" x14ac:dyDescent="0.15">
      <c r="A29" s="243" t="str">
        <f t="shared" si="0"/>
        <v/>
      </c>
      <c r="B29" s="247" t="str">
        <f t="shared" si="2"/>
        <v/>
      </c>
      <c r="C29" s="245" t="str">
        <f t="shared" si="1"/>
        <v/>
      </c>
      <c r="D29" s="246" t="str">
        <f t="shared" si="4"/>
        <v/>
      </c>
      <c r="E29" s="564"/>
      <c r="F29" s="564"/>
      <c r="G29" s="566"/>
      <c r="H29" s="566">
        <v>25</v>
      </c>
      <c r="I29" s="566" t="str">
        <f>_xlfn.XLOOKUP(H29,Order!Q$12:Q$859,Order!C$12:C$859,"")</f>
        <v/>
      </c>
      <c r="J29" s="566" t="str">
        <f>_xlfn.XLOOKUP(H29,Order!Q$12:Q$859,Order!S$12:S$859,"")</f>
        <v/>
      </c>
      <c r="K29" s="566" t="str">
        <f>_xlfn.XLOOKUP(H29,Order!Q$12:Q$859,Order!P$12:P$859,"")</f>
        <v/>
      </c>
      <c r="L29" s="566" t="str">
        <f>_xlfn.XLOOKUP(H29,Order!Q$12:Q$859,Order!B$12:B$859,"")</f>
        <v/>
      </c>
      <c r="M29" s="566"/>
      <c r="N29" s="566"/>
      <c r="O29" s="566"/>
      <c r="P29" s="566"/>
      <c r="Q29" s="566"/>
      <c r="R29" s="566"/>
      <c r="S29" s="566"/>
      <c r="T29" s="566"/>
      <c r="U29" s="566"/>
      <c r="V29" s="566"/>
      <c r="W29" s="566"/>
      <c r="X29" s="564"/>
      <c r="Y29" s="419"/>
      <c r="Z29" s="419"/>
      <c r="AA29" s="419"/>
      <c r="AB29" s="419"/>
      <c r="AC29" s="419"/>
    </row>
    <row r="30" spans="1:29" x14ac:dyDescent="0.15">
      <c r="A30" s="243" t="str">
        <f t="shared" si="0"/>
        <v/>
      </c>
      <c r="B30" s="247" t="str">
        <f t="shared" si="2"/>
        <v/>
      </c>
      <c r="C30" s="245" t="str">
        <f t="shared" si="1"/>
        <v/>
      </c>
      <c r="D30" s="246" t="str">
        <f t="shared" si="4"/>
        <v/>
      </c>
      <c r="E30" s="564"/>
      <c r="F30" s="564"/>
      <c r="G30" s="566"/>
      <c r="H30" s="566">
        <v>26</v>
      </c>
      <c r="I30" s="566" t="str">
        <f>_xlfn.XLOOKUP(H30,Order!Q$12:Q$859,Order!C$12:C$859,"")</f>
        <v/>
      </c>
      <c r="J30" s="566" t="str">
        <f>_xlfn.XLOOKUP(H30,Order!Q$12:Q$859,Order!S$12:S$859,"")</f>
        <v/>
      </c>
      <c r="K30" s="566" t="str">
        <f>_xlfn.XLOOKUP(H30,Order!Q$12:Q$859,Order!P$12:P$859,"")</f>
        <v/>
      </c>
      <c r="L30" s="566" t="str">
        <f>_xlfn.XLOOKUP(H30,Order!Q$12:Q$859,Order!B$12:B$859,"")</f>
        <v/>
      </c>
      <c r="M30" s="566"/>
      <c r="N30" s="566"/>
      <c r="O30" s="566"/>
      <c r="P30" s="566"/>
      <c r="Q30" s="566"/>
      <c r="R30" s="566"/>
      <c r="S30" s="566"/>
      <c r="T30" s="566"/>
      <c r="U30" s="566"/>
      <c r="V30" s="566"/>
      <c r="W30" s="566"/>
      <c r="X30" s="564"/>
      <c r="Y30" s="419"/>
      <c r="Z30" s="419"/>
      <c r="AA30" s="419"/>
      <c r="AB30" s="419"/>
      <c r="AC30" s="419"/>
    </row>
    <row r="31" spans="1:29" x14ac:dyDescent="0.15">
      <c r="A31" s="243" t="str">
        <f t="shared" si="0"/>
        <v/>
      </c>
      <c r="B31" s="247" t="str">
        <f t="shared" si="2"/>
        <v/>
      </c>
      <c r="C31" s="245" t="str">
        <f t="shared" si="1"/>
        <v/>
      </c>
      <c r="D31" s="246" t="str">
        <f t="shared" si="4"/>
        <v/>
      </c>
      <c r="E31" s="564"/>
      <c r="F31" s="564"/>
      <c r="G31" s="566"/>
      <c r="H31" s="566">
        <v>27</v>
      </c>
      <c r="I31" s="566" t="str">
        <f>_xlfn.XLOOKUP(H31,Order!Q$12:Q$859,Order!C$12:C$859,"")</f>
        <v/>
      </c>
      <c r="J31" s="566" t="str">
        <f>_xlfn.XLOOKUP(H31,Order!Q$12:Q$859,Order!S$12:S$859,"")</f>
        <v/>
      </c>
      <c r="K31" s="566" t="str">
        <f>_xlfn.XLOOKUP(H31,Order!Q$12:Q$859,Order!P$12:P$859,"")</f>
        <v/>
      </c>
      <c r="L31" s="566" t="str">
        <f>_xlfn.XLOOKUP(H31,Order!Q$12:Q$859,Order!B$12:B$859,"")</f>
        <v/>
      </c>
      <c r="M31" s="566"/>
      <c r="N31" s="566"/>
      <c r="O31" s="566"/>
      <c r="P31" s="566"/>
      <c r="Q31" s="566"/>
      <c r="R31" s="566"/>
      <c r="S31" s="566"/>
      <c r="T31" s="566"/>
      <c r="U31" s="566"/>
      <c r="V31" s="566"/>
      <c r="W31" s="566"/>
      <c r="X31" s="564"/>
      <c r="Y31" s="419"/>
      <c r="Z31" s="419"/>
      <c r="AA31" s="419"/>
      <c r="AB31" s="419"/>
      <c r="AC31" s="419"/>
    </row>
    <row r="32" spans="1:29" x14ac:dyDescent="0.15">
      <c r="A32" s="243" t="str">
        <f t="shared" si="0"/>
        <v/>
      </c>
      <c r="B32" s="247" t="str">
        <f t="shared" si="2"/>
        <v/>
      </c>
      <c r="C32" s="245" t="str">
        <f t="shared" si="1"/>
        <v/>
      </c>
      <c r="D32" s="246" t="str">
        <f t="shared" si="4"/>
        <v/>
      </c>
      <c r="E32" s="564"/>
      <c r="F32" s="564"/>
      <c r="G32" s="566"/>
      <c r="H32" s="566">
        <v>28</v>
      </c>
      <c r="I32" s="566" t="str">
        <f>_xlfn.XLOOKUP(H32,Order!Q$12:Q$859,Order!C$12:C$859,"")</f>
        <v/>
      </c>
      <c r="J32" s="566" t="str">
        <f>_xlfn.XLOOKUP(H32,Order!Q$12:Q$859,Order!S$12:S$859,"")</f>
        <v/>
      </c>
      <c r="K32" s="566" t="str">
        <f>_xlfn.XLOOKUP(H32,Order!Q$12:Q$859,Order!P$12:P$859,"")</f>
        <v/>
      </c>
      <c r="L32" s="566" t="str">
        <f>_xlfn.XLOOKUP(H32,Order!Q$12:Q$859,Order!B$12:B$859,"")</f>
        <v/>
      </c>
      <c r="M32" s="566"/>
      <c r="N32" s="566"/>
      <c r="O32" s="566"/>
      <c r="P32" s="566"/>
      <c r="Q32" s="566"/>
      <c r="R32" s="566"/>
      <c r="S32" s="566"/>
      <c r="T32" s="566"/>
      <c r="U32" s="566"/>
      <c r="V32" s="566"/>
      <c r="W32" s="566"/>
      <c r="X32" s="564"/>
      <c r="Y32" s="419"/>
      <c r="Z32" s="419"/>
      <c r="AA32" s="419"/>
      <c r="AB32" s="419"/>
      <c r="AC32" s="419"/>
    </row>
    <row r="33" spans="1:29" x14ac:dyDescent="0.15">
      <c r="A33" s="243" t="str">
        <f t="shared" si="0"/>
        <v/>
      </c>
      <c r="B33" s="247" t="str">
        <f t="shared" si="2"/>
        <v/>
      </c>
      <c r="C33" s="245" t="str">
        <f t="shared" si="1"/>
        <v/>
      </c>
      <c r="D33" s="246" t="str">
        <f t="shared" si="4"/>
        <v/>
      </c>
      <c r="E33" s="564"/>
      <c r="F33" s="564"/>
      <c r="G33" s="566"/>
      <c r="H33" s="566">
        <v>29</v>
      </c>
      <c r="I33" s="566" t="str">
        <f>_xlfn.XLOOKUP(H33,Order!Q$12:Q$859,Order!C$12:C$859,"")</f>
        <v/>
      </c>
      <c r="J33" s="566" t="str">
        <f>_xlfn.XLOOKUP(H33,Order!Q$12:Q$859,Order!S$12:S$859,"")</f>
        <v/>
      </c>
      <c r="K33" s="566" t="str">
        <f>_xlfn.XLOOKUP(H33,Order!Q$12:Q$859,Order!P$12:P$859,"")</f>
        <v/>
      </c>
      <c r="L33" s="566" t="str">
        <f>_xlfn.XLOOKUP(H33,Order!Q$12:Q$859,Order!B$12:B$859,"")</f>
        <v/>
      </c>
      <c r="M33" s="566"/>
      <c r="N33" s="566"/>
      <c r="O33" s="566"/>
      <c r="P33" s="566"/>
      <c r="Q33" s="566"/>
      <c r="R33" s="566"/>
      <c r="S33" s="566"/>
      <c r="T33" s="566"/>
      <c r="U33" s="566"/>
      <c r="V33" s="566"/>
      <c r="W33" s="566"/>
      <c r="X33" s="564"/>
      <c r="Y33" s="419"/>
      <c r="Z33" s="419"/>
      <c r="AA33" s="419"/>
      <c r="AB33" s="419"/>
      <c r="AC33" s="419"/>
    </row>
    <row r="34" spans="1:29" x14ac:dyDescent="0.15">
      <c r="A34" s="243" t="str">
        <f t="shared" si="0"/>
        <v/>
      </c>
      <c r="B34" s="247" t="str">
        <f t="shared" si="2"/>
        <v/>
      </c>
      <c r="C34" s="245" t="str">
        <f t="shared" si="1"/>
        <v/>
      </c>
      <c r="D34" s="246" t="str">
        <f t="shared" si="4"/>
        <v/>
      </c>
      <c r="E34" s="564"/>
      <c r="F34" s="564"/>
      <c r="G34" s="566"/>
      <c r="H34" s="566">
        <v>30</v>
      </c>
      <c r="I34" s="566" t="str">
        <f>_xlfn.XLOOKUP(H34,Order!Q$12:Q$859,Order!C$12:C$859,"")</f>
        <v/>
      </c>
      <c r="J34" s="566" t="str">
        <f>_xlfn.XLOOKUP(H34,Order!Q$12:Q$859,Order!S$12:S$859,"")</f>
        <v/>
      </c>
      <c r="K34" s="566" t="str">
        <f>_xlfn.XLOOKUP(H34,Order!Q$12:Q$859,Order!P$12:P$859,"")</f>
        <v/>
      </c>
      <c r="L34" s="566" t="str">
        <f>_xlfn.XLOOKUP(H34,Order!Q$12:Q$859,Order!B$12:B$859,"")</f>
        <v/>
      </c>
      <c r="M34" s="566"/>
      <c r="N34" s="566"/>
      <c r="O34" s="566"/>
      <c r="P34" s="566"/>
      <c r="Q34" s="566"/>
      <c r="R34" s="566"/>
      <c r="S34" s="566"/>
      <c r="T34" s="566"/>
      <c r="U34" s="566"/>
      <c r="V34" s="566"/>
      <c r="W34" s="566"/>
      <c r="X34" s="564"/>
      <c r="Y34" s="419"/>
      <c r="Z34" s="419"/>
      <c r="AA34" s="419"/>
      <c r="AB34" s="419"/>
      <c r="AC34" s="419"/>
    </row>
    <row r="35" spans="1:29" x14ac:dyDescent="0.15">
      <c r="A35" s="243" t="str">
        <f t="shared" si="0"/>
        <v/>
      </c>
      <c r="B35" s="247" t="str">
        <f t="shared" si="2"/>
        <v/>
      </c>
      <c r="C35" s="245" t="str">
        <f t="shared" si="1"/>
        <v/>
      </c>
      <c r="D35" s="246" t="str">
        <f t="shared" si="4"/>
        <v/>
      </c>
      <c r="E35" s="564"/>
      <c r="F35" s="564"/>
      <c r="G35" s="566"/>
      <c r="H35" s="566">
        <v>31</v>
      </c>
      <c r="I35" s="566" t="str">
        <f>_xlfn.XLOOKUP(H35,Order!Q$12:Q$859,Order!C$12:C$859,"")</f>
        <v/>
      </c>
      <c r="J35" s="566" t="str">
        <f>_xlfn.XLOOKUP(H35,Order!Q$12:Q$859,Order!S$12:S$859,"")</f>
        <v/>
      </c>
      <c r="K35" s="566" t="str">
        <f>_xlfn.XLOOKUP(H35,Order!Q$12:Q$859,Order!P$12:P$859,"")</f>
        <v/>
      </c>
      <c r="L35" s="566" t="str">
        <f>_xlfn.XLOOKUP(H35,Order!Q$12:Q$859,Order!B$12:B$859,"")</f>
        <v/>
      </c>
      <c r="M35" s="566"/>
      <c r="N35" s="566"/>
      <c r="O35" s="566"/>
      <c r="P35" s="566"/>
      <c r="Q35" s="566"/>
      <c r="R35" s="566"/>
      <c r="S35" s="566"/>
      <c r="T35" s="566"/>
      <c r="U35" s="566"/>
      <c r="V35" s="566"/>
      <c r="W35" s="566"/>
      <c r="X35" s="564"/>
      <c r="Y35" s="419"/>
      <c r="Z35" s="419"/>
      <c r="AA35" s="419"/>
      <c r="AB35" s="419"/>
      <c r="AC35" s="419"/>
    </row>
    <row r="36" spans="1:29" x14ac:dyDescent="0.15">
      <c r="A36" s="243" t="str">
        <f t="shared" si="0"/>
        <v/>
      </c>
      <c r="B36" s="247" t="str">
        <f t="shared" si="2"/>
        <v/>
      </c>
      <c r="C36" s="245" t="str">
        <f t="shared" si="1"/>
        <v/>
      </c>
      <c r="D36" s="246" t="str">
        <f t="shared" si="4"/>
        <v/>
      </c>
      <c r="E36" s="564"/>
      <c r="F36" s="564"/>
      <c r="G36" s="566"/>
      <c r="H36" s="566">
        <v>32</v>
      </c>
      <c r="I36" s="566" t="str">
        <f>_xlfn.XLOOKUP(H36,Order!Q$12:Q$859,Order!C$12:C$859,"")</f>
        <v/>
      </c>
      <c r="J36" s="566" t="str">
        <f>_xlfn.XLOOKUP(H36,Order!Q$12:Q$859,Order!S$12:S$859,"")</f>
        <v/>
      </c>
      <c r="K36" s="566" t="str">
        <f>_xlfn.XLOOKUP(H36,Order!Q$12:Q$859,Order!P$12:P$859,"")</f>
        <v/>
      </c>
      <c r="L36" s="566" t="str">
        <f>_xlfn.XLOOKUP(H36,Order!Q$12:Q$859,Order!B$12:B$859,"")</f>
        <v/>
      </c>
      <c r="M36" s="566"/>
      <c r="N36" s="566"/>
      <c r="O36" s="566"/>
      <c r="P36" s="566"/>
      <c r="Q36" s="566"/>
      <c r="R36" s="566"/>
      <c r="S36" s="566"/>
      <c r="T36" s="566"/>
      <c r="U36" s="566"/>
      <c r="V36" s="566"/>
      <c r="W36" s="566"/>
      <c r="X36" s="564"/>
      <c r="Y36" s="419"/>
      <c r="Z36" s="419"/>
      <c r="AA36" s="419"/>
      <c r="AB36" s="419"/>
      <c r="AC36" s="419"/>
    </row>
    <row r="37" spans="1:29" x14ac:dyDescent="0.15">
      <c r="A37" s="243" t="str">
        <f t="shared" si="0"/>
        <v/>
      </c>
      <c r="B37" s="247" t="str">
        <f t="shared" si="2"/>
        <v/>
      </c>
      <c r="C37" s="245" t="str">
        <f t="shared" si="1"/>
        <v/>
      </c>
      <c r="D37" s="246" t="str">
        <f t="shared" si="4"/>
        <v/>
      </c>
      <c r="E37" s="564"/>
      <c r="F37" s="564"/>
      <c r="G37" s="566"/>
      <c r="H37" s="566">
        <v>33</v>
      </c>
      <c r="I37" s="566" t="str">
        <f>_xlfn.XLOOKUP(H37,Order!Q$12:Q$859,Order!C$12:C$859,"")</f>
        <v/>
      </c>
      <c r="J37" s="566" t="str">
        <f>_xlfn.XLOOKUP(H37,Order!Q$12:Q$859,Order!S$12:S$859,"")</f>
        <v/>
      </c>
      <c r="K37" s="566" t="str">
        <f>_xlfn.XLOOKUP(H37,Order!Q$12:Q$859,Order!P$12:P$859,"")</f>
        <v/>
      </c>
      <c r="L37" s="566" t="str">
        <f>_xlfn.XLOOKUP(H37,Order!Q$12:Q$859,Order!B$12:B$859,"")</f>
        <v/>
      </c>
      <c r="M37" s="566"/>
      <c r="N37" s="566"/>
      <c r="O37" s="566"/>
      <c r="P37" s="566"/>
      <c r="Q37" s="566"/>
      <c r="R37" s="566"/>
      <c r="S37" s="566"/>
      <c r="T37" s="566"/>
      <c r="U37" s="566"/>
      <c r="V37" s="566"/>
      <c r="W37" s="566"/>
      <c r="X37" s="564"/>
      <c r="Y37" s="419"/>
      <c r="Z37" s="419"/>
      <c r="AA37" s="419"/>
      <c r="AB37" s="419"/>
      <c r="AC37" s="419"/>
    </row>
    <row r="38" spans="1:29" x14ac:dyDescent="0.15">
      <c r="A38" s="243" t="str">
        <f t="shared" ref="A38:A69" si="5">IF(K38=0,"",IF(K38=K37,"",K38))</f>
        <v/>
      </c>
      <c r="B38" s="247" t="str">
        <f t="shared" ref="B38:B69" si="6">IF(I38=I37,"",I38)</f>
        <v/>
      </c>
      <c r="C38" s="245" t="str">
        <f t="shared" ref="C38:C69" si="7">IF(I38=I37,"",J38)</f>
        <v/>
      </c>
      <c r="D38" s="246" t="str">
        <f t="shared" ref="D38:D69" si="8">IF(I38=I37,"",L38)</f>
        <v/>
      </c>
      <c r="E38" s="564"/>
      <c r="F38" s="564"/>
      <c r="G38" s="566"/>
      <c r="H38" s="566">
        <v>34</v>
      </c>
      <c r="I38" s="566" t="str">
        <f>_xlfn.XLOOKUP(H38,Order!Q$12:Q$859,Order!C$12:C$859,"")</f>
        <v/>
      </c>
      <c r="J38" s="566" t="str">
        <f>_xlfn.XLOOKUP(H38,Order!Q$12:Q$859,Order!S$12:S$859,"")</f>
        <v/>
      </c>
      <c r="K38" s="566" t="str">
        <f>_xlfn.XLOOKUP(H38,Order!Q$12:Q$859,Order!P$12:P$859,"")</f>
        <v/>
      </c>
      <c r="L38" s="566" t="str">
        <f>_xlfn.XLOOKUP(H38,Order!Q$12:Q$859,Order!B$12:B$859,"")</f>
        <v/>
      </c>
      <c r="M38" s="566"/>
      <c r="N38" s="566"/>
      <c r="O38" s="566"/>
      <c r="P38" s="566"/>
      <c r="Q38" s="566"/>
      <c r="R38" s="566"/>
      <c r="S38" s="566"/>
      <c r="T38" s="566"/>
      <c r="U38" s="566"/>
      <c r="V38" s="566"/>
      <c r="W38" s="566"/>
      <c r="X38" s="564"/>
      <c r="Y38" s="419"/>
      <c r="Z38" s="419"/>
      <c r="AA38" s="419"/>
      <c r="AB38" s="419"/>
      <c r="AC38" s="419"/>
    </row>
    <row r="39" spans="1:29" x14ac:dyDescent="0.15">
      <c r="A39" s="243" t="str">
        <f t="shared" si="5"/>
        <v/>
      </c>
      <c r="B39" s="247" t="str">
        <f t="shared" si="6"/>
        <v/>
      </c>
      <c r="C39" s="245" t="str">
        <f t="shared" si="7"/>
        <v/>
      </c>
      <c r="D39" s="246" t="str">
        <f t="shared" si="8"/>
        <v/>
      </c>
      <c r="E39" s="564"/>
      <c r="F39" s="564"/>
      <c r="G39" s="566"/>
      <c r="H39" s="566">
        <v>35</v>
      </c>
      <c r="I39" s="566" t="str">
        <f>_xlfn.XLOOKUP(H39,Order!Q$12:Q$859,Order!C$12:C$859,"")</f>
        <v/>
      </c>
      <c r="J39" s="566" t="str">
        <f>_xlfn.XLOOKUP(H39,Order!Q$12:Q$859,Order!S$12:S$859,"")</f>
        <v/>
      </c>
      <c r="K39" s="566" t="str">
        <f>_xlfn.XLOOKUP(H39,Order!Q$12:Q$859,Order!P$12:P$859,"")</f>
        <v/>
      </c>
      <c r="L39" s="566" t="str">
        <f>_xlfn.XLOOKUP(H39,Order!Q$12:Q$859,Order!B$12:B$859,"")</f>
        <v/>
      </c>
      <c r="M39" s="566"/>
      <c r="N39" s="566"/>
      <c r="O39" s="566"/>
      <c r="P39" s="566"/>
      <c r="Q39" s="566"/>
      <c r="R39" s="566"/>
      <c r="S39" s="566"/>
      <c r="T39" s="566"/>
      <c r="U39" s="566"/>
      <c r="V39" s="566"/>
      <c r="W39" s="566"/>
      <c r="X39" s="564"/>
      <c r="Y39" s="419"/>
      <c r="Z39" s="419"/>
      <c r="AA39" s="419"/>
      <c r="AB39" s="419"/>
      <c r="AC39" s="419"/>
    </row>
    <row r="40" spans="1:29" x14ac:dyDescent="0.15">
      <c r="A40" s="243" t="str">
        <f t="shared" si="5"/>
        <v/>
      </c>
      <c r="B40" s="247" t="str">
        <f t="shared" si="6"/>
        <v/>
      </c>
      <c r="C40" s="245" t="str">
        <f t="shared" si="7"/>
        <v/>
      </c>
      <c r="D40" s="246" t="str">
        <f t="shared" si="8"/>
        <v/>
      </c>
      <c r="E40" s="564"/>
      <c r="F40" s="566"/>
      <c r="G40" s="566"/>
      <c r="H40" s="566">
        <v>36</v>
      </c>
      <c r="I40" s="566" t="str">
        <f>_xlfn.XLOOKUP(H40,Order!Q$12:Q$859,Order!C$12:C$859,"")</f>
        <v/>
      </c>
      <c r="J40" s="566" t="str">
        <f>_xlfn.XLOOKUP(H40,Order!Q$12:Q$859,Order!S$12:S$859,"")</f>
        <v/>
      </c>
      <c r="K40" s="566" t="str">
        <f>_xlfn.XLOOKUP(H40,Order!Q$12:Q$859,Order!P$12:P$859,"")</f>
        <v/>
      </c>
      <c r="L40" s="566" t="str">
        <f>_xlfn.XLOOKUP(H40,Order!Q$12:Q$859,Order!B$12:B$859,"")</f>
        <v/>
      </c>
      <c r="M40" s="566"/>
      <c r="N40" s="566"/>
      <c r="O40" s="566"/>
      <c r="P40" s="566"/>
      <c r="Q40" s="566"/>
      <c r="R40" s="566"/>
      <c r="S40" s="566"/>
      <c r="T40" s="566"/>
      <c r="U40" s="566"/>
      <c r="V40" s="566"/>
      <c r="W40" s="566"/>
      <c r="X40" s="564"/>
      <c r="Y40" s="419"/>
      <c r="Z40" s="419"/>
      <c r="AA40" s="419"/>
      <c r="AB40" s="419"/>
      <c r="AC40" s="419"/>
    </row>
    <row r="41" spans="1:29" x14ac:dyDescent="0.15">
      <c r="A41" s="243" t="str">
        <f t="shared" si="5"/>
        <v/>
      </c>
      <c r="B41" s="247" t="str">
        <f t="shared" si="6"/>
        <v/>
      </c>
      <c r="C41" s="245" t="str">
        <f t="shared" si="7"/>
        <v/>
      </c>
      <c r="D41" s="246" t="str">
        <f t="shared" si="8"/>
        <v/>
      </c>
      <c r="E41" s="566"/>
      <c r="F41" s="566"/>
      <c r="G41" s="566"/>
      <c r="H41" s="566">
        <v>37</v>
      </c>
      <c r="I41" s="566" t="str">
        <f>_xlfn.XLOOKUP(H41,Order!Q$12:Q$859,Order!C$12:C$859,"")</f>
        <v/>
      </c>
      <c r="J41" s="566" t="str">
        <f>_xlfn.XLOOKUP(H41,Order!Q$12:Q$859,Order!S$12:S$859,"")</f>
        <v/>
      </c>
      <c r="K41" s="566" t="str">
        <f>_xlfn.XLOOKUP(H41,Order!Q$12:Q$859,Order!P$12:P$859,"")</f>
        <v/>
      </c>
      <c r="L41" s="566" t="str">
        <f>_xlfn.XLOOKUP(H41,Order!Q$12:Q$859,Order!B$12:B$859,"")</f>
        <v/>
      </c>
      <c r="M41" s="566"/>
      <c r="N41" s="566"/>
      <c r="O41" s="566"/>
      <c r="P41" s="566"/>
      <c r="Q41" s="566"/>
      <c r="R41" s="566"/>
      <c r="S41" s="566"/>
      <c r="T41" s="566"/>
      <c r="U41" s="566"/>
      <c r="V41" s="566"/>
      <c r="W41" s="566"/>
      <c r="X41" s="564"/>
      <c r="Y41" s="419"/>
      <c r="Z41" s="419"/>
      <c r="AA41" s="419"/>
      <c r="AB41" s="419"/>
      <c r="AC41" s="419"/>
    </row>
    <row r="42" spans="1:29" x14ac:dyDescent="0.15">
      <c r="A42" s="243" t="str">
        <f t="shared" si="5"/>
        <v/>
      </c>
      <c r="B42" s="247" t="str">
        <f t="shared" si="6"/>
        <v/>
      </c>
      <c r="C42" s="245" t="str">
        <f t="shared" si="7"/>
        <v/>
      </c>
      <c r="D42" s="246" t="str">
        <f t="shared" si="8"/>
        <v/>
      </c>
      <c r="E42" s="566"/>
      <c r="F42" s="576"/>
      <c r="G42" s="566"/>
      <c r="H42" s="566">
        <v>38</v>
      </c>
      <c r="I42" s="566" t="str">
        <f>_xlfn.XLOOKUP(H42,Order!Q$12:Q$859,Order!C$12:C$859,"")</f>
        <v/>
      </c>
      <c r="J42" s="566" t="str">
        <f>_xlfn.XLOOKUP(H42,Order!Q$12:Q$859,Order!S$12:S$859,"")</f>
        <v/>
      </c>
      <c r="K42" s="566" t="str">
        <f>_xlfn.XLOOKUP(H42,Order!Q$12:Q$859,Order!P$12:P$859,"")</f>
        <v/>
      </c>
      <c r="L42" s="566" t="str">
        <f>_xlfn.XLOOKUP(H42,Order!Q$12:Q$859,Order!B$12:B$859,"")</f>
        <v/>
      </c>
      <c r="M42" s="566"/>
      <c r="N42" s="566"/>
      <c r="O42" s="566"/>
      <c r="P42" s="566"/>
      <c r="Q42" s="576"/>
      <c r="R42" s="576"/>
      <c r="S42" s="576"/>
      <c r="T42" s="566"/>
      <c r="U42" s="566"/>
      <c r="V42" s="566"/>
      <c r="W42" s="566"/>
      <c r="X42" s="564"/>
      <c r="Y42" s="419"/>
      <c r="Z42" s="419"/>
      <c r="AA42" s="419"/>
      <c r="AB42" s="419"/>
      <c r="AC42" s="419"/>
    </row>
    <row r="43" spans="1:29" x14ac:dyDescent="0.15">
      <c r="A43" s="243" t="str">
        <f t="shared" si="5"/>
        <v/>
      </c>
      <c r="B43" s="247" t="str">
        <f t="shared" si="6"/>
        <v/>
      </c>
      <c r="C43" s="245" t="str">
        <f t="shared" si="7"/>
        <v/>
      </c>
      <c r="D43" s="246" t="str">
        <f t="shared" si="8"/>
        <v/>
      </c>
      <c r="E43" s="566"/>
      <c r="F43" s="576"/>
      <c r="G43" s="566"/>
      <c r="H43" s="566">
        <v>39</v>
      </c>
      <c r="I43" s="566" t="str">
        <f>_xlfn.XLOOKUP(H43,Order!Q$12:Q$859,Order!C$12:C$859,"")</f>
        <v/>
      </c>
      <c r="J43" s="566" t="str">
        <f>_xlfn.XLOOKUP(H43,Order!Q$12:Q$859,Order!S$12:S$859,"")</f>
        <v/>
      </c>
      <c r="K43" s="566" t="str">
        <f>_xlfn.XLOOKUP(H43,Order!Q$12:Q$859,Order!P$12:P$859,"")</f>
        <v/>
      </c>
      <c r="L43" s="566" t="str">
        <f>_xlfn.XLOOKUP(H43,Order!Q$12:Q$859,Order!B$12:B$859,"")</f>
        <v/>
      </c>
      <c r="M43" s="566"/>
      <c r="N43" s="566"/>
      <c r="O43" s="566"/>
      <c r="P43" s="566"/>
      <c r="Q43" s="576"/>
      <c r="R43" s="576"/>
      <c r="S43" s="576"/>
      <c r="T43" s="566"/>
      <c r="U43" s="566"/>
      <c r="V43" s="566"/>
      <c r="W43" s="566"/>
      <c r="X43" s="564"/>
      <c r="Y43" s="419"/>
      <c r="Z43" s="419"/>
      <c r="AA43" s="419"/>
      <c r="AB43" s="419"/>
      <c r="AC43" s="419"/>
    </row>
    <row r="44" spans="1:29" x14ac:dyDescent="0.15">
      <c r="A44" s="243" t="str">
        <f t="shared" si="5"/>
        <v/>
      </c>
      <c r="B44" s="247" t="str">
        <f>IF(I44=I43,"",I44)</f>
        <v/>
      </c>
      <c r="C44" s="245" t="str">
        <f>IF(I44=I43,"",J44)</f>
        <v/>
      </c>
      <c r="D44" s="246" t="str">
        <f>IF(I44=I43,"",L44)</f>
        <v/>
      </c>
      <c r="E44" s="566"/>
      <c r="F44" s="576"/>
      <c r="G44" s="566"/>
      <c r="H44" s="566">
        <v>40</v>
      </c>
      <c r="I44" s="566" t="str">
        <f>_xlfn.XLOOKUP(H44,Order!Q$12:Q$859,Order!C$12:C$859,"")</f>
        <v/>
      </c>
      <c r="J44" s="566" t="str">
        <f>_xlfn.XLOOKUP(H44,Order!Q$12:Q$859,Order!S$12:S$859,"")</f>
        <v/>
      </c>
      <c r="K44" s="566" t="str">
        <f>_xlfn.XLOOKUP(H44,Order!Q$12:Q$859,Order!P$12:P$859,"")</f>
        <v/>
      </c>
      <c r="L44" s="566" t="str">
        <f>_xlfn.XLOOKUP(H44,Order!Q$12:Q$859,Order!B$12:B$859,"")</f>
        <v/>
      </c>
      <c r="M44" s="566"/>
      <c r="N44" s="566"/>
      <c r="O44" s="566"/>
      <c r="P44" s="566"/>
      <c r="Q44" s="576"/>
      <c r="R44" s="576"/>
      <c r="S44" s="576"/>
      <c r="T44" s="566"/>
      <c r="U44" s="566"/>
      <c r="V44" s="566"/>
      <c r="W44" s="566"/>
      <c r="X44" s="564"/>
    </row>
    <row r="45" spans="1:29" x14ac:dyDescent="0.15">
      <c r="A45" s="243" t="str">
        <f t="shared" si="5"/>
        <v/>
      </c>
      <c r="B45" s="247" t="str">
        <f>IF(I45=I44,"",I45)</f>
        <v/>
      </c>
      <c r="C45" s="245" t="str">
        <f>IF(I45=I44,"",J45)</f>
        <v/>
      </c>
      <c r="D45" s="246" t="str">
        <f>IF(I45=I44,"",L45)</f>
        <v/>
      </c>
      <c r="E45" s="566"/>
      <c r="F45" s="576"/>
      <c r="G45" s="566"/>
      <c r="H45" s="566">
        <v>41</v>
      </c>
      <c r="I45" s="566" t="str">
        <f>_xlfn.XLOOKUP(H45,Order!Q$12:Q$859,Order!C$12:C$859,"")</f>
        <v/>
      </c>
      <c r="J45" s="566" t="str">
        <f>_xlfn.XLOOKUP(H45,Order!Q$12:Q$859,Order!S$12:S$859,"")</f>
        <v/>
      </c>
      <c r="K45" s="566" t="str">
        <f>_xlfn.XLOOKUP(H45,Order!Q$12:Q$859,Order!P$12:P$859,"")</f>
        <v/>
      </c>
      <c r="L45" s="566" t="str">
        <f>_xlfn.XLOOKUP(H45,Order!Q$12:Q$859,Order!B$12:B$859,"")</f>
        <v/>
      </c>
      <c r="M45" s="566"/>
      <c r="N45" s="566"/>
      <c r="O45" s="566"/>
      <c r="P45" s="566"/>
      <c r="Q45" s="576"/>
      <c r="R45" s="576"/>
      <c r="S45" s="576"/>
      <c r="T45" s="566"/>
      <c r="U45" s="566"/>
      <c r="V45" s="566"/>
      <c r="W45" s="566"/>
      <c r="X45" s="564"/>
    </row>
    <row r="46" spans="1:29" x14ac:dyDescent="0.15">
      <c r="A46" s="243" t="str">
        <f t="shared" si="5"/>
        <v/>
      </c>
      <c r="B46" s="247" t="str">
        <f t="shared" si="6"/>
        <v/>
      </c>
      <c r="C46" s="245" t="str">
        <f t="shared" si="7"/>
        <v/>
      </c>
      <c r="D46" s="246" t="str">
        <f t="shared" si="8"/>
        <v/>
      </c>
      <c r="E46" s="566"/>
      <c r="F46" s="566"/>
      <c r="G46" s="566"/>
      <c r="H46" s="566">
        <v>42</v>
      </c>
      <c r="I46" s="566" t="str">
        <f>_xlfn.XLOOKUP(H46,Order!Q$12:Q$859,Order!C$12:C$859,"")</f>
        <v/>
      </c>
      <c r="J46" s="566" t="str">
        <f>_xlfn.XLOOKUP(H46,Order!Q$12:Q$859,Order!S$12:S$859,"")</f>
        <v/>
      </c>
      <c r="K46" s="566" t="str">
        <f>_xlfn.XLOOKUP(H46,Order!Q$12:Q$859,Order!P$12:P$859,"")</f>
        <v/>
      </c>
      <c r="L46" s="566" t="str">
        <f>_xlfn.XLOOKUP(H46,Order!Q$12:Q$859,Order!B$12:B$859,"")</f>
        <v/>
      </c>
      <c r="M46" s="566"/>
      <c r="N46" s="566"/>
      <c r="O46" s="566"/>
      <c r="P46" s="566"/>
      <c r="Q46" s="576"/>
      <c r="R46" s="576"/>
      <c r="S46" s="576"/>
      <c r="T46" s="566"/>
      <c r="U46" s="566"/>
      <c r="V46" s="566"/>
      <c r="W46" s="566"/>
      <c r="X46" s="564"/>
    </row>
    <row r="47" spans="1:29" x14ac:dyDescent="0.15">
      <c r="A47" s="243" t="str">
        <f t="shared" si="5"/>
        <v/>
      </c>
      <c r="B47" s="247" t="str">
        <f t="shared" si="6"/>
        <v/>
      </c>
      <c r="C47" s="245" t="str">
        <f t="shared" si="7"/>
        <v/>
      </c>
      <c r="D47" s="246" t="str">
        <f t="shared" si="8"/>
        <v/>
      </c>
      <c r="E47" s="566"/>
      <c r="F47" s="566"/>
      <c r="G47" s="566"/>
      <c r="H47" s="566">
        <v>43</v>
      </c>
      <c r="I47" s="566" t="str">
        <f>_xlfn.XLOOKUP(H47,Order!Q$12:Q$859,Order!C$12:C$859,"")</f>
        <v/>
      </c>
      <c r="J47" s="566" t="str">
        <f>_xlfn.XLOOKUP(H47,Order!Q$12:Q$859,Order!S$12:S$859,"")</f>
        <v/>
      </c>
      <c r="K47" s="566" t="str">
        <f>_xlfn.XLOOKUP(H47,Order!Q$12:Q$859,Order!P$12:P$859,"")</f>
        <v/>
      </c>
      <c r="L47" s="566" t="str">
        <f>_xlfn.XLOOKUP(H47,Order!Q$12:Q$859,Order!B$12:B$859,"")</f>
        <v/>
      </c>
      <c r="M47" s="566"/>
      <c r="N47" s="566"/>
      <c r="O47" s="566"/>
      <c r="P47" s="566"/>
      <c r="Q47" s="576"/>
      <c r="R47" s="576"/>
      <c r="S47" s="576"/>
      <c r="T47" s="566"/>
      <c r="U47" s="566"/>
      <c r="V47" s="566"/>
      <c r="W47" s="566"/>
      <c r="X47" s="564"/>
    </row>
    <row r="48" spans="1:29" x14ac:dyDescent="0.15">
      <c r="A48" s="243" t="str">
        <f t="shared" si="5"/>
        <v/>
      </c>
      <c r="B48" s="247" t="str">
        <f t="shared" si="6"/>
        <v/>
      </c>
      <c r="C48" s="245" t="str">
        <f t="shared" si="7"/>
        <v/>
      </c>
      <c r="D48" s="246" t="str">
        <f t="shared" si="8"/>
        <v/>
      </c>
      <c r="E48" s="566"/>
      <c r="F48" s="566"/>
      <c r="G48" s="566"/>
      <c r="H48" s="566">
        <v>44</v>
      </c>
      <c r="I48" s="566" t="str">
        <f>_xlfn.XLOOKUP(H48,Order!Q$12:Q$859,Order!C$12:C$859,"")</f>
        <v/>
      </c>
      <c r="J48" s="566" t="str">
        <f>_xlfn.XLOOKUP(H48,Order!Q$12:Q$859,Order!S$12:S$859,"")</f>
        <v/>
      </c>
      <c r="K48" s="566" t="str">
        <f>_xlfn.XLOOKUP(H48,Order!Q$12:Q$859,Order!P$12:P$859,"")</f>
        <v/>
      </c>
      <c r="L48" s="566" t="str">
        <f>_xlfn.XLOOKUP(H48,Order!Q$12:Q$859,Order!B$12:B$859,"")</f>
        <v/>
      </c>
      <c r="M48" s="566"/>
      <c r="N48" s="566"/>
      <c r="O48" s="566"/>
      <c r="P48" s="566"/>
      <c r="Q48" s="576"/>
      <c r="R48" s="576"/>
      <c r="S48" s="576"/>
      <c r="T48" s="566"/>
      <c r="U48" s="566"/>
      <c r="V48" s="566"/>
      <c r="W48" s="566"/>
      <c r="X48" s="564"/>
    </row>
    <row r="49" spans="1:24" x14ac:dyDescent="0.15">
      <c r="A49" s="243" t="str">
        <f t="shared" si="5"/>
        <v/>
      </c>
      <c r="B49" s="247" t="str">
        <f t="shared" si="6"/>
        <v/>
      </c>
      <c r="C49" s="245" t="str">
        <f t="shared" si="7"/>
        <v/>
      </c>
      <c r="D49" s="246" t="str">
        <f t="shared" si="8"/>
        <v/>
      </c>
      <c r="E49" s="566"/>
      <c r="F49" s="566"/>
      <c r="G49" s="566"/>
      <c r="H49" s="566">
        <v>45</v>
      </c>
      <c r="I49" s="566" t="str">
        <f>_xlfn.XLOOKUP(H49,Order!Q$12:Q$859,Order!C$12:C$859,"")</f>
        <v/>
      </c>
      <c r="J49" s="566" t="str">
        <f>_xlfn.XLOOKUP(H49,Order!Q$12:Q$859,Order!S$12:S$859,"")</f>
        <v/>
      </c>
      <c r="K49" s="566" t="str">
        <f>_xlfn.XLOOKUP(H49,Order!Q$12:Q$859,Order!P$12:P$859,"")</f>
        <v/>
      </c>
      <c r="L49" s="566" t="str">
        <f>_xlfn.XLOOKUP(H49,Order!Q$12:Q$859,Order!B$12:B$859,"")</f>
        <v/>
      </c>
      <c r="M49" s="566"/>
      <c r="N49" s="566"/>
      <c r="O49" s="566"/>
      <c r="P49" s="566"/>
      <c r="Q49" s="576"/>
      <c r="R49" s="576"/>
      <c r="S49" s="576"/>
      <c r="T49" s="566"/>
      <c r="U49" s="566"/>
      <c r="V49" s="566"/>
      <c r="W49" s="566"/>
      <c r="X49" s="564"/>
    </row>
    <row r="50" spans="1:24" x14ac:dyDescent="0.15">
      <c r="A50" s="243" t="str">
        <f t="shared" si="5"/>
        <v/>
      </c>
      <c r="B50" s="247" t="str">
        <f t="shared" si="6"/>
        <v/>
      </c>
      <c r="C50" s="245" t="str">
        <f t="shared" si="7"/>
        <v/>
      </c>
      <c r="D50" s="246" t="str">
        <f t="shared" si="8"/>
        <v/>
      </c>
      <c r="E50" s="566"/>
      <c r="F50" s="566"/>
      <c r="G50" s="566"/>
      <c r="H50" s="566">
        <v>46</v>
      </c>
      <c r="I50" s="566" t="str">
        <f>_xlfn.XLOOKUP(H50,Order!Q$12:Q$859,Order!C$12:C$859,"")</f>
        <v/>
      </c>
      <c r="J50" s="566" t="str">
        <f>_xlfn.XLOOKUP(H50,Order!Q$12:Q$859,Order!S$12:S$859,"")</f>
        <v/>
      </c>
      <c r="K50" s="566" t="str">
        <f>_xlfn.XLOOKUP(H50,Order!Q$12:Q$859,Order!P$12:P$859,"")</f>
        <v/>
      </c>
      <c r="L50" s="566" t="str">
        <f>_xlfn.XLOOKUP(H50,Order!Q$12:Q$859,Order!B$12:B$859,"")</f>
        <v/>
      </c>
      <c r="M50" s="566"/>
      <c r="N50" s="566"/>
      <c r="O50" s="566"/>
      <c r="P50" s="566"/>
      <c r="Q50" s="576"/>
      <c r="R50" s="576"/>
      <c r="S50" s="576"/>
      <c r="T50" s="566"/>
      <c r="U50" s="566"/>
      <c r="V50" s="566"/>
      <c r="W50" s="566"/>
      <c r="X50" s="564"/>
    </row>
    <row r="51" spans="1:24" x14ac:dyDescent="0.15">
      <c r="A51" s="243" t="str">
        <f t="shared" si="5"/>
        <v/>
      </c>
      <c r="B51" s="247" t="str">
        <f t="shared" si="6"/>
        <v/>
      </c>
      <c r="C51" s="245" t="str">
        <f t="shared" si="7"/>
        <v/>
      </c>
      <c r="D51" s="246" t="str">
        <f t="shared" si="8"/>
        <v/>
      </c>
      <c r="E51" s="566"/>
      <c r="F51" s="566"/>
      <c r="G51" s="566"/>
      <c r="H51" s="566">
        <v>47</v>
      </c>
      <c r="I51" s="566" t="str">
        <f>_xlfn.XLOOKUP(H51,Order!Q$12:Q$859,Order!C$12:C$859,"")</f>
        <v/>
      </c>
      <c r="J51" s="566" t="str">
        <f>_xlfn.XLOOKUP(H51,Order!Q$12:Q$859,Order!S$12:S$859,"")</f>
        <v/>
      </c>
      <c r="K51" s="566" t="str">
        <f>_xlfn.XLOOKUP(H51,Order!Q$12:Q$859,Order!P$12:P$859,"")</f>
        <v/>
      </c>
      <c r="L51" s="566" t="str">
        <f>_xlfn.XLOOKUP(H51,Order!Q$12:Q$859,Order!B$12:B$859,"")</f>
        <v/>
      </c>
      <c r="M51" s="566"/>
      <c r="N51" s="566"/>
      <c r="O51" s="566"/>
      <c r="P51" s="566"/>
      <c r="Q51" s="576"/>
      <c r="R51" s="576"/>
      <c r="S51" s="576"/>
      <c r="T51" s="566"/>
      <c r="U51" s="566"/>
      <c r="V51" s="566"/>
      <c r="W51" s="566"/>
      <c r="X51" s="564"/>
    </row>
    <row r="52" spans="1:24" x14ac:dyDescent="0.15">
      <c r="A52" s="243" t="str">
        <f t="shared" si="5"/>
        <v/>
      </c>
      <c r="B52" s="247" t="str">
        <f t="shared" si="6"/>
        <v/>
      </c>
      <c r="C52" s="245" t="str">
        <f t="shared" si="7"/>
        <v/>
      </c>
      <c r="D52" s="246" t="str">
        <f t="shared" si="8"/>
        <v/>
      </c>
      <c r="E52" s="566"/>
      <c r="F52" s="566"/>
      <c r="G52" s="566"/>
      <c r="H52" s="566">
        <v>48</v>
      </c>
      <c r="I52" s="566" t="str">
        <f>_xlfn.XLOOKUP(H52,Order!Q$12:Q$859,Order!C$12:C$859,"")</f>
        <v/>
      </c>
      <c r="J52" s="566" t="str">
        <f>_xlfn.XLOOKUP(H52,Order!Q$12:Q$859,Order!S$12:S$859,"")</f>
        <v/>
      </c>
      <c r="K52" s="566" t="str">
        <f>_xlfn.XLOOKUP(H52,Order!Q$12:Q$859,Order!P$12:P$859,"")</f>
        <v/>
      </c>
      <c r="L52" s="566" t="str">
        <f>_xlfn.XLOOKUP(H52,Order!Q$12:Q$859,Order!B$12:B$859,"")</f>
        <v/>
      </c>
      <c r="M52" s="566"/>
      <c r="N52" s="566"/>
      <c r="O52" s="566"/>
      <c r="P52" s="576"/>
      <c r="Q52" s="576"/>
      <c r="R52" s="576"/>
      <c r="S52" s="576"/>
      <c r="T52" s="566"/>
      <c r="U52" s="566"/>
      <c r="V52" s="566"/>
      <c r="W52" s="566"/>
      <c r="X52" s="564"/>
    </row>
    <row r="53" spans="1:24" x14ac:dyDescent="0.15">
      <c r="A53" s="243" t="str">
        <f t="shared" si="5"/>
        <v/>
      </c>
      <c r="B53" s="247" t="str">
        <f t="shared" si="6"/>
        <v/>
      </c>
      <c r="C53" s="245" t="str">
        <f t="shared" si="7"/>
        <v/>
      </c>
      <c r="D53" s="246" t="str">
        <f t="shared" si="8"/>
        <v/>
      </c>
      <c r="E53" s="566"/>
      <c r="F53" s="566"/>
      <c r="G53" s="566"/>
      <c r="H53" s="566">
        <v>49</v>
      </c>
      <c r="I53" s="566" t="str">
        <f>_xlfn.XLOOKUP(H53,Order!Q$12:Q$859,Order!C$12:C$859,"")</f>
        <v/>
      </c>
      <c r="J53" s="566" t="str">
        <f>_xlfn.XLOOKUP(H53,Order!Q$12:Q$859,Order!S$12:S$859,"")</f>
        <v/>
      </c>
      <c r="K53" s="566" t="str">
        <f>_xlfn.XLOOKUP(H53,Order!Q$12:Q$859,Order!P$12:P$859,"")</f>
        <v/>
      </c>
      <c r="L53" s="566" t="str">
        <f>_xlfn.XLOOKUP(H53,Order!Q$12:Q$859,Order!B$12:B$859,"")</f>
        <v/>
      </c>
      <c r="M53" s="566"/>
      <c r="N53" s="566"/>
      <c r="O53" s="566"/>
      <c r="P53" s="576"/>
      <c r="Q53" s="576"/>
      <c r="R53" s="576"/>
      <c r="S53" s="576"/>
      <c r="T53" s="566"/>
      <c r="U53" s="566"/>
      <c r="V53" s="566"/>
      <c r="W53" s="566"/>
      <c r="X53" s="564"/>
    </row>
    <row r="54" spans="1:24" x14ac:dyDescent="0.15">
      <c r="A54" s="243" t="str">
        <f t="shared" si="5"/>
        <v/>
      </c>
      <c r="B54" s="247" t="str">
        <f t="shared" si="6"/>
        <v/>
      </c>
      <c r="C54" s="245" t="str">
        <f t="shared" si="7"/>
        <v/>
      </c>
      <c r="D54" s="246" t="str">
        <f t="shared" si="8"/>
        <v/>
      </c>
      <c r="E54" s="566"/>
      <c r="F54" s="566"/>
      <c r="G54" s="566"/>
      <c r="H54" s="566">
        <v>50</v>
      </c>
      <c r="I54" s="566" t="str">
        <f>_xlfn.XLOOKUP(H54,Order!Q$12:Q$859,Order!C$12:C$859,"")</f>
        <v/>
      </c>
      <c r="J54" s="566" t="str">
        <f>_xlfn.XLOOKUP(H54,Order!Q$12:Q$859,Order!S$12:S$859,"")</f>
        <v/>
      </c>
      <c r="K54" s="566" t="str">
        <f>_xlfn.XLOOKUP(H54,Order!Q$12:Q$859,Order!P$12:P$859,"")</f>
        <v/>
      </c>
      <c r="L54" s="566" t="str">
        <f>_xlfn.XLOOKUP(H54,Order!Q$12:Q$859,Order!B$12:B$859,"")</f>
        <v/>
      </c>
      <c r="M54" s="566"/>
      <c r="N54" s="566"/>
      <c r="O54" s="566"/>
      <c r="P54" s="576"/>
      <c r="Q54" s="576"/>
      <c r="R54" s="576"/>
      <c r="S54" s="576"/>
      <c r="T54" s="566"/>
      <c r="U54" s="566"/>
      <c r="V54" s="566"/>
      <c r="W54" s="566"/>
      <c r="X54" s="564"/>
    </row>
    <row r="55" spans="1:24" x14ac:dyDescent="0.15">
      <c r="A55" s="243" t="str">
        <f t="shared" si="5"/>
        <v/>
      </c>
      <c r="B55" s="247" t="str">
        <f t="shared" si="6"/>
        <v/>
      </c>
      <c r="C55" s="245" t="str">
        <f t="shared" si="7"/>
        <v/>
      </c>
      <c r="D55" s="246" t="str">
        <f t="shared" si="8"/>
        <v/>
      </c>
      <c r="E55" s="566"/>
      <c r="F55" s="566"/>
      <c r="G55" s="566"/>
      <c r="H55" s="566">
        <v>51</v>
      </c>
      <c r="I55" s="566" t="str">
        <f>_xlfn.XLOOKUP(H55,Order!Q$12:Q$859,Order!C$12:C$859,"")</f>
        <v/>
      </c>
      <c r="J55" s="566" t="str">
        <f>_xlfn.XLOOKUP(H55,Order!Q$12:Q$859,Order!S$12:S$859,"")</f>
        <v/>
      </c>
      <c r="K55" s="566" t="str">
        <f>_xlfn.XLOOKUP(H55,Order!Q$12:Q$859,Order!P$12:P$859,"")</f>
        <v/>
      </c>
      <c r="L55" s="566" t="str">
        <f>_xlfn.XLOOKUP(H55,Order!Q$12:Q$859,Order!B$12:B$859,"")</f>
        <v/>
      </c>
      <c r="M55" s="566"/>
      <c r="N55" s="566"/>
      <c r="O55" s="566"/>
      <c r="P55" s="576"/>
      <c r="Q55" s="576"/>
      <c r="R55" s="576"/>
      <c r="S55" s="576"/>
      <c r="T55" s="566"/>
      <c r="U55" s="566"/>
      <c r="V55" s="566"/>
      <c r="W55" s="566"/>
      <c r="X55" s="564"/>
    </row>
    <row r="56" spans="1:24" x14ac:dyDescent="0.15">
      <c r="A56" s="243" t="str">
        <f t="shared" si="5"/>
        <v/>
      </c>
      <c r="B56" s="247" t="str">
        <f t="shared" si="6"/>
        <v/>
      </c>
      <c r="C56" s="245" t="str">
        <f t="shared" si="7"/>
        <v/>
      </c>
      <c r="D56" s="246" t="str">
        <f t="shared" si="8"/>
        <v/>
      </c>
      <c r="E56" s="566"/>
      <c r="F56" s="566"/>
      <c r="G56" s="566"/>
      <c r="H56" s="566">
        <v>52</v>
      </c>
      <c r="I56" s="566" t="str">
        <f>_xlfn.XLOOKUP(H56,Order!Q$12:Q$859,Order!C$12:C$859,"")</f>
        <v/>
      </c>
      <c r="J56" s="566" t="str">
        <f>_xlfn.XLOOKUP(H56,Order!Q$12:Q$859,Order!S$12:S$859,"")</f>
        <v/>
      </c>
      <c r="K56" s="566" t="str">
        <f>_xlfn.XLOOKUP(H56,Order!Q$12:Q$859,Order!P$12:P$859,"")</f>
        <v/>
      </c>
      <c r="L56" s="566" t="str">
        <f>_xlfn.XLOOKUP(H56,Order!Q$12:Q$859,Order!B$12:B$859,"")</f>
        <v/>
      </c>
      <c r="M56" s="566"/>
      <c r="N56" s="566"/>
      <c r="O56" s="566"/>
      <c r="P56" s="576"/>
      <c r="Q56" s="576"/>
      <c r="R56" s="576"/>
      <c r="S56" s="576"/>
      <c r="T56" s="566"/>
      <c r="U56" s="566"/>
      <c r="V56" s="566"/>
      <c r="W56" s="566"/>
      <c r="X56" s="564"/>
    </row>
    <row r="57" spans="1:24" x14ac:dyDescent="0.15">
      <c r="A57" s="243" t="str">
        <f t="shared" si="5"/>
        <v/>
      </c>
      <c r="B57" s="247" t="str">
        <f t="shared" si="6"/>
        <v/>
      </c>
      <c r="C57" s="245" t="str">
        <f t="shared" si="7"/>
        <v/>
      </c>
      <c r="D57" s="246" t="str">
        <f t="shared" si="8"/>
        <v/>
      </c>
      <c r="E57" s="566"/>
      <c r="F57" s="566"/>
      <c r="G57" s="566"/>
      <c r="H57" s="566">
        <v>53</v>
      </c>
      <c r="I57" s="566" t="str">
        <f>_xlfn.XLOOKUP(H57,Order!Q$12:Q$859,Order!C$12:C$859,"")</f>
        <v/>
      </c>
      <c r="J57" s="566" t="str">
        <f>_xlfn.XLOOKUP(H57,Order!Q$12:Q$859,Order!S$12:S$859,"")</f>
        <v/>
      </c>
      <c r="K57" s="566" t="str">
        <f>_xlfn.XLOOKUP(H57,Order!Q$12:Q$859,Order!P$12:P$859,"")</f>
        <v/>
      </c>
      <c r="L57" s="566" t="str">
        <f>_xlfn.XLOOKUP(H57,Order!Q$12:Q$859,Order!B$12:B$859,"")</f>
        <v/>
      </c>
      <c r="M57" s="566"/>
      <c r="N57" s="566"/>
      <c r="O57" s="566"/>
      <c r="P57" s="576"/>
      <c r="Q57" s="576"/>
      <c r="R57" s="576"/>
      <c r="S57" s="576"/>
      <c r="T57" s="566"/>
      <c r="U57" s="566"/>
      <c r="V57" s="566"/>
      <c r="W57" s="566"/>
      <c r="X57" s="564"/>
    </row>
    <row r="58" spans="1:24" x14ac:dyDescent="0.15">
      <c r="A58" s="243" t="str">
        <f t="shared" si="5"/>
        <v/>
      </c>
      <c r="B58" s="247" t="str">
        <f t="shared" si="6"/>
        <v/>
      </c>
      <c r="C58" s="245" t="str">
        <f t="shared" si="7"/>
        <v/>
      </c>
      <c r="D58" s="246" t="str">
        <f t="shared" si="8"/>
        <v/>
      </c>
      <c r="E58" s="566"/>
      <c r="F58" s="566"/>
      <c r="G58" s="566"/>
      <c r="H58" s="566">
        <v>54</v>
      </c>
      <c r="I58" s="566" t="str">
        <f>_xlfn.XLOOKUP(H58,Order!Q$12:Q$859,Order!C$12:C$859,"")</f>
        <v/>
      </c>
      <c r="J58" s="566" t="str">
        <f>_xlfn.XLOOKUP(H58,Order!Q$12:Q$859,Order!S$12:S$859,"")</f>
        <v/>
      </c>
      <c r="K58" s="566" t="str">
        <f>_xlfn.XLOOKUP(H58,Order!Q$12:Q$859,Order!P$12:P$859,"")</f>
        <v/>
      </c>
      <c r="L58" s="566" t="str">
        <f>_xlfn.XLOOKUP(H58,Order!Q$12:Q$859,Order!B$12:B$859,"")</f>
        <v/>
      </c>
      <c r="M58" s="566"/>
      <c r="N58" s="566"/>
      <c r="O58" s="566"/>
      <c r="P58" s="576"/>
      <c r="Q58" s="576"/>
      <c r="R58" s="576"/>
      <c r="S58" s="576"/>
      <c r="T58" s="566"/>
      <c r="U58" s="566"/>
      <c r="V58" s="566"/>
      <c r="W58" s="566"/>
      <c r="X58" s="564"/>
    </row>
    <row r="59" spans="1:24" x14ac:dyDescent="0.15">
      <c r="A59" s="243" t="str">
        <f t="shared" si="5"/>
        <v/>
      </c>
      <c r="B59" s="247" t="str">
        <f t="shared" si="6"/>
        <v/>
      </c>
      <c r="C59" s="245" t="str">
        <f t="shared" si="7"/>
        <v/>
      </c>
      <c r="D59" s="246" t="str">
        <f t="shared" si="8"/>
        <v/>
      </c>
      <c r="E59" s="566"/>
      <c r="F59" s="566"/>
      <c r="G59" s="566"/>
      <c r="H59" s="566">
        <v>55</v>
      </c>
      <c r="I59" s="566" t="str">
        <f>_xlfn.XLOOKUP(H59,Order!Q$12:Q$859,Order!C$12:C$859,"")</f>
        <v/>
      </c>
      <c r="J59" s="566" t="str">
        <f>_xlfn.XLOOKUP(H59,Order!Q$12:Q$859,Order!S$12:S$859,"")</f>
        <v/>
      </c>
      <c r="K59" s="566" t="str">
        <f>_xlfn.XLOOKUP(H59,Order!Q$12:Q$859,Order!P$12:P$859,"")</f>
        <v/>
      </c>
      <c r="L59" s="566" t="str">
        <f>_xlfn.XLOOKUP(H59,Order!Q$12:Q$859,Order!B$12:B$859,"")</f>
        <v/>
      </c>
      <c r="M59" s="566"/>
      <c r="N59" s="566"/>
      <c r="O59" s="566"/>
      <c r="P59" s="576"/>
      <c r="Q59" s="576"/>
      <c r="R59" s="576"/>
      <c r="S59" s="576"/>
      <c r="T59" s="566"/>
      <c r="U59" s="566"/>
      <c r="V59" s="566"/>
      <c r="W59" s="566"/>
      <c r="X59" s="564"/>
    </row>
    <row r="60" spans="1:24" x14ac:dyDescent="0.15">
      <c r="A60" s="243" t="str">
        <f t="shared" si="5"/>
        <v/>
      </c>
      <c r="B60" s="247" t="str">
        <f t="shared" si="6"/>
        <v/>
      </c>
      <c r="C60" s="245" t="str">
        <f t="shared" si="7"/>
        <v/>
      </c>
      <c r="D60" s="246" t="str">
        <f t="shared" si="8"/>
        <v/>
      </c>
      <c r="E60" s="566"/>
      <c r="F60" s="566"/>
      <c r="G60" s="566"/>
      <c r="H60" s="566">
        <v>56</v>
      </c>
      <c r="I60" s="566" t="str">
        <f>_xlfn.XLOOKUP(H60,Order!Q$12:Q$859,Order!C$12:C$859,"")</f>
        <v/>
      </c>
      <c r="J60" s="566" t="str">
        <f>_xlfn.XLOOKUP(H60,Order!Q$12:Q$859,Order!S$12:S$859,"")</f>
        <v/>
      </c>
      <c r="K60" s="566" t="str">
        <f>_xlfn.XLOOKUP(H60,Order!Q$12:Q$859,Order!P$12:P$859,"")</f>
        <v/>
      </c>
      <c r="L60" s="566" t="str">
        <f>_xlfn.XLOOKUP(H60,Order!Q$12:Q$859,Order!B$12:B$859,"")</f>
        <v/>
      </c>
      <c r="M60" s="566"/>
      <c r="N60" s="566"/>
      <c r="O60" s="566"/>
      <c r="P60" s="576"/>
      <c r="Q60" s="576"/>
      <c r="R60" s="576"/>
      <c r="S60" s="576"/>
      <c r="T60" s="566"/>
      <c r="U60" s="566"/>
      <c r="V60" s="566"/>
      <c r="W60" s="566"/>
      <c r="X60" s="564"/>
    </row>
    <row r="61" spans="1:24" x14ac:dyDescent="0.15">
      <c r="A61" s="243" t="str">
        <f t="shared" si="5"/>
        <v/>
      </c>
      <c r="B61" s="247" t="str">
        <f t="shared" si="6"/>
        <v/>
      </c>
      <c r="C61" s="245" t="str">
        <f t="shared" si="7"/>
        <v/>
      </c>
      <c r="D61" s="246" t="str">
        <f t="shared" si="8"/>
        <v/>
      </c>
      <c r="E61" s="566"/>
      <c r="F61" s="566"/>
      <c r="G61" s="566"/>
      <c r="H61" s="566">
        <v>57</v>
      </c>
      <c r="I61" s="566" t="str">
        <f>_xlfn.XLOOKUP(H61,Order!Q$12:Q$859,Order!C$12:C$859,"")</f>
        <v/>
      </c>
      <c r="J61" s="566" t="str">
        <f>_xlfn.XLOOKUP(H61,Order!Q$12:Q$859,Order!S$12:S$859,"")</f>
        <v/>
      </c>
      <c r="K61" s="566" t="str">
        <f>_xlfn.XLOOKUP(H61,Order!Q$12:Q$859,Order!P$12:P$859,"")</f>
        <v/>
      </c>
      <c r="L61" s="566" t="str">
        <f>_xlfn.XLOOKUP(H61,Order!Q$12:Q$859,Order!B$12:B$859,"")</f>
        <v/>
      </c>
      <c r="M61" s="566"/>
      <c r="N61" s="566"/>
      <c r="O61" s="566"/>
      <c r="P61" s="576"/>
      <c r="Q61" s="576"/>
      <c r="R61" s="576"/>
      <c r="S61" s="576"/>
      <c r="T61" s="566"/>
      <c r="U61" s="566"/>
      <c r="V61" s="566"/>
      <c r="W61" s="566"/>
      <c r="X61" s="564"/>
    </row>
    <row r="62" spans="1:24" x14ac:dyDescent="0.15">
      <c r="A62" s="243" t="str">
        <f t="shared" si="5"/>
        <v/>
      </c>
      <c r="B62" s="247" t="str">
        <f t="shared" si="6"/>
        <v/>
      </c>
      <c r="C62" s="245" t="str">
        <f t="shared" si="7"/>
        <v/>
      </c>
      <c r="D62" s="246" t="str">
        <f t="shared" si="8"/>
        <v/>
      </c>
      <c r="E62" s="566"/>
      <c r="F62" s="566"/>
      <c r="G62" s="566"/>
      <c r="H62" s="566">
        <v>58</v>
      </c>
      <c r="I62" s="566" t="str">
        <f>_xlfn.XLOOKUP(H62,Order!Q$12:Q$859,Order!C$12:C$859,"")</f>
        <v/>
      </c>
      <c r="J62" s="566" t="str">
        <f>_xlfn.XLOOKUP(H62,Order!Q$12:Q$859,Order!S$12:S$859,"")</f>
        <v/>
      </c>
      <c r="K62" s="566" t="str">
        <f>_xlfn.XLOOKUP(H62,Order!Q$12:Q$859,Order!P$12:P$859,"")</f>
        <v/>
      </c>
      <c r="L62" s="566" t="str">
        <f>_xlfn.XLOOKUP(H62,Order!Q$12:Q$859,Order!B$12:B$859,"")</f>
        <v/>
      </c>
      <c r="M62" s="566"/>
      <c r="N62" s="566"/>
      <c r="O62" s="566"/>
      <c r="P62" s="576"/>
      <c r="Q62" s="576"/>
      <c r="R62" s="576"/>
      <c r="S62" s="576"/>
      <c r="T62" s="566"/>
      <c r="U62" s="566"/>
      <c r="V62" s="566"/>
      <c r="W62" s="566"/>
      <c r="X62" s="564"/>
    </row>
    <row r="63" spans="1:24" x14ac:dyDescent="0.15">
      <c r="A63" s="243" t="str">
        <f t="shared" si="5"/>
        <v/>
      </c>
      <c r="B63" s="247" t="str">
        <f t="shared" si="6"/>
        <v/>
      </c>
      <c r="C63" s="245" t="str">
        <f t="shared" si="7"/>
        <v/>
      </c>
      <c r="D63" s="246" t="str">
        <f t="shared" si="8"/>
        <v/>
      </c>
      <c r="E63" s="566"/>
      <c r="F63" s="566"/>
      <c r="G63" s="566"/>
      <c r="H63" s="566">
        <v>59</v>
      </c>
      <c r="I63" s="566" t="str">
        <f>_xlfn.XLOOKUP(H63,Order!Q$12:Q$859,Order!C$12:C$859,"")</f>
        <v/>
      </c>
      <c r="J63" s="566" t="str">
        <f>_xlfn.XLOOKUP(H63,Order!Q$12:Q$859,Order!S$12:S$859,"")</f>
        <v/>
      </c>
      <c r="K63" s="566" t="str">
        <f>_xlfn.XLOOKUP(H63,Order!Q$12:Q$859,Order!P$12:P$859,"")</f>
        <v/>
      </c>
      <c r="L63" s="566" t="str">
        <f>_xlfn.XLOOKUP(H63,Order!Q$12:Q$859,Order!B$12:B$859,"")</f>
        <v/>
      </c>
      <c r="M63" s="566"/>
      <c r="N63" s="566"/>
      <c r="O63" s="566"/>
      <c r="P63" s="576"/>
      <c r="Q63" s="576"/>
      <c r="R63" s="576"/>
      <c r="S63" s="576"/>
      <c r="T63" s="566"/>
      <c r="U63" s="566"/>
      <c r="V63" s="566"/>
      <c r="W63" s="566"/>
      <c r="X63" s="564"/>
    </row>
    <row r="64" spans="1:24" x14ac:dyDescent="0.15">
      <c r="A64" s="243" t="str">
        <f t="shared" si="5"/>
        <v/>
      </c>
      <c r="B64" s="247" t="str">
        <f t="shared" si="6"/>
        <v/>
      </c>
      <c r="C64" s="245" t="str">
        <f t="shared" si="7"/>
        <v/>
      </c>
      <c r="D64" s="246" t="str">
        <f t="shared" si="8"/>
        <v/>
      </c>
      <c r="E64" s="566"/>
      <c r="F64" s="566"/>
      <c r="G64" s="566"/>
      <c r="H64" s="566">
        <v>60</v>
      </c>
      <c r="I64" s="566" t="str">
        <f>_xlfn.XLOOKUP(H64,Order!Q$12:Q$859,Order!C$12:C$859,"")</f>
        <v/>
      </c>
      <c r="J64" s="566" t="str">
        <f>_xlfn.XLOOKUP(H64,Order!Q$12:Q$859,Order!S$12:S$859,"")</f>
        <v/>
      </c>
      <c r="K64" s="566" t="str">
        <f>_xlfn.XLOOKUP(H64,Order!Q$12:Q$859,Order!P$12:P$859,"")</f>
        <v/>
      </c>
      <c r="L64" s="566" t="str">
        <f>_xlfn.XLOOKUP(H64,Order!Q$12:Q$859,Order!B$12:B$859,"")</f>
        <v/>
      </c>
      <c r="M64" s="566"/>
      <c r="N64" s="566"/>
      <c r="O64" s="566"/>
      <c r="P64" s="576"/>
      <c r="Q64" s="576"/>
      <c r="R64" s="576"/>
      <c r="S64" s="576"/>
      <c r="T64" s="566"/>
      <c r="U64" s="566"/>
      <c r="V64" s="566"/>
      <c r="W64" s="566"/>
      <c r="X64" s="564"/>
    </row>
    <row r="65" spans="1:24" x14ac:dyDescent="0.15">
      <c r="A65" s="243" t="str">
        <f t="shared" si="5"/>
        <v/>
      </c>
      <c r="B65" s="247" t="str">
        <f t="shared" si="6"/>
        <v/>
      </c>
      <c r="C65" s="245" t="str">
        <f t="shared" si="7"/>
        <v/>
      </c>
      <c r="D65" s="246" t="str">
        <f t="shared" si="8"/>
        <v/>
      </c>
      <c r="E65" s="566"/>
      <c r="F65" s="566"/>
      <c r="G65" s="566"/>
      <c r="H65" s="566">
        <v>61</v>
      </c>
      <c r="I65" s="566" t="str">
        <f>_xlfn.XLOOKUP(H65,Order!Q$12:Q$859,Order!C$12:C$859,"")</f>
        <v/>
      </c>
      <c r="J65" s="566" t="str">
        <f>_xlfn.XLOOKUP(H65,Order!Q$12:Q$859,Order!S$12:S$859,"")</f>
        <v/>
      </c>
      <c r="K65" s="566" t="str">
        <f>_xlfn.XLOOKUP(H65,Order!Q$12:Q$859,Order!P$12:P$859,"")</f>
        <v/>
      </c>
      <c r="L65" s="566" t="str">
        <f>_xlfn.XLOOKUP(H65,Order!Q$12:Q$859,Order!B$12:B$859,"")</f>
        <v/>
      </c>
      <c r="M65" s="566"/>
      <c r="N65" s="566"/>
      <c r="O65" s="566"/>
      <c r="P65" s="576"/>
      <c r="Q65" s="576"/>
      <c r="R65" s="576"/>
      <c r="S65" s="576"/>
      <c r="T65" s="566"/>
      <c r="U65" s="566"/>
      <c r="V65" s="566"/>
      <c r="W65" s="566"/>
      <c r="X65" s="564"/>
    </row>
    <row r="66" spans="1:24" x14ac:dyDescent="0.15">
      <c r="A66" s="243" t="str">
        <f t="shared" si="5"/>
        <v/>
      </c>
      <c r="B66" s="247" t="str">
        <f t="shared" si="6"/>
        <v/>
      </c>
      <c r="C66" s="245" t="str">
        <f t="shared" si="7"/>
        <v/>
      </c>
      <c r="D66" s="246" t="str">
        <f t="shared" si="8"/>
        <v/>
      </c>
      <c r="E66" s="566"/>
      <c r="F66" s="566"/>
      <c r="G66" s="566"/>
      <c r="H66" s="566">
        <v>62</v>
      </c>
      <c r="I66" s="566" t="str">
        <f>_xlfn.XLOOKUP(H66,Order!Q$12:Q$859,Order!C$12:C$859,"")</f>
        <v/>
      </c>
      <c r="J66" s="566" t="str">
        <f>_xlfn.XLOOKUP(H66,Order!Q$12:Q$859,Order!S$12:S$859,"")</f>
        <v/>
      </c>
      <c r="K66" s="566" t="str">
        <f>_xlfn.XLOOKUP(H66,Order!Q$12:Q$859,Order!P$12:P$859,"")</f>
        <v/>
      </c>
      <c r="L66" s="566" t="str">
        <f>_xlfn.XLOOKUP(H66,Order!Q$12:Q$859,Order!B$12:B$859,"")</f>
        <v/>
      </c>
      <c r="M66" s="566"/>
      <c r="N66" s="566"/>
      <c r="O66" s="566"/>
      <c r="P66" s="576"/>
      <c r="Q66" s="576"/>
      <c r="R66" s="576"/>
      <c r="S66" s="566"/>
      <c r="T66" s="566"/>
      <c r="U66" s="566"/>
      <c r="V66" s="566"/>
      <c r="W66" s="566"/>
      <c r="X66" s="564"/>
    </row>
    <row r="67" spans="1:24" x14ac:dyDescent="0.15">
      <c r="A67" s="243" t="str">
        <f t="shared" si="5"/>
        <v/>
      </c>
      <c r="B67" s="247" t="str">
        <f t="shared" si="6"/>
        <v/>
      </c>
      <c r="C67" s="245" t="str">
        <f t="shared" si="7"/>
        <v/>
      </c>
      <c r="D67" s="246" t="str">
        <f t="shared" si="8"/>
        <v/>
      </c>
      <c r="E67" s="566"/>
      <c r="F67" s="566"/>
      <c r="G67" s="566"/>
      <c r="H67" s="566">
        <v>63</v>
      </c>
      <c r="I67" s="566" t="str">
        <f>_xlfn.XLOOKUP(H67,Order!Q$12:Q$859,Order!C$12:C$859,"")</f>
        <v/>
      </c>
      <c r="J67" s="566" t="str">
        <f>_xlfn.XLOOKUP(H67,Order!Q$12:Q$859,Order!S$12:S$859,"")</f>
        <v/>
      </c>
      <c r="K67" s="566" t="str">
        <f>_xlfn.XLOOKUP(H67,Order!Q$12:Q$859,Order!P$12:P$859,"")</f>
        <v/>
      </c>
      <c r="L67" s="566" t="str">
        <f>_xlfn.XLOOKUP(H67,Order!Q$12:Q$859,Order!B$12:B$859,"")</f>
        <v/>
      </c>
      <c r="M67" s="566"/>
      <c r="N67" s="566"/>
      <c r="O67" s="566"/>
      <c r="P67" s="576"/>
      <c r="Q67" s="576"/>
      <c r="R67" s="576"/>
      <c r="S67" s="566"/>
      <c r="T67" s="566"/>
      <c r="U67" s="566"/>
      <c r="V67" s="566"/>
      <c r="W67" s="566"/>
      <c r="X67" s="564"/>
    </row>
    <row r="68" spans="1:24" x14ac:dyDescent="0.15">
      <c r="A68" s="243" t="str">
        <f t="shared" si="5"/>
        <v/>
      </c>
      <c r="B68" s="247" t="str">
        <f t="shared" si="6"/>
        <v/>
      </c>
      <c r="C68" s="245" t="str">
        <f t="shared" si="7"/>
        <v/>
      </c>
      <c r="D68" s="246" t="str">
        <f t="shared" si="8"/>
        <v/>
      </c>
      <c r="E68" s="566"/>
      <c r="F68" s="566"/>
      <c r="G68" s="566"/>
      <c r="H68" s="566">
        <v>64</v>
      </c>
      <c r="I68" s="566" t="str">
        <f>_xlfn.XLOOKUP(H68,Order!Q$12:Q$859,Order!C$12:C$859,"")</f>
        <v/>
      </c>
      <c r="J68" s="566" t="str">
        <f>_xlfn.XLOOKUP(H68,Order!Q$12:Q$859,Order!S$12:S$859,"")</f>
        <v/>
      </c>
      <c r="K68" s="566" t="str">
        <f>_xlfn.XLOOKUP(H68,Order!Q$12:Q$859,Order!P$12:P$859,"")</f>
        <v/>
      </c>
      <c r="L68" s="566" t="str">
        <f>_xlfn.XLOOKUP(H68,Order!Q$12:Q$859,Order!B$12:B$859,"")</f>
        <v/>
      </c>
      <c r="M68" s="566"/>
      <c r="N68" s="566"/>
      <c r="O68" s="566"/>
      <c r="P68" s="576"/>
      <c r="Q68" s="576"/>
      <c r="R68" s="576"/>
      <c r="S68" s="566"/>
      <c r="T68" s="566"/>
      <c r="U68" s="566"/>
      <c r="V68" s="566"/>
      <c r="W68" s="566"/>
      <c r="X68" s="564"/>
    </row>
    <row r="69" spans="1:24" x14ac:dyDescent="0.15">
      <c r="A69" s="243" t="str">
        <f t="shared" si="5"/>
        <v/>
      </c>
      <c r="B69" s="247" t="str">
        <f t="shared" si="6"/>
        <v/>
      </c>
      <c r="C69" s="245" t="str">
        <f t="shared" si="7"/>
        <v/>
      </c>
      <c r="D69" s="246" t="str">
        <f t="shared" si="8"/>
        <v/>
      </c>
      <c r="E69" s="566"/>
      <c r="F69" s="566"/>
      <c r="G69" s="566"/>
      <c r="H69" s="566">
        <v>65</v>
      </c>
      <c r="I69" s="566" t="str">
        <f>_xlfn.XLOOKUP(H69,Order!Q$12:Q$859,Order!C$12:C$859,"")</f>
        <v/>
      </c>
      <c r="J69" s="566" t="str">
        <f>_xlfn.XLOOKUP(H69,Order!Q$12:Q$859,Order!S$12:S$859,"")</f>
        <v/>
      </c>
      <c r="K69" s="566" t="str">
        <f>_xlfn.XLOOKUP(H69,Order!Q$12:Q$859,Order!P$12:P$859,"")</f>
        <v/>
      </c>
      <c r="L69" s="566" t="str">
        <f>_xlfn.XLOOKUP(H69,Order!Q$12:Q$859,Order!B$12:B$859,"")</f>
        <v/>
      </c>
      <c r="M69" s="566"/>
      <c r="N69" s="566"/>
      <c r="O69" s="566"/>
      <c r="P69" s="566"/>
      <c r="Q69" s="566"/>
      <c r="R69" s="566"/>
      <c r="S69" s="566"/>
      <c r="T69" s="566"/>
      <c r="U69" s="566"/>
      <c r="V69" s="566"/>
      <c r="W69" s="566"/>
      <c r="X69" s="564"/>
    </row>
    <row r="70" spans="1:24" x14ac:dyDescent="0.15">
      <c r="A70" s="243" t="str">
        <f t="shared" ref="A70:A101" si="9">IF(K70=0,"",IF(K70=K69,"",K70))</f>
        <v/>
      </c>
      <c r="B70" s="247" t="str">
        <f t="shared" ref="B70:B101" si="10">IF(I70=I69,"",I70)</f>
        <v/>
      </c>
      <c r="C70" s="245" t="str">
        <f t="shared" ref="C70:C101" si="11">IF(I70=I69,"",J70)</f>
        <v/>
      </c>
      <c r="D70" s="246" t="str">
        <f t="shared" ref="D70:D101" si="12">IF(I70=I69,"",L70)</f>
        <v/>
      </c>
      <c r="E70" s="566"/>
      <c r="F70" s="566"/>
      <c r="G70" s="566"/>
      <c r="H70" s="566">
        <v>66</v>
      </c>
      <c r="I70" s="566" t="str">
        <f>_xlfn.XLOOKUP(H70,Order!Q$12:Q$859,Order!C$12:C$859,"")</f>
        <v/>
      </c>
      <c r="J70" s="566" t="str">
        <f>_xlfn.XLOOKUP(H70,Order!Q$12:Q$859,Order!S$12:S$859,"")</f>
        <v/>
      </c>
      <c r="K70" s="566" t="str">
        <f>_xlfn.XLOOKUP(H70,Order!Q$12:Q$859,Order!P$12:P$859,"")</f>
        <v/>
      </c>
      <c r="L70" s="566" t="str">
        <f>_xlfn.XLOOKUP(H70,Order!Q$12:Q$859,Order!B$12:B$859,"")</f>
        <v/>
      </c>
      <c r="M70" s="566"/>
      <c r="N70" s="566"/>
      <c r="O70" s="566"/>
      <c r="P70" s="566"/>
      <c r="Q70" s="566"/>
      <c r="R70" s="566"/>
      <c r="S70" s="566"/>
      <c r="T70" s="566"/>
      <c r="U70" s="566"/>
      <c r="V70" s="566"/>
      <c r="W70" s="566"/>
      <c r="X70" s="564"/>
    </row>
    <row r="71" spans="1:24" x14ac:dyDescent="0.15">
      <c r="A71" s="243" t="str">
        <f t="shared" si="9"/>
        <v/>
      </c>
      <c r="B71" s="247" t="str">
        <f t="shared" si="10"/>
        <v/>
      </c>
      <c r="C71" s="245" t="str">
        <f t="shared" si="11"/>
        <v/>
      </c>
      <c r="D71" s="246" t="str">
        <f t="shared" si="12"/>
        <v/>
      </c>
      <c r="E71" s="566"/>
      <c r="F71" s="566"/>
      <c r="G71" s="566"/>
      <c r="H71" s="566">
        <v>67</v>
      </c>
      <c r="I71" s="566" t="str">
        <f>_xlfn.XLOOKUP(H71,Order!Q$12:Q$859,Order!C$12:C$859,"")</f>
        <v/>
      </c>
      <c r="J71" s="566" t="str">
        <f>_xlfn.XLOOKUP(H71,Order!Q$12:Q$859,Order!S$12:S$859,"")</f>
        <v/>
      </c>
      <c r="K71" s="566" t="str">
        <f>_xlfn.XLOOKUP(H71,Order!Q$12:Q$859,Order!P$12:P$859,"")</f>
        <v/>
      </c>
      <c r="L71" s="566" t="str">
        <f>_xlfn.XLOOKUP(H71,Order!Q$12:Q$859,Order!B$12:B$859,"")</f>
        <v/>
      </c>
      <c r="M71" s="566"/>
      <c r="N71" s="566"/>
      <c r="O71" s="566"/>
      <c r="P71" s="566"/>
      <c r="Q71" s="566"/>
      <c r="R71" s="566"/>
      <c r="S71" s="566"/>
      <c r="T71" s="566"/>
      <c r="U71" s="566"/>
      <c r="V71" s="566"/>
      <c r="W71" s="566"/>
      <c r="X71" s="564"/>
    </row>
    <row r="72" spans="1:24" x14ac:dyDescent="0.15">
      <c r="A72" s="243" t="str">
        <f t="shared" si="9"/>
        <v/>
      </c>
      <c r="B72" s="247" t="str">
        <f t="shared" si="10"/>
        <v/>
      </c>
      <c r="C72" s="245" t="str">
        <f t="shared" si="11"/>
        <v/>
      </c>
      <c r="D72" s="246" t="str">
        <f t="shared" si="12"/>
        <v/>
      </c>
      <c r="E72" s="566"/>
      <c r="F72" s="566"/>
      <c r="G72" s="566"/>
      <c r="H72" s="566">
        <v>68</v>
      </c>
      <c r="I72" s="566" t="str">
        <f>_xlfn.XLOOKUP(H72,Order!Q$12:Q$859,Order!C$12:C$859,"")</f>
        <v/>
      </c>
      <c r="J72" s="566" t="str">
        <f>_xlfn.XLOOKUP(H72,Order!Q$12:Q$859,Order!S$12:S$859,"")</f>
        <v/>
      </c>
      <c r="K72" s="566" t="str">
        <f>_xlfn.XLOOKUP(H72,Order!Q$12:Q$859,Order!P$12:P$859,"")</f>
        <v/>
      </c>
      <c r="L72" s="566" t="str">
        <f>_xlfn.XLOOKUP(H72,Order!Q$12:Q$859,Order!B$12:B$859,"")</f>
        <v/>
      </c>
      <c r="M72" s="566"/>
      <c r="N72" s="566"/>
      <c r="O72" s="566"/>
      <c r="P72" s="566"/>
      <c r="Q72" s="566"/>
      <c r="R72" s="566"/>
      <c r="S72" s="566"/>
      <c r="T72" s="566"/>
      <c r="U72" s="566"/>
      <c r="V72" s="566"/>
      <c r="W72" s="566"/>
      <c r="X72" s="564"/>
    </row>
    <row r="73" spans="1:24" x14ac:dyDescent="0.15">
      <c r="A73" s="243" t="str">
        <f t="shared" si="9"/>
        <v/>
      </c>
      <c r="B73" s="247" t="str">
        <f t="shared" si="10"/>
        <v/>
      </c>
      <c r="C73" s="245" t="str">
        <f t="shared" si="11"/>
        <v/>
      </c>
      <c r="D73" s="246" t="str">
        <f t="shared" si="12"/>
        <v/>
      </c>
      <c r="E73" s="566"/>
      <c r="F73" s="566"/>
      <c r="G73" s="566"/>
      <c r="H73" s="566">
        <v>69</v>
      </c>
      <c r="I73" s="566" t="str">
        <f>_xlfn.XLOOKUP(H73,Order!Q$12:Q$859,Order!C$12:C$859,"")</f>
        <v/>
      </c>
      <c r="J73" s="566" t="str">
        <f>_xlfn.XLOOKUP(H73,Order!Q$12:Q$859,Order!S$12:S$859,"")</f>
        <v/>
      </c>
      <c r="K73" s="566" t="str">
        <f>_xlfn.XLOOKUP(H73,Order!Q$12:Q$859,Order!P$12:P$859,"")</f>
        <v/>
      </c>
      <c r="L73" s="566" t="str">
        <f>_xlfn.XLOOKUP(H73,Order!Q$12:Q$859,Order!B$12:B$859,"")</f>
        <v/>
      </c>
      <c r="M73" s="566"/>
      <c r="N73" s="566"/>
      <c r="O73" s="566"/>
      <c r="P73" s="566"/>
      <c r="Q73" s="566"/>
      <c r="R73" s="566"/>
      <c r="S73" s="566"/>
      <c r="T73" s="566"/>
      <c r="U73" s="566"/>
      <c r="V73" s="566"/>
      <c r="W73" s="566"/>
      <c r="X73" s="564"/>
    </row>
    <row r="74" spans="1:24" x14ac:dyDescent="0.15">
      <c r="A74" s="243" t="str">
        <f t="shared" si="9"/>
        <v/>
      </c>
      <c r="B74" s="247" t="str">
        <f t="shared" si="10"/>
        <v/>
      </c>
      <c r="C74" s="245" t="str">
        <f t="shared" si="11"/>
        <v/>
      </c>
      <c r="D74" s="246" t="str">
        <f t="shared" si="12"/>
        <v/>
      </c>
      <c r="E74" s="566"/>
      <c r="F74" s="566"/>
      <c r="G74" s="566"/>
      <c r="H74" s="566">
        <v>70</v>
      </c>
      <c r="I74" s="566" t="str">
        <f>_xlfn.XLOOKUP(H74,Order!Q$12:Q$859,Order!C$12:C$859,"")</f>
        <v/>
      </c>
      <c r="J74" s="566" t="str">
        <f>_xlfn.XLOOKUP(H74,Order!Q$12:Q$859,Order!S$12:S$859,"")</f>
        <v/>
      </c>
      <c r="K74" s="566" t="str">
        <f>_xlfn.XLOOKUP(H74,Order!Q$12:Q$859,Order!P$12:P$859,"")</f>
        <v/>
      </c>
      <c r="L74" s="566" t="str">
        <f>_xlfn.XLOOKUP(H74,Order!Q$12:Q$859,Order!B$12:B$859,"")</f>
        <v/>
      </c>
      <c r="M74" s="566"/>
      <c r="N74" s="566"/>
      <c r="O74" s="566"/>
      <c r="P74" s="566"/>
      <c r="Q74" s="566"/>
      <c r="R74" s="566"/>
      <c r="S74" s="566"/>
      <c r="T74" s="566"/>
      <c r="U74" s="566"/>
      <c r="V74" s="566"/>
      <c r="W74" s="566"/>
      <c r="X74" s="564"/>
    </row>
    <row r="75" spans="1:24" x14ac:dyDescent="0.15">
      <c r="A75" s="243" t="str">
        <f t="shared" si="9"/>
        <v/>
      </c>
      <c r="B75" s="247" t="str">
        <f t="shared" si="10"/>
        <v/>
      </c>
      <c r="C75" s="245" t="str">
        <f t="shared" si="11"/>
        <v/>
      </c>
      <c r="D75" s="246" t="str">
        <f t="shared" si="12"/>
        <v/>
      </c>
      <c r="E75" s="566"/>
      <c r="F75" s="566"/>
      <c r="G75" s="566"/>
      <c r="H75" s="566">
        <v>71</v>
      </c>
      <c r="I75" s="566" t="str">
        <f>_xlfn.XLOOKUP(H75,Order!Q$12:Q$859,Order!C$12:C$859,"")</f>
        <v/>
      </c>
      <c r="J75" s="566" t="str">
        <f>_xlfn.XLOOKUP(H75,Order!Q$12:Q$859,Order!S$12:S$859,"")</f>
        <v/>
      </c>
      <c r="K75" s="566" t="str">
        <f>_xlfn.XLOOKUP(H75,Order!Q$12:Q$859,Order!P$12:P$859,"")</f>
        <v/>
      </c>
      <c r="L75" s="566" t="str">
        <f>_xlfn.XLOOKUP(H75,Order!Q$12:Q$859,Order!B$12:B$859,"")</f>
        <v/>
      </c>
      <c r="M75" s="566"/>
      <c r="N75" s="566"/>
      <c r="O75" s="566"/>
      <c r="P75" s="566"/>
      <c r="Q75" s="566"/>
      <c r="R75" s="566"/>
      <c r="S75" s="566"/>
      <c r="T75" s="566"/>
      <c r="U75" s="566"/>
      <c r="V75" s="566"/>
      <c r="W75" s="566"/>
      <c r="X75" s="564"/>
    </row>
    <row r="76" spans="1:24" x14ac:dyDescent="0.15">
      <c r="A76" s="243" t="str">
        <f t="shared" si="9"/>
        <v/>
      </c>
      <c r="B76" s="247" t="str">
        <f t="shared" si="10"/>
        <v/>
      </c>
      <c r="C76" s="245" t="str">
        <f t="shared" si="11"/>
        <v/>
      </c>
      <c r="D76" s="246" t="str">
        <f t="shared" si="12"/>
        <v/>
      </c>
      <c r="E76" s="566"/>
      <c r="F76" s="566"/>
      <c r="G76" s="566"/>
      <c r="H76" s="566">
        <v>72</v>
      </c>
      <c r="I76" s="566" t="str">
        <f>_xlfn.XLOOKUP(H76,Order!Q$12:Q$859,Order!C$12:C$859,"")</f>
        <v/>
      </c>
      <c r="J76" s="566" t="str">
        <f>_xlfn.XLOOKUP(H76,Order!Q$12:Q$859,Order!S$12:S$859,"")</f>
        <v/>
      </c>
      <c r="K76" s="566" t="str">
        <f>_xlfn.XLOOKUP(H76,Order!Q$12:Q$859,Order!P$12:P$859,"")</f>
        <v/>
      </c>
      <c r="L76" s="566" t="str">
        <f>_xlfn.XLOOKUP(H76,Order!Q$12:Q$859,Order!B$12:B$859,"")</f>
        <v/>
      </c>
      <c r="M76" s="566"/>
      <c r="N76" s="566"/>
      <c r="O76" s="566"/>
      <c r="P76" s="566"/>
      <c r="Q76" s="566"/>
      <c r="R76" s="566"/>
      <c r="S76" s="566"/>
      <c r="T76" s="566"/>
      <c r="U76" s="566"/>
      <c r="V76" s="566"/>
      <c r="W76" s="566"/>
      <c r="X76" s="564"/>
    </row>
    <row r="77" spans="1:24" x14ac:dyDescent="0.15">
      <c r="A77" s="243" t="str">
        <f t="shared" si="9"/>
        <v/>
      </c>
      <c r="B77" s="247" t="str">
        <f t="shared" si="10"/>
        <v/>
      </c>
      <c r="C77" s="245" t="str">
        <f t="shared" si="11"/>
        <v/>
      </c>
      <c r="D77" s="246" t="str">
        <f t="shared" si="12"/>
        <v/>
      </c>
      <c r="E77" s="566"/>
      <c r="F77" s="566"/>
      <c r="G77" s="566"/>
      <c r="H77" s="566">
        <v>73</v>
      </c>
      <c r="I77" s="566" t="str">
        <f>_xlfn.XLOOKUP(H77,Order!Q$12:Q$859,Order!C$12:C$859,"")</f>
        <v/>
      </c>
      <c r="J77" s="566" t="str">
        <f>_xlfn.XLOOKUP(H77,Order!Q$12:Q$859,Order!S$12:S$859,"")</f>
        <v/>
      </c>
      <c r="K77" s="566" t="str">
        <f>_xlfn.XLOOKUP(H77,Order!Q$12:Q$859,Order!P$12:P$859,"")</f>
        <v/>
      </c>
      <c r="L77" s="566" t="str">
        <f>_xlfn.XLOOKUP(H77,Order!Q$12:Q$859,Order!B$12:B$859,"")</f>
        <v/>
      </c>
      <c r="M77" s="566"/>
      <c r="N77" s="566"/>
      <c r="O77" s="566"/>
      <c r="P77" s="566"/>
      <c r="Q77" s="566"/>
      <c r="R77" s="566"/>
      <c r="S77" s="566"/>
      <c r="T77" s="566"/>
      <c r="U77" s="566"/>
      <c r="V77" s="566"/>
      <c r="W77" s="566"/>
      <c r="X77" s="564"/>
    </row>
    <row r="78" spans="1:24" x14ac:dyDescent="0.15">
      <c r="A78" s="243" t="str">
        <f t="shared" si="9"/>
        <v/>
      </c>
      <c r="B78" s="247" t="str">
        <f t="shared" si="10"/>
        <v/>
      </c>
      <c r="C78" s="245" t="str">
        <f t="shared" si="11"/>
        <v/>
      </c>
      <c r="D78" s="246" t="str">
        <f t="shared" si="12"/>
        <v/>
      </c>
      <c r="E78" s="566"/>
      <c r="F78" s="566"/>
      <c r="G78" s="566"/>
      <c r="H78" s="566">
        <v>74</v>
      </c>
      <c r="I78" s="566" t="str">
        <f>_xlfn.XLOOKUP(H78,Order!Q$12:Q$859,Order!C$12:C$859,"")</f>
        <v/>
      </c>
      <c r="J78" s="566" t="str">
        <f>_xlfn.XLOOKUP(H78,Order!Q$12:Q$859,Order!S$12:S$859,"")</f>
        <v/>
      </c>
      <c r="K78" s="566" t="str">
        <f>_xlfn.XLOOKUP(H78,Order!Q$12:Q$859,Order!P$12:P$859,"")</f>
        <v/>
      </c>
      <c r="L78" s="566" t="str">
        <f>_xlfn.XLOOKUP(H78,Order!Q$12:Q$859,Order!B$12:B$859,"")</f>
        <v/>
      </c>
      <c r="M78" s="566"/>
      <c r="N78" s="566"/>
      <c r="O78" s="566"/>
      <c r="P78" s="566"/>
      <c r="Q78" s="566"/>
      <c r="R78" s="566"/>
      <c r="S78" s="566"/>
      <c r="T78" s="566"/>
      <c r="U78" s="566"/>
      <c r="V78" s="566"/>
      <c r="W78" s="566"/>
      <c r="X78" s="564"/>
    </row>
    <row r="79" spans="1:24" x14ac:dyDescent="0.15">
      <c r="A79" s="243" t="str">
        <f t="shared" si="9"/>
        <v/>
      </c>
      <c r="B79" s="247" t="str">
        <f t="shared" si="10"/>
        <v/>
      </c>
      <c r="C79" s="245" t="str">
        <f t="shared" si="11"/>
        <v/>
      </c>
      <c r="D79" s="246" t="str">
        <f t="shared" si="12"/>
        <v/>
      </c>
      <c r="E79" s="566"/>
      <c r="F79" s="566"/>
      <c r="G79" s="566"/>
      <c r="H79" s="566">
        <v>75</v>
      </c>
      <c r="I79" s="566" t="str">
        <f>_xlfn.XLOOKUP(H79,Order!Q$12:Q$859,Order!C$12:C$859,"")</f>
        <v/>
      </c>
      <c r="J79" s="566" t="str">
        <f>_xlfn.XLOOKUP(H79,Order!Q$12:Q$859,Order!S$12:S$859,"")</f>
        <v/>
      </c>
      <c r="K79" s="566" t="str">
        <f>_xlfn.XLOOKUP(H79,Order!Q$12:Q$859,Order!P$12:P$859,"")</f>
        <v/>
      </c>
      <c r="L79" s="566" t="str">
        <f>_xlfn.XLOOKUP(H79,Order!Q$12:Q$859,Order!B$12:B$859,"")</f>
        <v/>
      </c>
      <c r="M79" s="566"/>
      <c r="N79" s="566"/>
      <c r="O79" s="566"/>
      <c r="P79" s="566"/>
      <c r="Q79" s="566"/>
      <c r="R79" s="566"/>
      <c r="S79" s="566"/>
      <c r="T79" s="566"/>
      <c r="U79" s="566"/>
      <c r="V79" s="566"/>
      <c r="W79" s="566"/>
      <c r="X79" s="564"/>
    </row>
    <row r="80" spans="1:24" x14ac:dyDescent="0.15">
      <c r="A80" s="243" t="str">
        <f t="shared" si="9"/>
        <v/>
      </c>
      <c r="B80" s="247" t="str">
        <f t="shared" si="10"/>
        <v/>
      </c>
      <c r="C80" s="245" t="str">
        <f t="shared" si="11"/>
        <v/>
      </c>
      <c r="D80" s="246" t="str">
        <f t="shared" si="12"/>
        <v/>
      </c>
      <c r="E80" s="566"/>
      <c r="F80" s="566"/>
      <c r="G80" s="566"/>
      <c r="H80" s="566">
        <v>76</v>
      </c>
      <c r="I80" s="566" t="str">
        <f>_xlfn.XLOOKUP(H80,Order!Q$12:Q$859,Order!C$12:C$859,"")</f>
        <v/>
      </c>
      <c r="J80" s="566" t="str">
        <f>_xlfn.XLOOKUP(H80,Order!Q$12:Q$859,Order!S$12:S$859,"")</f>
        <v/>
      </c>
      <c r="K80" s="566" t="str">
        <f>_xlfn.XLOOKUP(H80,Order!Q$12:Q$859,Order!P$12:P$859,"")</f>
        <v/>
      </c>
      <c r="L80" s="566" t="str">
        <f>_xlfn.XLOOKUP(H80,Order!Q$12:Q$859,Order!B$12:B$859,"")</f>
        <v/>
      </c>
      <c r="M80" s="566"/>
      <c r="N80" s="566"/>
      <c r="O80" s="566"/>
      <c r="P80" s="566"/>
      <c r="Q80" s="566"/>
      <c r="R80" s="566"/>
      <c r="S80" s="566"/>
      <c r="T80" s="566"/>
      <c r="U80" s="566"/>
      <c r="V80" s="566"/>
      <c r="W80" s="566"/>
      <c r="X80" s="564"/>
    </row>
    <row r="81" spans="1:24" x14ac:dyDescent="0.15">
      <c r="A81" s="243" t="str">
        <f t="shared" si="9"/>
        <v/>
      </c>
      <c r="B81" s="247" t="str">
        <f t="shared" si="10"/>
        <v/>
      </c>
      <c r="C81" s="245" t="str">
        <f t="shared" si="11"/>
        <v/>
      </c>
      <c r="D81" s="246" t="str">
        <f t="shared" si="12"/>
        <v/>
      </c>
      <c r="E81" s="566"/>
      <c r="F81" s="566"/>
      <c r="G81" s="566"/>
      <c r="H81" s="566">
        <v>77</v>
      </c>
      <c r="I81" s="566" t="str">
        <f>_xlfn.XLOOKUP(H81,Order!Q$12:Q$859,Order!C$12:C$859,"")</f>
        <v/>
      </c>
      <c r="J81" s="566" t="str">
        <f>_xlfn.XLOOKUP(H81,Order!Q$12:Q$859,Order!S$12:S$859,"")</f>
        <v/>
      </c>
      <c r="K81" s="566" t="str">
        <f>_xlfn.XLOOKUP(H81,Order!Q$12:Q$859,Order!P$12:P$859,"")</f>
        <v/>
      </c>
      <c r="L81" s="566" t="str">
        <f>_xlfn.XLOOKUP(H81,Order!Q$12:Q$859,Order!B$12:B$859,"")</f>
        <v/>
      </c>
      <c r="M81" s="566"/>
      <c r="N81" s="566"/>
      <c r="O81" s="566"/>
      <c r="P81" s="566"/>
      <c r="Q81" s="566"/>
      <c r="R81" s="566"/>
      <c r="S81" s="566"/>
      <c r="T81" s="566"/>
      <c r="U81" s="566"/>
      <c r="V81" s="566"/>
      <c r="W81" s="566"/>
      <c r="X81" s="564"/>
    </row>
    <row r="82" spans="1:24" x14ac:dyDescent="0.15">
      <c r="A82" s="243" t="str">
        <f t="shared" si="9"/>
        <v/>
      </c>
      <c r="B82" s="247" t="str">
        <f t="shared" si="10"/>
        <v/>
      </c>
      <c r="C82" s="245" t="str">
        <f t="shared" si="11"/>
        <v/>
      </c>
      <c r="D82" s="246" t="str">
        <f t="shared" si="12"/>
        <v/>
      </c>
      <c r="E82" s="566"/>
      <c r="F82" s="566"/>
      <c r="G82" s="566"/>
      <c r="H82" s="566">
        <v>78</v>
      </c>
      <c r="I82" s="566" t="str">
        <f>_xlfn.XLOOKUP(H82,Order!Q$12:Q$859,Order!C$12:C$859,"")</f>
        <v/>
      </c>
      <c r="J82" s="566" t="str">
        <f>_xlfn.XLOOKUP(H82,Order!Q$12:Q$859,Order!S$12:S$859,"")</f>
        <v/>
      </c>
      <c r="K82" s="566" t="str">
        <f>_xlfn.XLOOKUP(H82,Order!Q$12:Q$859,Order!P$12:P$859,"")</f>
        <v/>
      </c>
      <c r="L82" s="566" t="str">
        <f>_xlfn.XLOOKUP(H82,Order!Q$12:Q$859,Order!B$12:B$859,"")</f>
        <v/>
      </c>
      <c r="M82" s="566"/>
      <c r="N82" s="566"/>
      <c r="O82" s="566"/>
      <c r="P82" s="566"/>
      <c r="Q82" s="566"/>
      <c r="R82" s="566"/>
      <c r="S82" s="566"/>
      <c r="T82" s="566"/>
      <c r="U82" s="566"/>
      <c r="V82" s="566"/>
      <c r="W82" s="566"/>
      <c r="X82" s="564"/>
    </row>
    <row r="83" spans="1:24" x14ac:dyDescent="0.15">
      <c r="A83" s="243" t="str">
        <f t="shared" si="9"/>
        <v/>
      </c>
      <c r="B83" s="247" t="str">
        <f t="shared" si="10"/>
        <v/>
      </c>
      <c r="C83" s="245" t="str">
        <f t="shared" si="11"/>
        <v/>
      </c>
      <c r="D83" s="246" t="str">
        <f t="shared" si="12"/>
        <v/>
      </c>
      <c r="E83" s="566"/>
      <c r="F83" s="566"/>
      <c r="G83" s="566"/>
      <c r="H83" s="566">
        <v>79</v>
      </c>
      <c r="I83" s="566" t="str">
        <f>_xlfn.XLOOKUP(H83,Order!Q$12:Q$859,Order!C$12:C$859,"")</f>
        <v/>
      </c>
      <c r="J83" s="566" t="str">
        <f>_xlfn.XLOOKUP(H83,Order!Q$12:Q$859,Order!S$12:S$859,"")</f>
        <v/>
      </c>
      <c r="K83" s="566" t="str">
        <f>_xlfn.XLOOKUP(H83,Order!Q$12:Q$859,Order!P$12:P$859,"")</f>
        <v/>
      </c>
      <c r="L83" s="566" t="str">
        <f>_xlfn.XLOOKUP(H83,Order!Q$12:Q$859,Order!B$12:B$859,"")</f>
        <v/>
      </c>
      <c r="M83" s="566"/>
      <c r="N83" s="566"/>
      <c r="O83" s="566"/>
      <c r="P83" s="566"/>
      <c r="Q83" s="566"/>
      <c r="R83" s="566"/>
      <c r="S83" s="566"/>
      <c r="T83" s="566"/>
      <c r="U83" s="566"/>
      <c r="V83" s="566"/>
      <c r="W83" s="566"/>
      <c r="X83" s="564"/>
    </row>
    <row r="84" spans="1:24" x14ac:dyDescent="0.15">
      <c r="A84" s="243" t="str">
        <f t="shared" si="9"/>
        <v/>
      </c>
      <c r="B84" s="247" t="str">
        <f t="shared" si="10"/>
        <v/>
      </c>
      <c r="C84" s="245" t="str">
        <f t="shared" si="11"/>
        <v/>
      </c>
      <c r="D84" s="246" t="str">
        <f t="shared" si="12"/>
        <v/>
      </c>
      <c r="E84" s="566"/>
      <c r="F84" s="566"/>
      <c r="G84" s="566"/>
      <c r="H84" s="566">
        <v>80</v>
      </c>
      <c r="I84" s="566" t="str">
        <f>_xlfn.XLOOKUP(H84,Order!Q$12:Q$859,Order!C$12:C$859,"")</f>
        <v/>
      </c>
      <c r="J84" s="566" t="str">
        <f>_xlfn.XLOOKUP(H84,Order!Q$12:Q$859,Order!S$12:S$859,"")</f>
        <v/>
      </c>
      <c r="K84" s="566" t="str">
        <f>_xlfn.XLOOKUP(H84,Order!Q$12:Q$859,Order!P$12:P$859,"")</f>
        <v/>
      </c>
      <c r="L84" s="566" t="str">
        <f>_xlfn.XLOOKUP(H84,Order!Q$12:Q$859,Order!B$12:B$859,"")</f>
        <v/>
      </c>
      <c r="M84" s="566"/>
      <c r="N84" s="566"/>
      <c r="O84" s="566"/>
      <c r="P84" s="566"/>
      <c r="Q84" s="566"/>
      <c r="R84" s="566"/>
      <c r="S84" s="566"/>
      <c r="T84" s="566"/>
      <c r="U84" s="566"/>
      <c r="V84" s="566"/>
      <c r="W84" s="566"/>
      <c r="X84" s="564"/>
    </row>
    <row r="85" spans="1:24" x14ac:dyDescent="0.15">
      <c r="A85" s="243" t="str">
        <f t="shared" si="9"/>
        <v/>
      </c>
      <c r="B85" s="247" t="str">
        <f t="shared" si="10"/>
        <v/>
      </c>
      <c r="C85" s="245" t="str">
        <f t="shared" si="11"/>
        <v/>
      </c>
      <c r="D85" s="246" t="str">
        <f t="shared" si="12"/>
        <v/>
      </c>
      <c r="E85" s="566"/>
      <c r="F85" s="566"/>
      <c r="G85" s="566"/>
      <c r="H85" s="566">
        <v>81</v>
      </c>
      <c r="I85" s="566" t="str">
        <f>_xlfn.XLOOKUP(H85,Order!Q$12:Q$859,Order!C$12:C$859,"")</f>
        <v/>
      </c>
      <c r="J85" s="566" t="str">
        <f>_xlfn.XLOOKUP(H85,Order!Q$12:Q$859,Order!S$12:S$859,"")</f>
        <v/>
      </c>
      <c r="K85" s="566" t="str">
        <f>_xlfn.XLOOKUP(H85,Order!Q$12:Q$859,Order!P$12:P$859,"")</f>
        <v/>
      </c>
      <c r="L85" s="566" t="str">
        <f>_xlfn.XLOOKUP(H85,Order!Q$12:Q$859,Order!B$12:B$859,"")</f>
        <v/>
      </c>
      <c r="M85" s="566"/>
      <c r="N85" s="566"/>
      <c r="O85" s="566"/>
      <c r="P85" s="566"/>
      <c r="Q85" s="566"/>
      <c r="R85" s="566"/>
      <c r="S85" s="566"/>
      <c r="T85" s="566"/>
      <c r="U85" s="566"/>
      <c r="V85" s="566"/>
      <c r="W85" s="566"/>
      <c r="X85" s="564"/>
    </row>
    <row r="86" spans="1:24" x14ac:dyDescent="0.15">
      <c r="A86" s="243" t="str">
        <f t="shared" si="9"/>
        <v/>
      </c>
      <c r="B86" s="247" t="str">
        <f t="shared" si="10"/>
        <v/>
      </c>
      <c r="C86" s="245" t="str">
        <f t="shared" si="11"/>
        <v/>
      </c>
      <c r="D86" s="246" t="str">
        <f t="shared" si="12"/>
        <v/>
      </c>
      <c r="E86" s="566"/>
      <c r="F86" s="566"/>
      <c r="G86" s="566"/>
      <c r="H86" s="566">
        <v>82</v>
      </c>
      <c r="I86" s="566" t="str">
        <f>_xlfn.XLOOKUP(H86,Order!Q$12:Q$859,Order!C$12:C$859,"")</f>
        <v/>
      </c>
      <c r="J86" s="566" t="str">
        <f>_xlfn.XLOOKUP(H86,Order!Q$12:Q$859,Order!S$12:S$859,"")</f>
        <v/>
      </c>
      <c r="K86" s="566" t="str">
        <f>_xlfn.XLOOKUP(H86,Order!Q$12:Q$859,Order!P$12:P$859,"")</f>
        <v/>
      </c>
      <c r="L86" s="566" t="str">
        <f>_xlfn.XLOOKUP(H86,Order!Q$12:Q$859,Order!B$12:B$859,"")</f>
        <v/>
      </c>
      <c r="M86" s="566"/>
      <c r="N86" s="566"/>
      <c r="O86" s="566"/>
      <c r="P86" s="566"/>
      <c r="Q86" s="566"/>
      <c r="R86" s="566"/>
      <c r="S86" s="566"/>
      <c r="T86" s="566"/>
      <c r="U86" s="566"/>
      <c r="V86" s="566"/>
      <c r="W86" s="566"/>
      <c r="X86" s="564"/>
    </row>
    <row r="87" spans="1:24" x14ac:dyDescent="0.15">
      <c r="A87" s="243" t="str">
        <f t="shared" si="9"/>
        <v/>
      </c>
      <c r="B87" s="247" t="str">
        <f t="shared" si="10"/>
        <v/>
      </c>
      <c r="C87" s="245" t="str">
        <f t="shared" si="11"/>
        <v/>
      </c>
      <c r="D87" s="246" t="str">
        <f t="shared" si="12"/>
        <v/>
      </c>
      <c r="E87" s="566"/>
      <c r="F87" s="566"/>
      <c r="G87" s="566"/>
      <c r="H87" s="566">
        <v>83</v>
      </c>
      <c r="I87" s="566" t="str">
        <f>_xlfn.XLOOKUP(H87,Order!Q$12:Q$859,Order!C$12:C$859,"")</f>
        <v/>
      </c>
      <c r="J87" s="566" t="str">
        <f>_xlfn.XLOOKUP(H87,Order!Q$12:Q$859,Order!S$12:S$859,"")</f>
        <v/>
      </c>
      <c r="K87" s="566" t="str">
        <f>_xlfn.XLOOKUP(H87,Order!Q$12:Q$859,Order!P$12:P$859,"")</f>
        <v/>
      </c>
      <c r="L87" s="566" t="str">
        <f>_xlfn.XLOOKUP(H87,Order!Q$12:Q$859,Order!B$12:B$859,"")</f>
        <v/>
      </c>
      <c r="M87" s="566"/>
      <c r="N87" s="566"/>
      <c r="O87" s="566"/>
      <c r="P87" s="566"/>
      <c r="Q87" s="566"/>
      <c r="R87" s="566"/>
      <c r="S87" s="566"/>
      <c r="T87" s="566"/>
      <c r="U87" s="566"/>
      <c r="V87" s="566"/>
      <c r="W87" s="566"/>
      <c r="X87" s="564"/>
    </row>
    <row r="88" spans="1:24" x14ac:dyDescent="0.15">
      <c r="A88" s="243" t="str">
        <f t="shared" si="9"/>
        <v/>
      </c>
      <c r="B88" s="247" t="str">
        <f t="shared" si="10"/>
        <v/>
      </c>
      <c r="C88" s="245" t="str">
        <f t="shared" si="11"/>
        <v/>
      </c>
      <c r="D88" s="246" t="str">
        <f t="shared" si="12"/>
        <v/>
      </c>
      <c r="E88" s="566"/>
      <c r="F88" s="566"/>
      <c r="G88" s="566"/>
      <c r="H88" s="566">
        <v>84</v>
      </c>
      <c r="I88" s="566" t="str">
        <f>_xlfn.XLOOKUP(H88,Order!Q$12:Q$859,Order!C$12:C$859,"")</f>
        <v/>
      </c>
      <c r="J88" s="566" t="str">
        <f>_xlfn.XLOOKUP(H88,Order!Q$12:Q$859,Order!S$12:S$859,"")</f>
        <v/>
      </c>
      <c r="K88" s="566" t="str">
        <f>_xlfn.XLOOKUP(H88,Order!Q$12:Q$859,Order!P$12:P$859,"")</f>
        <v/>
      </c>
      <c r="L88" s="566" t="str">
        <f>_xlfn.XLOOKUP(H88,Order!Q$12:Q$859,Order!B$12:B$859,"")</f>
        <v/>
      </c>
      <c r="M88" s="566"/>
      <c r="N88" s="566"/>
      <c r="O88" s="566"/>
      <c r="P88" s="566"/>
      <c r="Q88" s="566"/>
      <c r="R88" s="566"/>
      <c r="S88" s="566"/>
      <c r="T88" s="566"/>
      <c r="U88" s="566"/>
      <c r="V88" s="566"/>
      <c r="W88" s="566"/>
      <c r="X88" s="564"/>
    </row>
    <row r="89" spans="1:24" x14ac:dyDescent="0.15">
      <c r="A89" s="243" t="str">
        <f t="shared" si="9"/>
        <v/>
      </c>
      <c r="B89" s="247" t="str">
        <f t="shared" si="10"/>
        <v/>
      </c>
      <c r="C89" s="245" t="str">
        <f t="shared" si="11"/>
        <v/>
      </c>
      <c r="D89" s="246" t="str">
        <f t="shared" si="12"/>
        <v/>
      </c>
      <c r="E89" s="566"/>
      <c r="F89" s="566"/>
      <c r="G89" s="566"/>
      <c r="H89" s="566">
        <v>85</v>
      </c>
      <c r="I89" s="566" t="str">
        <f>_xlfn.XLOOKUP(H89,Order!Q$12:Q$859,Order!C$12:C$859,"")</f>
        <v/>
      </c>
      <c r="J89" s="566" t="str">
        <f>_xlfn.XLOOKUP(H89,Order!Q$12:Q$859,Order!S$12:S$859,"")</f>
        <v/>
      </c>
      <c r="K89" s="566" t="str">
        <f>_xlfn.XLOOKUP(H89,Order!Q$12:Q$859,Order!P$12:P$859,"")</f>
        <v/>
      </c>
      <c r="L89" s="566" t="str">
        <f>_xlfn.XLOOKUP(H89,Order!Q$12:Q$859,Order!B$12:B$859,"")</f>
        <v/>
      </c>
      <c r="M89" s="566"/>
      <c r="N89" s="566"/>
      <c r="O89" s="566"/>
      <c r="P89" s="566"/>
      <c r="Q89" s="566"/>
      <c r="R89" s="566"/>
      <c r="S89" s="566"/>
      <c r="T89" s="566"/>
      <c r="U89" s="566"/>
      <c r="V89" s="566"/>
      <c r="W89" s="566"/>
      <c r="X89" s="564"/>
    </row>
    <row r="90" spans="1:24" x14ac:dyDescent="0.15">
      <c r="A90" s="243" t="str">
        <f t="shared" si="9"/>
        <v/>
      </c>
      <c r="B90" s="247" t="str">
        <f t="shared" si="10"/>
        <v/>
      </c>
      <c r="C90" s="245" t="str">
        <f t="shared" si="11"/>
        <v/>
      </c>
      <c r="D90" s="246" t="str">
        <f t="shared" si="12"/>
        <v/>
      </c>
      <c r="E90" s="566"/>
      <c r="F90" s="566"/>
      <c r="G90" s="566"/>
      <c r="H90" s="566">
        <v>86</v>
      </c>
      <c r="I90" s="566" t="str">
        <f>_xlfn.XLOOKUP(H90,Order!Q$12:Q$859,Order!C$12:C$859,"")</f>
        <v/>
      </c>
      <c r="J90" s="566" t="str">
        <f>_xlfn.XLOOKUP(H90,Order!Q$12:Q$859,Order!S$12:S$859,"")</f>
        <v/>
      </c>
      <c r="K90" s="566" t="str">
        <f>_xlfn.XLOOKUP(H90,Order!Q$12:Q$859,Order!P$12:P$859,"")</f>
        <v/>
      </c>
      <c r="L90" s="566" t="str">
        <f>_xlfn.XLOOKUP(H90,Order!Q$12:Q$859,Order!B$12:B$859,"")</f>
        <v/>
      </c>
      <c r="M90" s="566"/>
      <c r="N90" s="566"/>
      <c r="O90" s="566"/>
      <c r="P90" s="566"/>
      <c r="Q90" s="566"/>
      <c r="R90" s="566"/>
      <c r="S90" s="566"/>
      <c r="T90" s="566"/>
      <c r="U90" s="566"/>
      <c r="V90" s="566"/>
      <c r="W90" s="566"/>
      <c r="X90" s="564"/>
    </row>
    <row r="91" spans="1:24" x14ac:dyDescent="0.15">
      <c r="A91" s="243" t="str">
        <f t="shared" si="9"/>
        <v/>
      </c>
      <c r="B91" s="247" t="str">
        <f t="shared" si="10"/>
        <v/>
      </c>
      <c r="C91" s="245" t="str">
        <f t="shared" si="11"/>
        <v/>
      </c>
      <c r="D91" s="246" t="str">
        <f t="shared" si="12"/>
        <v/>
      </c>
      <c r="E91" s="566"/>
      <c r="F91" s="566"/>
      <c r="G91" s="566"/>
      <c r="H91" s="566">
        <v>87</v>
      </c>
      <c r="I91" s="566" t="str">
        <f>_xlfn.XLOOKUP(H91,Order!Q$12:Q$859,Order!C$12:C$859,"")</f>
        <v/>
      </c>
      <c r="J91" s="566" t="str">
        <f>_xlfn.XLOOKUP(H91,Order!Q$12:Q$859,Order!S$12:S$859,"")</f>
        <v/>
      </c>
      <c r="K91" s="566" t="str">
        <f>_xlfn.XLOOKUP(H91,Order!Q$12:Q$859,Order!P$12:P$859,"")</f>
        <v/>
      </c>
      <c r="L91" s="566" t="str">
        <f>_xlfn.XLOOKUP(H91,Order!Q$12:Q$859,Order!B$12:B$859,"")</f>
        <v/>
      </c>
      <c r="M91" s="566"/>
      <c r="N91" s="566"/>
      <c r="O91" s="566"/>
      <c r="P91" s="566"/>
      <c r="Q91" s="566"/>
      <c r="R91" s="566"/>
      <c r="S91" s="566"/>
      <c r="T91" s="566"/>
      <c r="U91" s="566"/>
      <c r="V91" s="566"/>
      <c r="W91" s="566"/>
      <c r="X91" s="564"/>
    </row>
    <row r="92" spans="1:24" x14ac:dyDescent="0.15">
      <c r="A92" s="243" t="str">
        <f t="shared" si="9"/>
        <v/>
      </c>
      <c r="B92" s="247" t="str">
        <f t="shared" si="10"/>
        <v/>
      </c>
      <c r="C92" s="245" t="str">
        <f t="shared" si="11"/>
        <v/>
      </c>
      <c r="D92" s="246" t="str">
        <f t="shared" si="12"/>
        <v/>
      </c>
      <c r="E92" s="566"/>
      <c r="F92" s="566"/>
      <c r="G92" s="566"/>
      <c r="H92" s="566">
        <v>88</v>
      </c>
      <c r="I92" s="566" t="str">
        <f>_xlfn.XLOOKUP(H92,Order!Q$12:Q$859,Order!C$12:C$859,"")</f>
        <v/>
      </c>
      <c r="J92" s="566" t="str">
        <f>_xlfn.XLOOKUP(H92,Order!Q$12:Q$859,Order!S$12:S$859,"")</f>
        <v/>
      </c>
      <c r="K92" s="566" t="str">
        <f>_xlfn.XLOOKUP(H92,Order!Q$12:Q$859,Order!P$12:P$859,"")</f>
        <v/>
      </c>
      <c r="L92" s="566" t="str">
        <f>_xlfn.XLOOKUP(H92,Order!Q$12:Q$859,Order!B$12:B$859,"")</f>
        <v/>
      </c>
      <c r="M92" s="566"/>
      <c r="N92" s="566"/>
      <c r="O92" s="566"/>
      <c r="P92" s="566"/>
      <c r="Q92" s="566"/>
      <c r="R92" s="566"/>
      <c r="S92" s="566"/>
      <c r="T92" s="566"/>
      <c r="U92" s="566"/>
      <c r="V92" s="566"/>
      <c r="W92" s="566"/>
      <c r="X92" s="564"/>
    </row>
    <row r="93" spans="1:24" x14ac:dyDescent="0.15">
      <c r="A93" s="243" t="str">
        <f t="shared" si="9"/>
        <v/>
      </c>
      <c r="B93" s="247" t="str">
        <f t="shared" si="10"/>
        <v/>
      </c>
      <c r="C93" s="245" t="str">
        <f t="shared" si="11"/>
        <v/>
      </c>
      <c r="D93" s="246" t="str">
        <f t="shared" si="12"/>
        <v/>
      </c>
      <c r="E93" s="566"/>
      <c r="F93" s="566"/>
      <c r="G93" s="566"/>
      <c r="H93" s="566">
        <v>89</v>
      </c>
      <c r="I93" s="566" t="str">
        <f>_xlfn.XLOOKUP(H93,Order!Q$12:Q$859,Order!C$12:C$859,"")</f>
        <v/>
      </c>
      <c r="J93" s="566" t="str">
        <f>_xlfn.XLOOKUP(H93,Order!Q$12:Q$859,Order!S$12:S$859,"")</f>
        <v/>
      </c>
      <c r="K93" s="566" t="str">
        <f>_xlfn.XLOOKUP(H93,Order!Q$12:Q$859,Order!P$12:P$859,"")</f>
        <v/>
      </c>
      <c r="L93" s="566" t="str">
        <f>_xlfn.XLOOKUP(H93,Order!Q$12:Q$859,Order!B$12:B$859,"")</f>
        <v/>
      </c>
      <c r="M93" s="566"/>
      <c r="N93" s="566"/>
      <c r="O93" s="566"/>
      <c r="P93" s="566"/>
      <c r="Q93" s="566"/>
      <c r="R93" s="566"/>
      <c r="S93" s="566"/>
      <c r="T93" s="566"/>
      <c r="U93" s="566"/>
      <c r="V93" s="566"/>
      <c r="W93" s="566"/>
      <c r="X93" s="564"/>
    </row>
    <row r="94" spans="1:24" x14ac:dyDescent="0.15">
      <c r="A94" s="243" t="str">
        <f t="shared" si="9"/>
        <v/>
      </c>
      <c r="B94" s="247" t="str">
        <f t="shared" si="10"/>
        <v/>
      </c>
      <c r="C94" s="245" t="str">
        <f t="shared" si="11"/>
        <v/>
      </c>
      <c r="D94" s="246" t="str">
        <f t="shared" si="12"/>
        <v/>
      </c>
      <c r="E94" s="566"/>
      <c r="F94" s="566"/>
      <c r="G94" s="566"/>
      <c r="H94" s="566">
        <v>90</v>
      </c>
      <c r="I94" s="566" t="str">
        <f>_xlfn.XLOOKUP(H94,Order!Q$12:Q$859,Order!C$12:C$859,"")</f>
        <v/>
      </c>
      <c r="J94" s="566" t="str">
        <f>_xlfn.XLOOKUP(H94,Order!Q$12:Q$859,Order!S$12:S$859,"")</f>
        <v/>
      </c>
      <c r="K94" s="566" t="str">
        <f>_xlfn.XLOOKUP(H94,Order!Q$12:Q$859,Order!P$12:P$859,"")</f>
        <v/>
      </c>
      <c r="L94" s="566" t="str">
        <f>_xlfn.XLOOKUP(H94,Order!Q$12:Q$859,Order!B$12:B$859,"")</f>
        <v/>
      </c>
      <c r="M94" s="566"/>
      <c r="N94" s="566"/>
      <c r="O94" s="566"/>
      <c r="P94" s="566"/>
      <c r="Q94" s="566"/>
      <c r="R94" s="566"/>
      <c r="S94" s="566"/>
      <c r="T94" s="566"/>
      <c r="U94" s="566"/>
      <c r="V94" s="566"/>
      <c r="W94" s="566"/>
      <c r="X94" s="564"/>
    </row>
    <row r="95" spans="1:24" x14ac:dyDescent="0.15">
      <c r="A95" s="243" t="str">
        <f t="shared" si="9"/>
        <v/>
      </c>
      <c r="B95" s="247" t="str">
        <f t="shared" si="10"/>
        <v/>
      </c>
      <c r="C95" s="245" t="str">
        <f t="shared" si="11"/>
        <v/>
      </c>
      <c r="D95" s="246" t="str">
        <f t="shared" si="12"/>
        <v/>
      </c>
      <c r="E95" s="566"/>
      <c r="F95" s="566"/>
      <c r="G95" s="566"/>
      <c r="H95" s="566">
        <v>91</v>
      </c>
      <c r="I95" s="566" t="str">
        <f>_xlfn.XLOOKUP(H95,Order!Q$12:Q$859,Order!C$12:C$859,"")</f>
        <v/>
      </c>
      <c r="J95" s="566" t="str">
        <f>_xlfn.XLOOKUP(H95,Order!Q$12:Q$859,Order!S$12:S$859,"")</f>
        <v/>
      </c>
      <c r="K95" s="566" t="str">
        <f>_xlfn.XLOOKUP(H95,Order!Q$12:Q$859,Order!P$12:P$859,"")</f>
        <v/>
      </c>
      <c r="L95" s="566" t="str">
        <f>_xlfn.XLOOKUP(H95,Order!Q$12:Q$859,Order!B$12:B$859,"")</f>
        <v/>
      </c>
      <c r="M95" s="566"/>
      <c r="N95" s="566"/>
      <c r="O95" s="566"/>
      <c r="P95" s="566"/>
      <c r="Q95" s="566"/>
      <c r="R95" s="566"/>
      <c r="S95" s="566"/>
      <c r="T95" s="566"/>
      <c r="U95" s="566"/>
      <c r="V95" s="566"/>
      <c r="W95" s="566"/>
      <c r="X95" s="564"/>
    </row>
    <row r="96" spans="1:24" x14ac:dyDescent="0.15">
      <c r="A96" s="243" t="str">
        <f t="shared" si="9"/>
        <v/>
      </c>
      <c r="B96" s="247" t="str">
        <f t="shared" si="10"/>
        <v/>
      </c>
      <c r="C96" s="245" t="str">
        <f t="shared" si="11"/>
        <v/>
      </c>
      <c r="D96" s="246" t="str">
        <f t="shared" si="12"/>
        <v/>
      </c>
      <c r="E96" s="566"/>
      <c r="F96" s="566"/>
      <c r="G96" s="566"/>
      <c r="H96" s="566">
        <v>92</v>
      </c>
      <c r="I96" s="566" t="str">
        <f>_xlfn.XLOOKUP(H96,Order!Q$12:Q$859,Order!C$12:C$859,"")</f>
        <v/>
      </c>
      <c r="J96" s="566" t="str">
        <f>_xlfn.XLOOKUP(H96,Order!Q$12:Q$859,Order!S$12:S$859,"")</f>
        <v/>
      </c>
      <c r="K96" s="566" t="str">
        <f>_xlfn.XLOOKUP(H96,Order!Q$12:Q$859,Order!P$12:P$859,"")</f>
        <v/>
      </c>
      <c r="L96" s="566" t="str">
        <f>_xlfn.XLOOKUP(H96,Order!Q$12:Q$859,Order!B$12:B$859,"")</f>
        <v/>
      </c>
      <c r="M96" s="566"/>
      <c r="N96" s="566"/>
      <c r="O96" s="566"/>
      <c r="P96" s="566"/>
      <c r="Q96" s="566"/>
      <c r="R96" s="566"/>
      <c r="S96" s="566"/>
      <c r="T96" s="566"/>
      <c r="U96" s="566"/>
      <c r="V96" s="566"/>
      <c r="W96" s="566"/>
      <c r="X96" s="564"/>
    </row>
    <row r="97" spans="1:24" x14ac:dyDescent="0.15">
      <c r="A97" s="243" t="str">
        <f t="shared" si="9"/>
        <v/>
      </c>
      <c r="B97" s="247" t="str">
        <f t="shared" si="10"/>
        <v/>
      </c>
      <c r="C97" s="245" t="str">
        <f t="shared" si="11"/>
        <v/>
      </c>
      <c r="D97" s="246" t="str">
        <f t="shared" si="12"/>
        <v/>
      </c>
      <c r="E97" s="566"/>
      <c r="F97" s="566"/>
      <c r="G97" s="566"/>
      <c r="H97" s="566">
        <v>93</v>
      </c>
      <c r="I97" s="566" t="str">
        <f>_xlfn.XLOOKUP(H97,Order!Q$12:Q$859,Order!C$12:C$859,"")</f>
        <v/>
      </c>
      <c r="J97" s="566" t="str">
        <f>_xlfn.XLOOKUP(H97,Order!Q$12:Q$859,Order!S$12:S$859,"")</f>
        <v/>
      </c>
      <c r="K97" s="566" t="str">
        <f>_xlfn.XLOOKUP(H97,Order!Q$12:Q$859,Order!P$12:P$859,"")</f>
        <v/>
      </c>
      <c r="L97" s="566" t="str">
        <f>_xlfn.XLOOKUP(H97,Order!Q$12:Q$859,Order!B$12:B$859,"")</f>
        <v/>
      </c>
      <c r="M97" s="566"/>
      <c r="N97" s="566"/>
      <c r="O97" s="566"/>
      <c r="P97" s="566"/>
      <c r="Q97" s="566"/>
      <c r="R97" s="566"/>
      <c r="S97" s="566"/>
      <c r="T97" s="566"/>
      <c r="U97" s="566"/>
      <c r="V97" s="566"/>
      <c r="W97" s="566"/>
      <c r="X97" s="564"/>
    </row>
    <row r="98" spans="1:24" x14ac:dyDescent="0.15">
      <c r="A98" s="243" t="str">
        <f t="shared" si="9"/>
        <v/>
      </c>
      <c r="B98" s="247" t="str">
        <f t="shared" si="10"/>
        <v/>
      </c>
      <c r="C98" s="245" t="str">
        <f t="shared" si="11"/>
        <v/>
      </c>
      <c r="D98" s="246" t="str">
        <f t="shared" si="12"/>
        <v/>
      </c>
      <c r="E98" s="566"/>
      <c r="F98" s="566"/>
      <c r="G98" s="566"/>
      <c r="H98" s="566">
        <v>94</v>
      </c>
      <c r="I98" s="566" t="str">
        <f>_xlfn.XLOOKUP(H98,Order!Q$12:Q$859,Order!C$12:C$859,"")</f>
        <v/>
      </c>
      <c r="J98" s="566" t="str">
        <f>_xlfn.XLOOKUP(H98,Order!Q$12:Q$859,Order!S$12:S$859,"")</f>
        <v/>
      </c>
      <c r="K98" s="566" t="str">
        <f>_xlfn.XLOOKUP(H98,Order!Q$12:Q$859,Order!P$12:P$859,"")</f>
        <v/>
      </c>
      <c r="L98" s="566" t="str">
        <f>_xlfn.XLOOKUP(H98,Order!Q$12:Q$859,Order!B$12:B$859,"")</f>
        <v/>
      </c>
      <c r="M98" s="566"/>
      <c r="N98" s="566"/>
      <c r="O98" s="566"/>
      <c r="P98" s="566"/>
      <c r="Q98" s="566"/>
      <c r="R98" s="566"/>
      <c r="S98" s="566"/>
      <c r="T98" s="566"/>
      <c r="U98" s="566"/>
      <c r="V98" s="566"/>
      <c r="W98" s="566"/>
      <c r="X98" s="564"/>
    </row>
    <row r="99" spans="1:24" x14ac:dyDescent="0.15">
      <c r="A99" s="243" t="str">
        <f t="shared" si="9"/>
        <v/>
      </c>
      <c r="B99" s="247" t="str">
        <f t="shared" si="10"/>
        <v/>
      </c>
      <c r="C99" s="245" t="str">
        <f t="shared" si="11"/>
        <v/>
      </c>
      <c r="D99" s="246" t="str">
        <f t="shared" si="12"/>
        <v/>
      </c>
      <c r="E99" s="566"/>
      <c r="F99" s="566"/>
      <c r="G99" s="566"/>
      <c r="H99" s="566">
        <v>95</v>
      </c>
      <c r="I99" s="566" t="str">
        <f>_xlfn.XLOOKUP(H99,Order!Q$12:Q$859,Order!C$12:C$859,"")</f>
        <v/>
      </c>
      <c r="J99" s="566" t="str">
        <f>_xlfn.XLOOKUP(H99,Order!Q$12:Q$859,Order!S$12:S$859,"")</f>
        <v/>
      </c>
      <c r="K99" s="566" t="str">
        <f>_xlfn.XLOOKUP(H99,Order!Q$12:Q$859,Order!P$12:P$859,"")</f>
        <v/>
      </c>
      <c r="L99" s="566" t="str">
        <f>_xlfn.XLOOKUP(H99,Order!Q$12:Q$859,Order!B$12:B$859,"")</f>
        <v/>
      </c>
      <c r="M99" s="566"/>
      <c r="N99" s="566"/>
      <c r="O99" s="566"/>
      <c r="P99" s="566"/>
      <c r="Q99" s="566"/>
      <c r="R99" s="566"/>
      <c r="S99" s="566"/>
      <c r="T99" s="566"/>
      <c r="U99" s="566"/>
      <c r="V99" s="566"/>
      <c r="W99" s="566"/>
      <c r="X99" s="564"/>
    </row>
    <row r="100" spans="1:24" x14ac:dyDescent="0.15">
      <c r="A100" s="243" t="str">
        <f t="shared" si="9"/>
        <v/>
      </c>
      <c r="B100" s="247" t="str">
        <f t="shared" si="10"/>
        <v/>
      </c>
      <c r="C100" s="245" t="str">
        <f t="shared" si="11"/>
        <v/>
      </c>
      <c r="D100" s="246" t="str">
        <f t="shared" si="12"/>
        <v/>
      </c>
      <c r="E100" s="566"/>
      <c r="F100" s="566"/>
      <c r="G100" s="566"/>
      <c r="H100" s="566">
        <v>96</v>
      </c>
      <c r="I100" s="566" t="str">
        <f>_xlfn.XLOOKUP(H100,Order!Q$12:Q$859,Order!C$12:C$859,"")</f>
        <v/>
      </c>
      <c r="J100" s="566" t="str">
        <f>_xlfn.XLOOKUP(H100,Order!Q$12:Q$859,Order!S$12:S$859,"")</f>
        <v/>
      </c>
      <c r="K100" s="566" t="str">
        <f>_xlfn.XLOOKUP(H100,Order!Q$12:Q$859,Order!P$12:P$859,"")</f>
        <v/>
      </c>
      <c r="L100" s="566" t="str">
        <f>_xlfn.XLOOKUP(H100,Order!Q$12:Q$859,Order!B$12:B$859,"")</f>
        <v/>
      </c>
      <c r="M100" s="566"/>
      <c r="N100" s="566"/>
      <c r="O100" s="566"/>
      <c r="P100" s="566"/>
      <c r="Q100" s="566"/>
      <c r="R100" s="566"/>
      <c r="S100" s="566"/>
      <c r="T100" s="566"/>
      <c r="U100" s="566"/>
      <c r="V100" s="566"/>
      <c r="W100" s="566"/>
      <c r="X100" s="564"/>
    </row>
    <row r="101" spans="1:24" x14ac:dyDescent="0.15">
      <c r="A101" s="243" t="str">
        <f t="shared" si="9"/>
        <v/>
      </c>
      <c r="B101" s="247" t="str">
        <f t="shared" si="10"/>
        <v/>
      </c>
      <c r="C101" s="245" t="str">
        <f t="shared" si="11"/>
        <v/>
      </c>
      <c r="D101" s="246" t="str">
        <f t="shared" si="12"/>
        <v/>
      </c>
      <c r="E101" s="566"/>
      <c r="F101" s="566"/>
      <c r="G101" s="566"/>
      <c r="H101" s="566">
        <v>97</v>
      </c>
      <c r="I101" s="566" t="str">
        <f>_xlfn.XLOOKUP(H101,Order!Q$12:Q$859,Order!C$12:C$859,"")</f>
        <v/>
      </c>
      <c r="J101" s="566" t="str">
        <f>_xlfn.XLOOKUP(H101,Order!Q$12:Q$859,Order!S$12:S$859,"")</f>
        <v/>
      </c>
      <c r="K101" s="566" t="str">
        <f>_xlfn.XLOOKUP(H101,Order!Q$12:Q$859,Order!P$12:P$859,"")</f>
        <v/>
      </c>
      <c r="L101" s="566" t="str">
        <f>_xlfn.XLOOKUP(H101,Order!Q$12:Q$859,Order!B$12:B$859,"")</f>
        <v/>
      </c>
      <c r="M101" s="566"/>
      <c r="N101" s="566"/>
      <c r="O101" s="566"/>
      <c r="P101" s="566"/>
      <c r="Q101" s="566"/>
      <c r="R101" s="566"/>
      <c r="S101" s="566"/>
      <c r="T101" s="566"/>
      <c r="U101" s="566"/>
      <c r="V101" s="566"/>
      <c r="W101" s="566"/>
      <c r="X101" s="564"/>
    </row>
    <row r="102" spans="1:24" x14ac:dyDescent="0.15">
      <c r="A102" s="243" t="str">
        <f t="shared" ref="A102:A133" si="13">IF(K102=0,"",IF(K102=K101,"",K102))</f>
        <v/>
      </c>
      <c r="B102" s="247" t="str">
        <f t="shared" ref="B102:B133" si="14">IF(I102=I101,"",I102)</f>
        <v/>
      </c>
      <c r="C102" s="245" t="str">
        <f t="shared" ref="C102:C133" si="15">IF(I102=I101,"",J102)</f>
        <v/>
      </c>
      <c r="D102" s="246" t="str">
        <f t="shared" ref="D102:D133" si="16">IF(I102=I101,"",L102)</f>
        <v/>
      </c>
      <c r="E102" s="566"/>
      <c r="F102" s="566"/>
      <c r="G102" s="566"/>
      <c r="H102" s="566">
        <v>98</v>
      </c>
      <c r="I102" s="566" t="str">
        <f>_xlfn.XLOOKUP(H102,Order!Q$12:Q$859,Order!C$12:C$859,"")</f>
        <v/>
      </c>
      <c r="J102" s="566" t="str">
        <f>_xlfn.XLOOKUP(H102,Order!Q$12:Q$859,Order!S$12:S$859,"")</f>
        <v/>
      </c>
      <c r="K102" s="566" t="str">
        <f>_xlfn.XLOOKUP(H102,Order!Q$12:Q$859,Order!P$12:P$859,"")</f>
        <v/>
      </c>
      <c r="L102" s="566" t="str">
        <f>_xlfn.XLOOKUP(H102,Order!Q$12:Q$859,Order!B$12:B$859,"")</f>
        <v/>
      </c>
      <c r="M102" s="566"/>
      <c r="N102" s="566"/>
      <c r="O102" s="566"/>
      <c r="P102" s="566"/>
      <c r="Q102" s="566"/>
      <c r="R102" s="566"/>
      <c r="S102" s="566"/>
      <c r="T102" s="566"/>
      <c r="U102" s="566"/>
      <c r="V102" s="566"/>
      <c r="W102" s="566"/>
      <c r="X102" s="564"/>
    </row>
    <row r="103" spans="1:24" x14ac:dyDescent="0.15">
      <c r="A103" s="243" t="str">
        <f t="shared" si="13"/>
        <v/>
      </c>
      <c r="B103" s="247" t="str">
        <f t="shared" si="14"/>
        <v/>
      </c>
      <c r="C103" s="245" t="str">
        <f t="shared" si="15"/>
        <v/>
      </c>
      <c r="D103" s="246" t="str">
        <f t="shared" si="16"/>
        <v/>
      </c>
      <c r="E103" s="566"/>
      <c r="F103" s="566"/>
      <c r="G103" s="566"/>
      <c r="H103" s="566">
        <v>99</v>
      </c>
      <c r="I103" s="566" t="str">
        <f>_xlfn.XLOOKUP(H103,Order!Q$12:Q$859,Order!C$12:C$859,"")</f>
        <v/>
      </c>
      <c r="J103" s="566" t="str">
        <f>_xlfn.XLOOKUP(H103,Order!Q$12:Q$859,Order!S$12:S$859,"")</f>
        <v/>
      </c>
      <c r="K103" s="566" t="str">
        <f>_xlfn.XLOOKUP(H103,Order!Q$12:Q$859,Order!P$12:P$859,"")</f>
        <v/>
      </c>
      <c r="L103" s="566" t="str">
        <f>_xlfn.XLOOKUP(H103,Order!Q$12:Q$859,Order!B$12:B$859,"")</f>
        <v/>
      </c>
      <c r="M103" s="566"/>
      <c r="N103" s="566"/>
      <c r="O103" s="566"/>
      <c r="P103" s="566"/>
      <c r="Q103" s="566"/>
      <c r="R103" s="566"/>
      <c r="S103" s="566"/>
      <c r="T103" s="566"/>
      <c r="U103" s="566"/>
      <c r="V103" s="566"/>
      <c r="W103" s="566"/>
      <c r="X103" s="564"/>
    </row>
    <row r="104" spans="1:24" x14ac:dyDescent="0.15">
      <c r="A104" s="243" t="str">
        <f t="shared" si="13"/>
        <v/>
      </c>
      <c r="B104" s="247" t="str">
        <f t="shared" si="14"/>
        <v/>
      </c>
      <c r="C104" s="245" t="str">
        <f t="shared" si="15"/>
        <v/>
      </c>
      <c r="D104" s="246" t="str">
        <f t="shared" si="16"/>
        <v/>
      </c>
      <c r="E104" s="566"/>
      <c r="F104" s="566"/>
      <c r="G104" s="566"/>
      <c r="H104" s="566">
        <v>100</v>
      </c>
      <c r="I104" s="566" t="str">
        <f>_xlfn.XLOOKUP(H104,Order!Q$12:Q$859,Order!C$12:C$859,"")</f>
        <v/>
      </c>
      <c r="J104" s="566" t="str">
        <f>_xlfn.XLOOKUP(H104,Order!Q$12:Q$859,Order!S$12:S$859,"")</f>
        <v/>
      </c>
      <c r="K104" s="566" t="str">
        <f>_xlfn.XLOOKUP(H104,Order!Q$12:Q$859,Order!P$12:P$859,"")</f>
        <v/>
      </c>
      <c r="L104" s="566" t="str">
        <f>_xlfn.XLOOKUP(H104,Order!Q$12:Q$859,Order!B$12:B$859,"")</f>
        <v/>
      </c>
      <c r="M104" s="566"/>
      <c r="N104" s="566"/>
      <c r="O104" s="566"/>
      <c r="P104" s="566"/>
      <c r="Q104" s="566"/>
      <c r="R104" s="566"/>
      <c r="S104" s="566"/>
      <c r="T104" s="566"/>
      <c r="U104" s="566"/>
      <c r="V104" s="566"/>
      <c r="W104" s="566"/>
      <c r="X104" s="564"/>
    </row>
    <row r="105" spans="1:24" x14ac:dyDescent="0.15">
      <c r="A105" s="243" t="str">
        <f t="shared" si="13"/>
        <v/>
      </c>
      <c r="B105" s="247" t="str">
        <f t="shared" si="14"/>
        <v/>
      </c>
      <c r="C105" s="245" t="str">
        <f t="shared" si="15"/>
        <v/>
      </c>
      <c r="D105" s="246" t="str">
        <f t="shared" si="16"/>
        <v/>
      </c>
      <c r="E105" s="566"/>
      <c r="F105" s="566"/>
      <c r="G105" s="566"/>
      <c r="H105" s="566">
        <v>101</v>
      </c>
      <c r="I105" s="566" t="str">
        <f>_xlfn.XLOOKUP(H105,Order!Q$12:Q$859,Order!C$12:C$859,"")</f>
        <v/>
      </c>
      <c r="J105" s="566" t="str">
        <f>_xlfn.XLOOKUP(H105,Order!Q$12:Q$859,Order!S$12:S$859,"")</f>
        <v/>
      </c>
      <c r="K105" s="566" t="str">
        <f>_xlfn.XLOOKUP(H105,Order!Q$12:Q$859,Order!P$12:P$859,"")</f>
        <v/>
      </c>
      <c r="L105" s="566" t="str">
        <f>_xlfn.XLOOKUP(H105,Order!Q$12:Q$859,Order!B$12:B$859,"")</f>
        <v/>
      </c>
      <c r="M105" s="566"/>
      <c r="N105" s="566"/>
      <c r="O105" s="566"/>
      <c r="P105" s="566"/>
      <c r="Q105" s="566"/>
      <c r="R105" s="566"/>
      <c r="S105" s="566"/>
      <c r="T105" s="566"/>
      <c r="U105" s="566"/>
      <c r="V105" s="566"/>
      <c r="W105" s="566"/>
      <c r="X105" s="564"/>
    </row>
    <row r="106" spans="1:24" x14ac:dyDescent="0.15">
      <c r="A106" s="243" t="str">
        <f t="shared" si="13"/>
        <v/>
      </c>
      <c r="B106" s="247" t="str">
        <f t="shared" si="14"/>
        <v/>
      </c>
      <c r="C106" s="245" t="str">
        <f t="shared" si="15"/>
        <v/>
      </c>
      <c r="D106" s="246" t="str">
        <f t="shared" si="16"/>
        <v/>
      </c>
      <c r="E106" s="566"/>
      <c r="F106" s="566"/>
      <c r="G106" s="566"/>
      <c r="H106" s="566">
        <v>102</v>
      </c>
      <c r="I106" s="566" t="str">
        <f>_xlfn.XLOOKUP(H106,Order!Q$12:Q$859,Order!C$12:C$859,"")</f>
        <v/>
      </c>
      <c r="J106" s="566" t="str">
        <f>_xlfn.XLOOKUP(H106,Order!Q$12:Q$859,Order!S$12:S$859,"")</f>
        <v/>
      </c>
      <c r="K106" s="566" t="str">
        <f>_xlfn.XLOOKUP(H106,Order!Q$12:Q$859,Order!P$12:P$859,"")</f>
        <v/>
      </c>
      <c r="L106" s="566" t="str">
        <f>_xlfn.XLOOKUP(H106,Order!Q$12:Q$859,Order!B$12:B$859,"")</f>
        <v/>
      </c>
      <c r="M106" s="566"/>
      <c r="N106" s="566"/>
      <c r="O106" s="566"/>
      <c r="P106" s="566"/>
      <c r="Q106" s="566"/>
      <c r="R106" s="566"/>
      <c r="S106" s="566"/>
      <c r="T106" s="566"/>
      <c r="U106" s="566"/>
      <c r="V106" s="566"/>
      <c r="W106" s="566"/>
      <c r="X106" s="564"/>
    </row>
    <row r="107" spans="1:24" x14ac:dyDescent="0.15">
      <c r="A107" s="243" t="str">
        <f t="shared" si="13"/>
        <v/>
      </c>
      <c r="B107" s="247" t="str">
        <f t="shared" si="14"/>
        <v/>
      </c>
      <c r="C107" s="245" t="str">
        <f t="shared" si="15"/>
        <v/>
      </c>
      <c r="D107" s="246" t="str">
        <f t="shared" si="16"/>
        <v/>
      </c>
      <c r="E107" s="566"/>
      <c r="F107" s="566"/>
      <c r="G107" s="566"/>
      <c r="H107" s="566">
        <v>103</v>
      </c>
      <c r="I107" s="566" t="str">
        <f>_xlfn.XLOOKUP(H107,Order!Q$12:Q$859,Order!C$12:C$859,"")</f>
        <v/>
      </c>
      <c r="J107" s="566" t="str">
        <f>_xlfn.XLOOKUP(H107,Order!Q$12:Q$859,Order!S$12:S$859,"")</f>
        <v/>
      </c>
      <c r="K107" s="566" t="str">
        <f>_xlfn.XLOOKUP(H107,Order!Q$12:Q$859,Order!P$12:P$859,"")</f>
        <v/>
      </c>
      <c r="L107" s="566" t="str">
        <f>_xlfn.XLOOKUP(H107,Order!Q$12:Q$859,Order!B$12:B$859,"")</f>
        <v/>
      </c>
      <c r="M107" s="566"/>
      <c r="N107" s="566"/>
      <c r="O107" s="566"/>
      <c r="P107" s="566"/>
      <c r="Q107" s="566"/>
      <c r="R107" s="566"/>
      <c r="S107" s="566"/>
      <c r="T107" s="566"/>
      <c r="U107" s="566"/>
      <c r="V107" s="566"/>
      <c r="W107" s="566"/>
      <c r="X107" s="564"/>
    </row>
    <row r="108" spans="1:24" x14ac:dyDescent="0.15">
      <c r="A108" s="243" t="str">
        <f t="shared" si="13"/>
        <v/>
      </c>
      <c r="B108" s="247" t="str">
        <f t="shared" si="14"/>
        <v/>
      </c>
      <c r="C108" s="245" t="str">
        <f t="shared" si="15"/>
        <v/>
      </c>
      <c r="D108" s="246" t="str">
        <f t="shared" si="16"/>
        <v/>
      </c>
      <c r="E108" s="566"/>
      <c r="F108" s="566"/>
      <c r="G108" s="566"/>
      <c r="H108" s="566">
        <v>104</v>
      </c>
      <c r="I108" s="566" t="str">
        <f>_xlfn.XLOOKUP(H108,Order!Q$12:Q$859,Order!C$12:C$859,"")</f>
        <v/>
      </c>
      <c r="J108" s="566" t="str">
        <f>_xlfn.XLOOKUP(H108,Order!Q$12:Q$859,Order!S$12:S$859,"")</f>
        <v/>
      </c>
      <c r="K108" s="566" t="str">
        <f>_xlfn.XLOOKUP(H108,Order!Q$12:Q$859,Order!P$12:P$859,"")</f>
        <v/>
      </c>
      <c r="L108" s="566" t="str">
        <f>_xlfn.XLOOKUP(H108,Order!Q$12:Q$859,Order!B$12:B$859,"")</f>
        <v/>
      </c>
      <c r="M108" s="566"/>
      <c r="N108" s="566"/>
      <c r="O108" s="566"/>
      <c r="P108" s="566"/>
      <c r="Q108" s="566"/>
      <c r="R108" s="566"/>
      <c r="S108" s="566"/>
      <c r="T108" s="566"/>
      <c r="U108" s="566"/>
      <c r="V108" s="566"/>
      <c r="W108" s="566"/>
      <c r="X108" s="564"/>
    </row>
    <row r="109" spans="1:24" x14ac:dyDescent="0.15">
      <c r="A109" s="243" t="str">
        <f t="shared" si="13"/>
        <v/>
      </c>
      <c r="B109" s="247" t="str">
        <f t="shared" si="14"/>
        <v/>
      </c>
      <c r="C109" s="245" t="str">
        <f t="shared" si="15"/>
        <v/>
      </c>
      <c r="D109" s="246" t="str">
        <f t="shared" si="16"/>
        <v/>
      </c>
      <c r="E109" s="566"/>
      <c r="F109" s="566"/>
      <c r="G109" s="566"/>
      <c r="H109" s="566">
        <v>105</v>
      </c>
      <c r="I109" s="566" t="str">
        <f>_xlfn.XLOOKUP(H109,Order!Q$12:Q$859,Order!C$12:C$859,"")</f>
        <v/>
      </c>
      <c r="J109" s="566" t="str">
        <f>_xlfn.XLOOKUP(H109,Order!Q$12:Q$859,Order!S$12:S$859,"")</f>
        <v/>
      </c>
      <c r="K109" s="566" t="str">
        <f>_xlfn.XLOOKUP(H109,Order!Q$12:Q$859,Order!P$12:P$859,"")</f>
        <v/>
      </c>
      <c r="L109" s="566" t="str">
        <f>_xlfn.XLOOKUP(H109,Order!Q$12:Q$859,Order!B$12:B$859,"")</f>
        <v/>
      </c>
      <c r="M109" s="566"/>
      <c r="N109" s="566"/>
      <c r="O109" s="566"/>
      <c r="P109" s="566"/>
      <c r="Q109" s="566"/>
      <c r="R109" s="566"/>
      <c r="S109" s="566"/>
      <c r="T109" s="566"/>
      <c r="U109" s="566"/>
      <c r="V109" s="566"/>
      <c r="W109" s="566"/>
      <c r="X109" s="564"/>
    </row>
    <row r="110" spans="1:24" x14ac:dyDescent="0.15">
      <c r="A110" s="243" t="str">
        <f t="shared" si="13"/>
        <v/>
      </c>
      <c r="B110" s="247" t="str">
        <f t="shared" si="14"/>
        <v/>
      </c>
      <c r="C110" s="245" t="str">
        <f t="shared" si="15"/>
        <v/>
      </c>
      <c r="D110" s="246" t="str">
        <f t="shared" si="16"/>
        <v/>
      </c>
      <c r="E110" s="566"/>
      <c r="F110" s="566"/>
      <c r="G110" s="566"/>
      <c r="H110" s="566">
        <v>106</v>
      </c>
      <c r="I110" s="566" t="str">
        <f>_xlfn.XLOOKUP(H110,Order!Q$12:Q$859,Order!C$12:C$859,"")</f>
        <v/>
      </c>
      <c r="J110" s="566" t="str">
        <f>_xlfn.XLOOKUP(H110,Order!Q$12:Q$859,Order!S$12:S$859,"")</f>
        <v/>
      </c>
      <c r="K110" s="566" t="str">
        <f>_xlfn.XLOOKUP(H110,Order!Q$12:Q$859,Order!P$12:P$859,"")</f>
        <v/>
      </c>
      <c r="L110" s="566" t="str">
        <f>_xlfn.XLOOKUP(H110,Order!Q$12:Q$859,Order!B$12:B$859,"")</f>
        <v/>
      </c>
      <c r="M110" s="566"/>
      <c r="N110" s="566"/>
      <c r="O110" s="566"/>
      <c r="P110" s="566"/>
      <c r="Q110" s="566"/>
      <c r="R110" s="566"/>
      <c r="S110" s="566"/>
      <c r="T110" s="566"/>
      <c r="U110" s="566"/>
      <c r="V110" s="566"/>
      <c r="W110" s="566"/>
      <c r="X110" s="564"/>
    </row>
    <row r="111" spans="1:24" x14ac:dyDescent="0.15">
      <c r="A111" s="243" t="str">
        <f t="shared" si="13"/>
        <v/>
      </c>
      <c r="B111" s="247" t="str">
        <f t="shared" si="14"/>
        <v/>
      </c>
      <c r="C111" s="245" t="str">
        <f t="shared" si="15"/>
        <v/>
      </c>
      <c r="D111" s="246" t="str">
        <f t="shared" si="16"/>
        <v/>
      </c>
      <c r="E111" s="566"/>
      <c r="F111" s="566"/>
      <c r="G111" s="566"/>
      <c r="H111" s="566">
        <v>107</v>
      </c>
      <c r="I111" s="566" t="str">
        <f>_xlfn.XLOOKUP(H111,Order!Q$12:Q$859,Order!C$12:C$859,"")</f>
        <v/>
      </c>
      <c r="J111" s="566" t="str">
        <f>_xlfn.XLOOKUP(H111,Order!Q$12:Q$859,Order!S$12:S$859,"")</f>
        <v/>
      </c>
      <c r="K111" s="566" t="str">
        <f>_xlfn.XLOOKUP(H111,Order!Q$12:Q$859,Order!P$12:P$859,"")</f>
        <v/>
      </c>
      <c r="L111" s="566" t="str">
        <f>_xlfn.XLOOKUP(H111,Order!Q$12:Q$859,Order!B$12:B$859,"")</f>
        <v/>
      </c>
      <c r="M111" s="566"/>
      <c r="N111" s="566"/>
      <c r="O111" s="566"/>
      <c r="P111" s="566"/>
      <c r="Q111" s="566"/>
      <c r="R111" s="566"/>
      <c r="S111" s="566"/>
      <c r="T111" s="566"/>
      <c r="U111" s="566"/>
      <c r="V111" s="566"/>
      <c r="W111" s="566"/>
      <c r="X111" s="564"/>
    </row>
    <row r="112" spans="1:24" x14ac:dyDescent="0.15">
      <c r="A112" s="243" t="str">
        <f t="shared" si="13"/>
        <v/>
      </c>
      <c r="B112" s="247" t="str">
        <f t="shared" si="14"/>
        <v/>
      </c>
      <c r="C112" s="245" t="str">
        <f t="shared" si="15"/>
        <v/>
      </c>
      <c r="D112" s="246" t="str">
        <f t="shared" si="16"/>
        <v/>
      </c>
      <c r="E112" s="566"/>
      <c r="F112" s="566"/>
      <c r="G112" s="566"/>
      <c r="H112" s="566">
        <v>108</v>
      </c>
      <c r="I112" s="566" t="str">
        <f>_xlfn.XLOOKUP(H112,Order!Q$12:Q$859,Order!C$12:C$859,"")</f>
        <v/>
      </c>
      <c r="J112" s="566" t="str">
        <f>_xlfn.XLOOKUP(H112,Order!Q$12:Q$859,Order!S$12:S$859,"")</f>
        <v/>
      </c>
      <c r="K112" s="566" t="str">
        <f>_xlfn.XLOOKUP(H112,Order!Q$12:Q$859,Order!P$12:P$859,"")</f>
        <v/>
      </c>
      <c r="L112" s="566" t="str">
        <f>_xlfn.XLOOKUP(H112,Order!Q$12:Q$859,Order!B$12:B$859,"")</f>
        <v/>
      </c>
      <c r="M112" s="566"/>
      <c r="N112" s="566"/>
      <c r="O112" s="566"/>
      <c r="P112" s="566"/>
      <c r="Q112" s="566"/>
      <c r="R112" s="566"/>
      <c r="S112" s="566"/>
      <c r="T112" s="566"/>
      <c r="U112" s="566"/>
      <c r="V112" s="566"/>
      <c r="W112" s="566"/>
      <c r="X112" s="564"/>
    </row>
    <row r="113" spans="1:24" x14ac:dyDescent="0.15">
      <c r="A113" s="243" t="str">
        <f t="shared" si="13"/>
        <v/>
      </c>
      <c r="B113" s="247" t="str">
        <f t="shared" si="14"/>
        <v/>
      </c>
      <c r="C113" s="245" t="str">
        <f t="shared" si="15"/>
        <v/>
      </c>
      <c r="D113" s="246" t="str">
        <f t="shared" si="16"/>
        <v/>
      </c>
      <c r="E113" s="566"/>
      <c r="F113" s="566"/>
      <c r="G113" s="566"/>
      <c r="H113" s="566">
        <v>109</v>
      </c>
      <c r="I113" s="566" t="str">
        <f>_xlfn.XLOOKUP(H113,Order!Q$12:Q$859,Order!C$12:C$859,"")</f>
        <v/>
      </c>
      <c r="J113" s="566" t="str">
        <f>_xlfn.XLOOKUP(H113,Order!Q$12:Q$859,Order!S$12:S$859,"")</f>
        <v/>
      </c>
      <c r="K113" s="566" t="str">
        <f>_xlfn.XLOOKUP(H113,Order!Q$12:Q$859,Order!P$12:P$859,"")</f>
        <v/>
      </c>
      <c r="L113" s="566" t="str">
        <f>_xlfn.XLOOKUP(H113,Order!Q$12:Q$859,Order!B$12:B$859,"")</f>
        <v/>
      </c>
      <c r="M113" s="566"/>
      <c r="N113" s="566"/>
      <c r="O113" s="566"/>
      <c r="P113" s="566"/>
      <c r="Q113" s="566"/>
      <c r="R113" s="566"/>
      <c r="S113" s="566"/>
      <c r="T113" s="566"/>
      <c r="U113" s="566"/>
      <c r="V113" s="566"/>
      <c r="W113" s="566"/>
      <c r="X113" s="564"/>
    </row>
    <row r="114" spans="1:24" x14ac:dyDescent="0.15">
      <c r="A114" s="243" t="str">
        <f t="shared" si="13"/>
        <v/>
      </c>
      <c r="B114" s="247" t="str">
        <f t="shared" si="14"/>
        <v/>
      </c>
      <c r="C114" s="245" t="str">
        <f t="shared" si="15"/>
        <v/>
      </c>
      <c r="D114" s="246" t="str">
        <f t="shared" si="16"/>
        <v/>
      </c>
      <c r="E114" s="566"/>
      <c r="F114" s="566"/>
      <c r="G114" s="566"/>
      <c r="H114" s="566">
        <v>110</v>
      </c>
      <c r="I114" s="566" t="str">
        <f>_xlfn.XLOOKUP(H114,Order!Q$12:Q$859,Order!C$12:C$859,"")</f>
        <v/>
      </c>
      <c r="J114" s="566" t="str">
        <f>_xlfn.XLOOKUP(H114,Order!Q$12:Q$859,Order!S$12:S$859,"")</f>
        <v/>
      </c>
      <c r="K114" s="566" t="str">
        <f>_xlfn.XLOOKUP(H114,Order!Q$12:Q$859,Order!P$12:P$859,"")</f>
        <v/>
      </c>
      <c r="L114" s="566" t="str">
        <f>_xlfn.XLOOKUP(H114,Order!Q$12:Q$859,Order!B$12:B$859,"")</f>
        <v/>
      </c>
      <c r="M114" s="566"/>
      <c r="N114" s="566"/>
      <c r="O114" s="566"/>
      <c r="P114" s="566"/>
      <c r="Q114" s="566"/>
      <c r="R114" s="566"/>
      <c r="S114" s="566"/>
      <c r="T114" s="566"/>
      <c r="U114" s="566"/>
      <c r="V114" s="566"/>
      <c r="W114" s="566"/>
      <c r="X114" s="564"/>
    </row>
    <row r="115" spans="1:24" x14ac:dyDescent="0.15">
      <c r="A115" s="243" t="str">
        <f t="shared" si="13"/>
        <v/>
      </c>
      <c r="B115" s="247" t="str">
        <f t="shared" si="14"/>
        <v/>
      </c>
      <c r="C115" s="245" t="str">
        <f t="shared" si="15"/>
        <v/>
      </c>
      <c r="D115" s="246" t="str">
        <f t="shared" si="16"/>
        <v/>
      </c>
      <c r="E115" s="566"/>
      <c r="F115" s="566"/>
      <c r="G115" s="566"/>
      <c r="H115" s="566">
        <v>111</v>
      </c>
      <c r="I115" s="566" t="str">
        <f>_xlfn.XLOOKUP(H115,Order!Q$12:Q$859,Order!C$12:C$859,"")</f>
        <v/>
      </c>
      <c r="J115" s="566" t="str">
        <f>_xlfn.XLOOKUP(H115,Order!Q$12:Q$859,Order!S$12:S$859,"")</f>
        <v/>
      </c>
      <c r="K115" s="566" t="str">
        <f>_xlfn.XLOOKUP(H115,Order!Q$12:Q$859,Order!P$12:P$859,"")</f>
        <v/>
      </c>
      <c r="L115" s="566" t="str">
        <f>_xlfn.XLOOKUP(H115,Order!Q$12:Q$859,Order!B$12:B$859,"")</f>
        <v/>
      </c>
      <c r="M115" s="566"/>
      <c r="N115" s="566"/>
      <c r="O115" s="566"/>
      <c r="P115" s="566"/>
      <c r="Q115" s="566"/>
      <c r="R115" s="566"/>
      <c r="S115" s="566"/>
      <c r="T115" s="566"/>
      <c r="U115" s="566"/>
      <c r="V115" s="566"/>
      <c r="W115" s="566"/>
      <c r="X115" s="564"/>
    </row>
    <row r="116" spans="1:24" x14ac:dyDescent="0.15">
      <c r="A116" s="243" t="str">
        <f t="shared" si="13"/>
        <v/>
      </c>
      <c r="B116" s="247" t="str">
        <f t="shared" si="14"/>
        <v/>
      </c>
      <c r="C116" s="245" t="str">
        <f t="shared" si="15"/>
        <v/>
      </c>
      <c r="D116" s="246" t="str">
        <f t="shared" si="16"/>
        <v/>
      </c>
      <c r="E116" s="566"/>
      <c r="F116" s="566"/>
      <c r="G116" s="566"/>
      <c r="H116" s="566">
        <v>112</v>
      </c>
      <c r="I116" s="566" t="str">
        <f>_xlfn.XLOOKUP(H116,Order!Q$12:Q$859,Order!C$12:C$859,"")</f>
        <v/>
      </c>
      <c r="J116" s="566" t="str">
        <f>_xlfn.XLOOKUP(H116,Order!Q$12:Q$859,Order!S$12:S$859,"")</f>
        <v/>
      </c>
      <c r="K116" s="566" t="str">
        <f>_xlfn.XLOOKUP(H116,Order!Q$12:Q$859,Order!P$12:P$859,"")</f>
        <v/>
      </c>
      <c r="L116" s="566" t="str">
        <f>_xlfn.XLOOKUP(H116,Order!Q$12:Q$859,Order!B$12:B$859,"")</f>
        <v/>
      </c>
      <c r="M116" s="566"/>
      <c r="N116" s="566"/>
      <c r="O116" s="566"/>
      <c r="P116" s="566"/>
      <c r="Q116" s="566"/>
      <c r="R116" s="566"/>
      <c r="S116" s="566"/>
      <c r="T116" s="566"/>
      <c r="U116" s="566"/>
      <c r="V116" s="566"/>
      <c r="W116" s="566"/>
      <c r="X116" s="564"/>
    </row>
    <row r="117" spans="1:24" x14ac:dyDescent="0.15">
      <c r="A117" s="243" t="str">
        <f t="shared" si="13"/>
        <v/>
      </c>
      <c r="B117" s="247" t="str">
        <f t="shared" si="14"/>
        <v/>
      </c>
      <c r="C117" s="245" t="str">
        <f t="shared" si="15"/>
        <v/>
      </c>
      <c r="D117" s="246" t="str">
        <f t="shared" si="16"/>
        <v/>
      </c>
      <c r="E117" s="566"/>
      <c r="F117" s="566"/>
      <c r="G117" s="566"/>
      <c r="H117" s="566">
        <v>113</v>
      </c>
      <c r="I117" s="566" t="str">
        <f>_xlfn.XLOOKUP(H117,Order!Q$12:Q$859,Order!C$12:C$859,"")</f>
        <v/>
      </c>
      <c r="J117" s="566" t="str">
        <f>_xlfn.XLOOKUP(H117,Order!Q$12:Q$859,Order!S$12:S$859,"")</f>
        <v/>
      </c>
      <c r="K117" s="566" t="str">
        <f>_xlfn.XLOOKUP(H117,Order!Q$12:Q$859,Order!P$12:P$859,"")</f>
        <v/>
      </c>
      <c r="L117" s="566" t="str">
        <f>_xlfn.XLOOKUP(H117,Order!Q$12:Q$859,Order!B$12:B$859,"")</f>
        <v/>
      </c>
      <c r="M117" s="566"/>
      <c r="N117" s="566"/>
      <c r="O117" s="566"/>
      <c r="P117" s="566"/>
      <c r="Q117" s="566"/>
      <c r="R117" s="566"/>
      <c r="S117" s="566"/>
      <c r="T117" s="566"/>
      <c r="U117" s="566"/>
      <c r="V117" s="566"/>
      <c r="W117" s="566"/>
      <c r="X117" s="564"/>
    </row>
    <row r="118" spans="1:24" x14ac:dyDescent="0.15">
      <c r="A118" s="243" t="str">
        <f t="shared" si="13"/>
        <v/>
      </c>
      <c r="B118" s="247" t="str">
        <f t="shared" si="14"/>
        <v/>
      </c>
      <c r="C118" s="245" t="str">
        <f t="shared" si="15"/>
        <v/>
      </c>
      <c r="D118" s="246" t="str">
        <f t="shared" si="16"/>
        <v/>
      </c>
      <c r="E118" s="566"/>
      <c r="F118" s="566"/>
      <c r="G118" s="566"/>
      <c r="H118" s="566">
        <v>114</v>
      </c>
      <c r="I118" s="566" t="str">
        <f>_xlfn.XLOOKUP(H118,Order!Q$12:Q$859,Order!C$12:C$859,"")</f>
        <v/>
      </c>
      <c r="J118" s="566" t="str">
        <f>_xlfn.XLOOKUP(H118,Order!Q$12:Q$859,Order!S$12:S$859,"")</f>
        <v/>
      </c>
      <c r="K118" s="566" t="str">
        <f>_xlfn.XLOOKUP(H118,Order!Q$12:Q$859,Order!P$12:P$859,"")</f>
        <v/>
      </c>
      <c r="L118" s="566" t="str">
        <f>_xlfn.XLOOKUP(H118,Order!Q$12:Q$859,Order!B$12:B$859,"")</f>
        <v/>
      </c>
      <c r="M118" s="566"/>
      <c r="N118" s="566"/>
      <c r="O118" s="566"/>
      <c r="P118" s="566"/>
      <c r="Q118" s="566"/>
      <c r="R118" s="566"/>
      <c r="S118" s="566"/>
      <c r="T118" s="566"/>
      <c r="U118" s="566"/>
      <c r="V118" s="566"/>
      <c r="W118" s="566"/>
      <c r="X118" s="564"/>
    </row>
    <row r="119" spans="1:24" x14ac:dyDescent="0.15">
      <c r="A119" s="243" t="str">
        <f t="shared" si="13"/>
        <v/>
      </c>
      <c r="B119" s="247" t="str">
        <f t="shared" si="14"/>
        <v/>
      </c>
      <c r="C119" s="245" t="str">
        <f t="shared" si="15"/>
        <v/>
      </c>
      <c r="D119" s="246" t="str">
        <f t="shared" si="16"/>
        <v/>
      </c>
      <c r="E119" s="566"/>
      <c r="F119" s="566"/>
      <c r="G119" s="566"/>
      <c r="H119" s="566">
        <v>115</v>
      </c>
      <c r="I119" s="566" t="str">
        <f>_xlfn.XLOOKUP(H119,Order!Q$12:Q$859,Order!C$12:C$859,"")</f>
        <v/>
      </c>
      <c r="J119" s="566" t="str">
        <f>_xlfn.XLOOKUP(H119,Order!Q$12:Q$859,Order!S$12:S$859,"")</f>
        <v/>
      </c>
      <c r="K119" s="566" t="str">
        <f>_xlfn.XLOOKUP(H119,Order!Q$12:Q$859,Order!P$12:P$859,"")</f>
        <v/>
      </c>
      <c r="L119" s="566" t="str">
        <f>_xlfn.XLOOKUP(H119,Order!Q$12:Q$859,Order!B$12:B$859,"")</f>
        <v/>
      </c>
      <c r="M119" s="566"/>
      <c r="N119" s="566"/>
      <c r="O119" s="566"/>
      <c r="P119" s="566"/>
      <c r="Q119" s="566"/>
      <c r="R119" s="566"/>
      <c r="S119" s="566"/>
      <c r="T119" s="566"/>
      <c r="U119" s="566"/>
      <c r="V119" s="566"/>
      <c r="W119" s="566"/>
      <c r="X119" s="564"/>
    </row>
    <row r="120" spans="1:24" x14ac:dyDescent="0.15">
      <c r="A120" s="243" t="str">
        <f t="shared" si="13"/>
        <v/>
      </c>
      <c r="B120" s="247" t="str">
        <f t="shared" si="14"/>
        <v/>
      </c>
      <c r="C120" s="245" t="str">
        <f t="shared" si="15"/>
        <v/>
      </c>
      <c r="D120" s="246" t="str">
        <f t="shared" si="16"/>
        <v/>
      </c>
      <c r="E120" s="566"/>
      <c r="F120" s="566"/>
      <c r="G120" s="566"/>
      <c r="H120" s="566">
        <v>116</v>
      </c>
      <c r="I120" s="566" t="str">
        <f>_xlfn.XLOOKUP(H120,Order!Q$12:Q$859,Order!C$12:C$859,"")</f>
        <v/>
      </c>
      <c r="J120" s="566" t="str">
        <f>_xlfn.XLOOKUP(H120,Order!Q$12:Q$859,Order!S$12:S$859,"")</f>
        <v/>
      </c>
      <c r="K120" s="566" t="str">
        <f>_xlfn.XLOOKUP(H120,Order!Q$12:Q$859,Order!P$12:P$859,"")</f>
        <v/>
      </c>
      <c r="L120" s="566" t="str">
        <f>_xlfn.XLOOKUP(H120,Order!Q$12:Q$859,Order!B$12:B$859,"")</f>
        <v/>
      </c>
      <c r="M120" s="566"/>
      <c r="N120" s="566"/>
      <c r="O120" s="566"/>
      <c r="P120" s="566"/>
      <c r="Q120" s="566"/>
      <c r="R120" s="566"/>
      <c r="S120" s="566"/>
      <c r="T120" s="566"/>
      <c r="U120" s="566"/>
      <c r="V120" s="566"/>
      <c r="W120" s="566"/>
      <c r="X120" s="564"/>
    </row>
    <row r="121" spans="1:24" x14ac:dyDescent="0.15">
      <c r="A121" s="243" t="str">
        <f t="shared" si="13"/>
        <v/>
      </c>
      <c r="B121" s="247" t="str">
        <f t="shared" si="14"/>
        <v/>
      </c>
      <c r="C121" s="245" t="str">
        <f t="shared" si="15"/>
        <v/>
      </c>
      <c r="D121" s="246" t="str">
        <f t="shared" si="16"/>
        <v/>
      </c>
      <c r="E121" s="566"/>
      <c r="F121" s="566"/>
      <c r="G121" s="566"/>
      <c r="H121" s="566">
        <v>117</v>
      </c>
      <c r="I121" s="566" t="str">
        <f>_xlfn.XLOOKUP(H121,Order!Q$12:Q$859,Order!C$12:C$859,"")</f>
        <v/>
      </c>
      <c r="J121" s="566" t="str">
        <f>_xlfn.XLOOKUP(H121,Order!Q$12:Q$859,Order!S$12:S$859,"")</f>
        <v/>
      </c>
      <c r="K121" s="566" t="str">
        <f>_xlfn.XLOOKUP(H121,Order!Q$12:Q$859,Order!P$12:P$859,"")</f>
        <v/>
      </c>
      <c r="L121" s="566" t="str">
        <f>_xlfn.XLOOKUP(H121,Order!Q$12:Q$859,Order!B$12:B$859,"")</f>
        <v/>
      </c>
      <c r="M121" s="566"/>
      <c r="N121" s="566"/>
      <c r="O121" s="566"/>
      <c r="P121" s="566"/>
      <c r="Q121" s="566"/>
      <c r="R121" s="566"/>
      <c r="S121" s="566"/>
      <c r="T121" s="566"/>
      <c r="U121" s="566"/>
      <c r="V121" s="566"/>
      <c r="W121" s="566"/>
      <c r="X121" s="564"/>
    </row>
    <row r="122" spans="1:24" x14ac:dyDescent="0.15">
      <c r="A122" s="243" t="str">
        <f t="shared" si="13"/>
        <v/>
      </c>
      <c r="B122" s="247" t="str">
        <f t="shared" si="14"/>
        <v/>
      </c>
      <c r="C122" s="245" t="str">
        <f t="shared" si="15"/>
        <v/>
      </c>
      <c r="D122" s="246" t="str">
        <f t="shared" si="16"/>
        <v/>
      </c>
      <c r="E122" s="566"/>
      <c r="F122" s="566"/>
      <c r="G122" s="566"/>
      <c r="H122" s="566">
        <v>118</v>
      </c>
      <c r="I122" s="566" t="str">
        <f>_xlfn.XLOOKUP(H122,Order!Q$12:Q$859,Order!C$12:C$859,"")</f>
        <v/>
      </c>
      <c r="J122" s="566" t="str">
        <f>_xlfn.XLOOKUP(H122,Order!Q$12:Q$859,Order!S$12:S$859,"")</f>
        <v/>
      </c>
      <c r="K122" s="566" t="str">
        <f>_xlfn.XLOOKUP(H122,Order!Q$12:Q$859,Order!P$12:P$859,"")</f>
        <v/>
      </c>
      <c r="L122" s="566" t="str">
        <f>_xlfn.XLOOKUP(H122,Order!Q$12:Q$859,Order!B$12:B$859,"")</f>
        <v/>
      </c>
      <c r="M122" s="566"/>
      <c r="N122" s="566"/>
      <c r="O122" s="566"/>
      <c r="P122" s="566"/>
      <c r="Q122" s="566"/>
      <c r="R122" s="566"/>
      <c r="S122" s="566"/>
      <c r="T122" s="566"/>
      <c r="U122" s="566"/>
      <c r="V122" s="566"/>
      <c r="W122" s="566"/>
      <c r="X122" s="564"/>
    </row>
    <row r="123" spans="1:24" x14ac:dyDescent="0.15">
      <c r="A123" s="243" t="str">
        <f t="shared" si="13"/>
        <v/>
      </c>
      <c r="B123" s="247" t="str">
        <f t="shared" si="14"/>
        <v/>
      </c>
      <c r="C123" s="245" t="str">
        <f t="shared" si="15"/>
        <v/>
      </c>
      <c r="D123" s="246" t="str">
        <f t="shared" si="16"/>
        <v/>
      </c>
      <c r="E123" s="566"/>
      <c r="F123" s="566"/>
      <c r="G123" s="566"/>
      <c r="H123" s="566">
        <v>119</v>
      </c>
      <c r="I123" s="566" t="str">
        <f>_xlfn.XLOOKUP(H123,Order!Q$12:Q$859,Order!C$12:C$859,"")</f>
        <v/>
      </c>
      <c r="J123" s="566" t="str">
        <f>_xlfn.XLOOKUP(H123,Order!Q$12:Q$859,Order!S$12:S$859,"")</f>
        <v/>
      </c>
      <c r="K123" s="566" t="str">
        <f>_xlfn.XLOOKUP(H123,Order!Q$12:Q$859,Order!P$12:P$859,"")</f>
        <v/>
      </c>
      <c r="L123" s="566" t="str">
        <f>_xlfn.XLOOKUP(H123,Order!Q$12:Q$859,Order!B$12:B$859,"")</f>
        <v/>
      </c>
      <c r="M123" s="566"/>
      <c r="N123" s="566"/>
      <c r="O123" s="566"/>
      <c r="P123" s="566"/>
      <c r="Q123" s="566"/>
      <c r="R123" s="566"/>
      <c r="S123" s="566"/>
      <c r="T123" s="566"/>
      <c r="U123" s="566"/>
      <c r="V123" s="566"/>
      <c r="W123" s="566"/>
      <c r="X123" s="564"/>
    </row>
    <row r="124" spans="1:24" x14ac:dyDescent="0.15">
      <c r="A124" s="243" t="str">
        <f t="shared" si="13"/>
        <v/>
      </c>
      <c r="B124" s="247" t="str">
        <f t="shared" si="14"/>
        <v/>
      </c>
      <c r="C124" s="245" t="str">
        <f t="shared" si="15"/>
        <v/>
      </c>
      <c r="D124" s="246" t="str">
        <f t="shared" si="16"/>
        <v/>
      </c>
      <c r="E124" s="566"/>
      <c r="F124" s="566"/>
      <c r="G124" s="566"/>
      <c r="H124" s="566">
        <v>120</v>
      </c>
      <c r="I124" s="566" t="str">
        <f>_xlfn.XLOOKUP(H124,Order!Q$12:Q$859,Order!C$12:C$859,"")</f>
        <v/>
      </c>
      <c r="J124" s="566" t="str">
        <f>_xlfn.XLOOKUP(H124,Order!Q$12:Q$859,Order!S$12:S$859,"")</f>
        <v/>
      </c>
      <c r="K124" s="566" t="str">
        <f>_xlfn.XLOOKUP(H124,Order!Q$12:Q$859,Order!P$12:P$859,"")</f>
        <v/>
      </c>
      <c r="L124" s="566" t="str">
        <f>_xlfn.XLOOKUP(H124,Order!Q$12:Q$859,Order!B$12:B$859,"")</f>
        <v/>
      </c>
      <c r="M124" s="566"/>
      <c r="N124" s="566"/>
      <c r="O124" s="566"/>
      <c r="P124" s="566"/>
      <c r="Q124" s="566"/>
      <c r="R124" s="566"/>
      <c r="S124" s="566"/>
      <c r="T124" s="566"/>
      <c r="U124" s="566"/>
      <c r="V124" s="566"/>
      <c r="W124" s="566"/>
      <c r="X124" s="564"/>
    </row>
    <row r="125" spans="1:24" x14ac:dyDescent="0.15">
      <c r="A125" s="243" t="str">
        <f t="shared" si="13"/>
        <v/>
      </c>
      <c r="B125" s="247" t="str">
        <f t="shared" si="14"/>
        <v/>
      </c>
      <c r="C125" s="245" t="str">
        <f t="shared" si="15"/>
        <v/>
      </c>
      <c r="D125" s="246" t="str">
        <f t="shared" si="16"/>
        <v/>
      </c>
      <c r="E125" s="566"/>
      <c r="F125" s="566"/>
      <c r="G125" s="566"/>
      <c r="H125" s="566">
        <v>121</v>
      </c>
      <c r="I125" s="566" t="str">
        <f>_xlfn.XLOOKUP(H125,Order!Q$12:Q$859,Order!C$12:C$859,"")</f>
        <v/>
      </c>
      <c r="J125" s="566" t="str">
        <f>_xlfn.XLOOKUP(H125,Order!Q$12:Q$859,Order!S$12:S$859,"")</f>
        <v/>
      </c>
      <c r="K125" s="566" t="str">
        <f>_xlfn.XLOOKUP(H125,Order!Q$12:Q$859,Order!P$12:P$859,"")</f>
        <v/>
      </c>
      <c r="L125" s="566" t="str">
        <f>_xlfn.XLOOKUP(H125,Order!Q$12:Q$859,Order!B$12:B$859,"")</f>
        <v/>
      </c>
      <c r="M125" s="566"/>
      <c r="N125" s="566"/>
      <c r="O125" s="566"/>
      <c r="P125" s="566"/>
      <c r="Q125" s="566"/>
      <c r="R125" s="566"/>
      <c r="S125" s="566"/>
      <c r="T125" s="566"/>
      <c r="U125" s="566"/>
      <c r="V125" s="566"/>
      <c r="W125" s="566"/>
      <c r="X125" s="564"/>
    </row>
    <row r="126" spans="1:24" x14ac:dyDescent="0.15">
      <c r="A126" s="243" t="str">
        <f t="shared" si="13"/>
        <v/>
      </c>
      <c r="B126" s="247" t="str">
        <f t="shared" si="14"/>
        <v/>
      </c>
      <c r="C126" s="245" t="str">
        <f t="shared" si="15"/>
        <v/>
      </c>
      <c r="D126" s="246" t="str">
        <f t="shared" si="16"/>
        <v/>
      </c>
      <c r="E126" s="566"/>
      <c r="F126" s="566"/>
      <c r="G126" s="566"/>
      <c r="H126" s="566">
        <v>122</v>
      </c>
      <c r="I126" s="566" t="str">
        <f>_xlfn.XLOOKUP(H126,Order!Q$12:Q$859,Order!C$12:C$859,"")</f>
        <v/>
      </c>
      <c r="J126" s="566" t="str">
        <f>_xlfn.XLOOKUP(H126,Order!Q$12:Q$859,Order!S$12:S$859,"")</f>
        <v/>
      </c>
      <c r="K126" s="566" t="str">
        <f>_xlfn.XLOOKUP(H126,Order!Q$12:Q$859,Order!P$12:P$859,"")</f>
        <v/>
      </c>
      <c r="L126" s="566" t="str">
        <f>_xlfn.XLOOKUP(H126,Order!Q$12:Q$859,Order!B$12:B$859,"")</f>
        <v/>
      </c>
      <c r="M126" s="566"/>
      <c r="N126" s="566"/>
      <c r="O126" s="566"/>
      <c r="P126" s="566"/>
      <c r="Q126" s="566"/>
      <c r="R126" s="566"/>
      <c r="S126" s="566"/>
      <c r="T126" s="566"/>
      <c r="U126" s="566"/>
      <c r="V126" s="566"/>
      <c r="W126" s="566"/>
      <c r="X126" s="564"/>
    </row>
    <row r="127" spans="1:24" x14ac:dyDescent="0.15">
      <c r="A127" s="243" t="str">
        <f t="shared" si="13"/>
        <v/>
      </c>
      <c r="B127" s="247" t="str">
        <f t="shared" si="14"/>
        <v/>
      </c>
      <c r="C127" s="245" t="str">
        <f t="shared" si="15"/>
        <v/>
      </c>
      <c r="D127" s="246" t="str">
        <f t="shared" si="16"/>
        <v/>
      </c>
      <c r="E127" s="566"/>
      <c r="F127" s="566"/>
      <c r="G127" s="566"/>
      <c r="H127" s="566">
        <v>123</v>
      </c>
      <c r="I127" s="566" t="str">
        <f>_xlfn.XLOOKUP(H127,Order!Q$12:Q$859,Order!C$12:C$859,"")</f>
        <v/>
      </c>
      <c r="J127" s="566" t="str">
        <f>_xlfn.XLOOKUP(H127,Order!Q$12:Q$859,Order!S$12:S$859,"")</f>
        <v/>
      </c>
      <c r="K127" s="566" t="str">
        <f>_xlfn.XLOOKUP(H127,Order!Q$12:Q$859,Order!P$12:P$859,"")</f>
        <v/>
      </c>
      <c r="L127" s="566" t="str">
        <f>_xlfn.XLOOKUP(H127,Order!Q$12:Q$859,Order!B$12:B$859,"")</f>
        <v/>
      </c>
      <c r="M127" s="566"/>
      <c r="N127" s="566"/>
      <c r="O127" s="566"/>
      <c r="P127" s="566"/>
      <c r="Q127" s="566"/>
      <c r="R127" s="566"/>
      <c r="S127" s="566"/>
      <c r="T127" s="566"/>
      <c r="U127" s="566"/>
      <c r="V127" s="566"/>
      <c r="W127" s="566"/>
      <c r="X127" s="564"/>
    </row>
    <row r="128" spans="1:24" x14ac:dyDescent="0.15">
      <c r="A128" s="243" t="str">
        <f t="shared" si="13"/>
        <v/>
      </c>
      <c r="B128" s="247" t="str">
        <f t="shared" si="14"/>
        <v/>
      </c>
      <c r="C128" s="245" t="str">
        <f t="shared" si="15"/>
        <v/>
      </c>
      <c r="D128" s="246" t="str">
        <f t="shared" si="16"/>
        <v/>
      </c>
      <c r="E128" s="566"/>
      <c r="F128" s="566"/>
      <c r="G128" s="566"/>
      <c r="H128" s="566">
        <v>124</v>
      </c>
      <c r="I128" s="566" t="str">
        <f>_xlfn.XLOOKUP(H128,Order!Q$12:Q$859,Order!C$12:C$859,"")</f>
        <v/>
      </c>
      <c r="J128" s="566" t="str">
        <f>_xlfn.XLOOKUP(H128,Order!Q$12:Q$859,Order!S$12:S$859,"")</f>
        <v/>
      </c>
      <c r="K128" s="566" t="str">
        <f>_xlfn.XLOOKUP(H128,Order!Q$12:Q$859,Order!P$12:P$859,"")</f>
        <v/>
      </c>
      <c r="L128" s="566" t="str">
        <f>_xlfn.XLOOKUP(H128,Order!Q$12:Q$859,Order!B$12:B$859,"")</f>
        <v/>
      </c>
      <c r="M128" s="566"/>
      <c r="N128" s="566"/>
      <c r="O128" s="566"/>
      <c r="P128" s="566"/>
      <c r="Q128" s="566"/>
      <c r="R128" s="566"/>
      <c r="S128" s="566"/>
      <c r="T128" s="566"/>
      <c r="U128" s="566"/>
      <c r="V128" s="566"/>
      <c r="W128" s="566"/>
      <c r="X128" s="564"/>
    </row>
    <row r="129" spans="1:24" x14ac:dyDescent="0.15">
      <c r="A129" s="243" t="str">
        <f t="shared" si="13"/>
        <v/>
      </c>
      <c r="B129" s="247" t="str">
        <f t="shared" si="14"/>
        <v/>
      </c>
      <c r="C129" s="245" t="str">
        <f t="shared" si="15"/>
        <v/>
      </c>
      <c r="D129" s="246" t="str">
        <f t="shared" si="16"/>
        <v/>
      </c>
      <c r="E129" s="566"/>
      <c r="F129" s="566"/>
      <c r="G129" s="566"/>
      <c r="H129" s="566">
        <v>125</v>
      </c>
      <c r="I129" s="566" t="str">
        <f>_xlfn.XLOOKUP(H129,Order!Q$12:Q$859,Order!C$12:C$859,"")</f>
        <v/>
      </c>
      <c r="J129" s="566" t="str">
        <f>_xlfn.XLOOKUP(H129,Order!Q$12:Q$859,Order!S$12:S$859,"")</f>
        <v/>
      </c>
      <c r="K129" s="566" t="str">
        <f>_xlfn.XLOOKUP(H129,Order!Q$12:Q$859,Order!P$12:P$859,"")</f>
        <v/>
      </c>
      <c r="L129" s="566" t="str">
        <f>_xlfn.XLOOKUP(H129,Order!Q$12:Q$859,Order!B$12:B$859,"")</f>
        <v/>
      </c>
      <c r="M129" s="566"/>
      <c r="N129" s="566"/>
      <c r="O129" s="566"/>
      <c r="P129" s="566"/>
      <c r="Q129" s="566"/>
      <c r="R129" s="566"/>
      <c r="S129" s="566"/>
      <c r="T129" s="566"/>
      <c r="U129" s="566"/>
      <c r="V129" s="566"/>
      <c r="W129" s="566"/>
      <c r="X129" s="564"/>
    </row>
    <row r="130" spans="1:24" x14ac:dyDescent="0.15">
      <c r="A130" s="243" t="str">
        <f t="shared" si="13"/>
        <v/>
      </c>
      <c r="B130" s="247" t="str">
        <f t="shared" si="14"/>
        <v/>
      </c>
      <c r="C130" s="245" t="str">
        <f t="shared" si="15"/>
        <v/>
      </c>
      <c r="D130" s="246" t="str">
        <f t="shared" si="16"/>
        <v/>
      </c>
      <c r="E130" s="566"/>
      <c r="F130" s="566"/>
      <c r="G130" s="566"/>
      <c r="H130" s="566">
        <v>126</v>
      </c>
      <c r="I130" s="566" t="str">
        <f>_xlfn.XLOOKUP(H130,Order!Q$12:Q$859,Order!C$12:C$859,"")</f>
        <v/>
      </c>
      <c r="J130" s="566" t="str">
        <f>_xlfn.XLOOKUP(H130,Order!Q$12:Q$859,Order!S$12:S$859,"")</f>
        <v/>
      </c>
      <c r="K130" s="566" t="str">
        <f>_xlfn.XLOOKUP(H130,Order!Q$12:Q$859,Order!P$12:P$859,"")</f>
        <v/>
      </c>
      <c r="L130" s="566" t="str">
        <f>_xlfn.XLOOKUP(H130,Order!Q$12:Q$859,Order!B$12:B$859,"")</f>
        <v/>
      </c>
      <c r="M130" s="566"/>
      <c r="N130" s="566"/>
      <c r="O130" s="566"/>
      <c r="P130" s="566"/>
      <c r="Q130" s="566"/>
      <c r="R130" s="566"/>
      <c r="S130" s="566"/>
      <c r="T130" s="566"/>
      <c r="U130" s="566"/>
      <c r="V130" s="566"/>
      <c r="W130" s="566"/>
      <c r="X130" s="564"/>
    </row>
    <row r="131" spans="1:24" x14ac:dyDescent="0.15">
      <c r="A131" s="243" t="str">
        <f t="shared" si="13"/>
        <v/>
      </c>
      <c r="B131" s="247" t="str">
        <f t="shared" si="14"/>
        <v/>
      </c>
      <c r="C131" s="245" t="str">
        <f t="shared" si="15"/>
        <v/>
      </c>
      <c r="D131" s="246" t="str">
        <f t="shared" si="16"/>
        <v/>
      </c>
      <c r="E131" s="566"/>
      <c r="F131" s="566"/>
      <c r="G131" s="566"/>
      <c r="H131" s="566">
        <v>127</v>
      </c>
      <c r="I131" s="566" t="str">
        <f>_xlfn.XLOOKUP(H131,Order!Q$12:Q$859,Order!C$12:C$859,"")</f>
        <v/>
      </c>
      <c r="J131" s="566" t="str">
        <f>_xlfn.XLOOKUP(H131,Order!Q$12:Q$859,Order!S$12:S$859,"")</f>
        <v/>
      </c>
      <c r="K131" s="566" t="str">
        <f>_xlfn.XLOOKUP(H131,Order!Q$12:Q$859,Order!P$12:P$859,"")</f>
        <v/>
      </c>
      <c r="L131" s="566" t="str">
        <f>_xlfn.XLOOKUP(H131,Order!Q$12:Q$859,Order!B$12:B$859,"")</f>
        <v/>
      </c>
      <c r="M131" s="566"/>
      <c r="N131" s="566"/>
      <c r="O131" s="566"/>
      <c r="P131" s="566"/>
      <c r="Q131" s="566"/>
      <c r="R131" s="566"/>
      <c r="S131" s="566"/>
      <c r="T131" s="566"/>
      <c r="U131" s="566"/>
      <c r="V131" s="566"/>
      <c r="W131" s="566"/>
      <c r="X131" s="564"/>
    </row>
    <row r="132" spans="1:24" x14ac:dyDescent="0.15">
      <c r="A132" s="243" t="str">
        <f t="shared" si="13"/>
        <v/>
      </c>
      <c r="B132" s="247" t="str">
        <f t="shared" si="14"/>
        <v/>
      </c>
      <c r="C132" s="245" t="str">
        <f t="shared" si="15"/>
        <v/>
      </c>
      <c r="D132" s="246" t="str">
        <f t="shared" si="16"/>
        <v/>
      </c>
      <c r="E132" s="566"/>
      <c r="F132" s="566"/>
      <c r="G132" s="566"/>
      <c r="H132" s="566">
        <v>128</v>
      </c>
      <c r="I132" s="566" t="str">
        <f>_xlfn.XLOOKUP(H132,Order!Q$12:Q$859,Order!C$12:C$859,"")</f>
        <v/>
      </c>
      <c r="J132" s="566" t="str">
        <f>_xlfn.XLOOKUP(H132,Order!Q$12:Q$859,Order!S$12:S$859,"")</f>
        <v/>
      </c>
      <c r="K132" s="566" t="str">
        <f>_xlfn.XLOOKUP(H132,Order!Q$12:Q$859,Order!P$12:P$859,"")</f>
        <v/>
      </c>
      <c r="L132" s="566" t="str">
        <f>_xlfn.XLOOKUP(H132,Order!Q$12:Q$859,Order!B$12:B$859,"")</f>
        <v/>
      </c>
      <c r="M132" s="566"/>
      <c r="N132" s="566"/>
      <c r="O132" s="566"/>
      <c r="P132" s="566"/>
      <c r="Q132" s="566"/>
      <c r="R132" s="566"/>
      <c r="S132" s="566"/>
      <c r="T132" s="566"/>
      <c r="U132" s="566"/>
      <c r="V132" s="566"/>
      <c r="W132" s="566"/>
      <c r="X132" s="564"/>
    </row>
    <row r="133" spans="1:24" x14ac:dyDescent="0.15">
      <c r="A133" s="243" t="str">
        <f t="shared" si="13"/>
        <v/>
      </c>
      <c r="B133" s="247" t="str">
        <f t="shared" si="14"/>
        <v/>
      </c>
      <c r="C133" s="245" t="str">
        <f t="shared" si="15"/>
        <v/>
      </c>
      <c r="D133" s="246" t="str">
        <f t="shared" si="16"/>
        <v/>
      </c>
      <c r="E133" s="566"/>
      <c r="F133" s="566"/>
      <c r="G133" s="566"/>
      <c r="H133" s="566">
        <v>129</v>
      </c>
      <c r="I133" s="566" t="str">
        <f>_xlfn.XLOOKUP(H133,Order!Q$12:Q$859,Order!C$12:C$859,"")</f>
        <v/>
      </c>
      <c r="J133" s="566" t="str">
        <f>_xlfn.XLOOKUP(H133,Order!Q$12:Q$859,Order!S$12:S$859,"")</f>
        <v/>
      </c>
      <c r="K133" s="566" t="str">
        <f>_xlfn.XLOOKUP(H133,Order!Q$12:Q$859,Order!P$12:P$859,"")</f>
        <v/>
      </c>
      <c r="L133" s="566" t="str">
        <f>_xlfn.XLOOKUP(H133,Order!Q$12:Q$859,Order!B$12:B$859,"")</f>
        <v/>
      </c>
      <c r="M133" s="566"/>
      <c r="N133" s="566"/>
      <c r="O133" s="566"/>
      <c r="P133" s="566"/>
      <c r="Q133" s="566"/>
      <c r="R133" s="566"/>
      <c r="S133" s="566"/>
      <c r="T133" s="566"/>
      <c r="U133" s="566"/>
      <c r="V133" s="566"/>
      <c r="W133" s="566"/>
      <c r="X133" s="564"/>
    </row>
    <row r="134" spans="1:24" x14ac:dyDescent="0.15">
      <c r="A134" s="243" t="str">
        <f t="shared" ref="A134:A164" si="17">IF(K134=0,"",IF(K134=K133,"",K134))</f>
        <v/>
      </c>
      <c r="B134" s="247" t="str">
        <f t="shared" ref="B134:B164" si="18">IF(I134=I133,"",I134)</f>
        <v/>
      </c>
      <c r="C134" s="245" t="str">
        <f t="shared" ref="C134:C164" si="19">IF(I134=I133,"",J134)</f>
        <v/>
      </c>
      <c r="D134" s="246" t="str">
        <f t="shared" ref="D134:D164" si="20">IF(I134=I133,"",L134)</f>
        <v/>
      </c>
      <c r="E134" s="566"/>
      <c r="F134" s="566"/>
      <c r="G134" s="566"/>
      <c r="H134" s="566">
        <v>130</v>
      </c>
      <c r="I134" s="566" t="str">
        <f>_xlfn.XLOOKUP(H134,Order!Q$12:Q$859,Order!C$12:C$859,"")</f>
        <v/>
      </c>
      <c r="J134" s="566" t="str">
        <f>_xlfn.XLOOKUP(H134,Order!Q$12:Q$859,Order!S$12:S$859,"")</f>
        <v/>
      </c>
      <c r="K134" s="566" t="str">
        <f>_xlfn.XLOOKUP(H134,Order!Q$12:Q$859,Order!P$12:P$859,"")</f>
        <v/>
      </c>
      <c r="L134" s="566" t="str">
        <f>_xlfn.XLOOKUP(H134,Order!Q$12:Q$859,Order!B$12:B$859,"")</f>
        <v/>
      </c>
      <c r="M134" s="566"/>
      <c r="N134" s="566"/>
      <c r="O134" s="566"/>
      <c r="P134" s="566"/>
      <c r="Q134" s="566"/>
      <c r="R134" s="566"/>
      <c r="S134" s="566"/>
      <c r="T134" s="566"/>
      <c r="U134" s="566"/>
      <c r="V134" s="566"/>
      <c r="W134" s="566"/>
      <c r="X134" s="564"/>
    </row>
    <row r="135" spans="1:24" x14ac:dyDescent="0.15">
      <c r="A135" s="243" t="str">
        <f t="shared" si="17"/>
        <v/>
      </c>
      <c r="B135" s="247" t="str">
        <f t="shared" si="18"/>
        <v/>
      </c>
      <c r="C135" s="245" t="str">
        <f t="shared" si="19"/>
        <v/>
      </c>
      <c r="D135" s="246" t="str">
        <f t="shared" si="20"/>
        <v/>
      </c>
      <c r="E135" s="566"/>
      <c r="F135" s="566"/>
      <c r="G135" s="566"/>
      <c r="H135" s="566">
        <v>131</v>
      </c>
      <c r="I135" s="566" t="str">
        <f>_xlfn.XLOOKUP(H135,Order!Q$12:Q$859,Order!C$12:C$859,"")</f>
        <v/>
      </c>
      <c r="J135" s="566" t="str">
        <f>_xlfn.XLOOKUP(H135,Order!Q$12:Q$859,Order!S$12:S$859,"")</f>
        <v/>
      </c>
      <c r="K135" s="566" t="str">
        <f>_xlfn.XLOOKUP(H135,Order!Q$12:Q$859,Order!P$12:P$859,"")</f>
        <v/>
      </c>
      <c r="L135" s="566" t="str">
        <f>_xlfn.XLOOKUP(H135,Order!Q$12:Q$859,Order!B$12:B$859,"")</f>
        <v/>
      </c>
      <c r="M135" s="566"/>
      <c r="N135" s="566"/>
      <c r="O135" s="566"/>
      <c r="P135" s="566"/>
      <c r="Q135" s="566"/>
      <c r="R135" s="566"/>
      <c r="S135" s="566"/>
      <c r="T135" s="566"/>
      <c r="U135" s="566"/>
      <c r="V135" s="566"/>
      <c r="W135" s="566"/>
      <c r="X135" s="564"/>
    </row>
    <row r="136" spans="1:24" x14ac:dyDescent="0.15">
      <c r="A136" s="243" t="str">
        <f t="shared" si="17"/>
        <v/>
      </c>
      <c r="B136" s="247" t="str">
        <f t="shared" si="18"/>
        <v/>
      </c>
      <c r="C136" s="245" t="str">
        <f t="shared" si="19"/>
        <v/>
      </c>
      <c r="D136" s="246" t="str">
        <f t="shared" si="20"/>
        <v/>
      </c>
      <c r="E136" s="566"/>
      <c r="F136" s="566"/>
      <c r="G136" s="566"/>
      <c r="H136" s="566">
        <v>132</v>
      </c>
      <c r="I136" s="566" t="str">
        <f>_xlfn.XLOOKUP(H136,Order!Q$12:Q$859,Order!C$12:C$859,"")</f>
        <v/>
      </c>
      <c r="J136" s="566" t="str">
        <f>_xlfn.XLOOKUP(H136,Order!Q$12:Q$859,Order!S$12:S$859,"")</f>
        <v/>
      </c>
      <c r="K136" s="566" t="str">
        <f>_xlfn.XLOOKUP(H136,Order!Q$12:Q$859,Order!P$12:P$859,"")</f>
        <v/>
      </c>
      <c r="L136" s="566" t="str">
        <f>_xlfn.XLOOKUP(H136,Order!Q$12:Q$859,Order!B$12:B$859,"")</f>
        <v/>
      </c>
      <c r="M136" s="566"/>
      <c r="N136" s="566"/>
      <c r="O136" s="566"/>
      <c r="P136" s="566"/>
      <c r="Q136" s="566"/>
      <c r="R136" s="566"/>
      <c r="S136" s="566"/>
      <c r="T136" s="566"/>
      <c r="U136" s="566"/>
      <c r="V136" s="566"/>
      <c r="W136" s="566"/>
      <c r="X136" s="564"/>
    </row>
    <row r="137" spans="1:24" x14ac:dyDescent="0.15">
      <c r="A137" s="243" t="str">
        <f t="shared" si="17"/>
        <v/>
      </c>
      <c r="B137" s="247" t="str">
        <f t="shared" si="18"/>
        <v/>
      </c>
      <c r="C137" s="245" t="str">
        <f t="shared" si="19"/>
        <v/>
      </c>
      <c r="D137" s="246" t="str">
        <f t="shared" si="20"/>
        <v/>
      </c>
      <c r="E137" s="566"/>
      <c r="F137" s="566"/>
      <c r="G137" s="566"/>
      <c r="H137" s="566">
        <v>133</v>
      </c>
      <c r="I137" s="566" t="str">
        <f>_xlfn.XLOOKUP(H137,Order!Q$12:Q$859,Order!C$12:C$859,"")</f>
        <v/>
      </c>
      <c r="J137" s="566" t="str">
        <f>_xlfn.XLOOKUP(H137,Order!Q$12:Q$859,Order!S$12:S$859,"")</f>
        <v/>
      </c>
      <c r="K137" s="566" t="str">
        <f>_xlfn.XLOOKUP(H137,Order!Q$12:Q$859,Order!P$12:P$859,"")</f>
        <v/>
      </c>
      <c r="L137" s="566" t="str">
        <f>_xlfn.XLOOKUP(H137,Order!Q$12:Q$859,Order!B$12:B$859,"")</f>
        <v/>
      </c>
      <c r="M137" s="566"/>
      <c r="N137" s="566"/>
      <c r="O137" s="566"/>
      <c r="P137" s="566"/>
      <c r="Q137" s="566"/>
      <c r="R137" s="566"/>
      <c r="S137" s="566"/>
      <c r="T137" s="566"/>
      <c r="U137" s="566"/>
      <c r="V137" s="566"/>
      <c r="W137" s="566"/>
    </row>
    <row r="138" spans="1:24" x14ac:dyDescent="0.15">
      <c r="A138" s="243" t="str">
        <f t="shared" si="17"/>
        <v/>
      </c>
      <c r="B138" s="247" t="str">
        <f t="shared" si="18"/>
        <v/>
      </c>
      <c r="C138" s="245" t="str">
        <f t="shared" si="19"/>
        <v/>
      </c>
      <c r="D138" s="246" t="str">
        <f t="shared" si="20"/>
        <v/>
      </c>
      <c r="E138" s="566"/>
      <c r="F138" s="566"/>
      <c r="G138" s="566"/>
      <c r="H138" s="566">
        <v>134</v>
      </c>
      <c r="I138" s="566" t="str">
        <f>_xlfn.XLOOKUP(H138,Order!Q$12:Q$859,Order!C$12:C$859,"")</f>
        <v/>
      </c>
      <c r="J138" s="566" t="str">
        <f>_xlfn.XLOOKUP(H138,Order!Q$12:Q$859,Order!S$12:S$859,"")</f>
        <v/>
      </c>
      <c r="K138" s="566" t="str">
        <f>_xlfn.XLOOKUP(H138,Order!Q$12:Q$859,Order!P$12:P$859,"")</f>
        <v/>
      </c>
      <c r="L138" s="566" t="str">
        <f>_xlfn.XLOOKUP(H138,Order!Q$12:Q$859,Order!B$12:B$859,"")</f>
        <v/>
      </c>
      <c r="M138" s="566"/>
      <c r="N138" s="566"/>
      <c r="O138" s="566"/>
      <c r="P138" s="566"/>
      <c r="Q138" s="566"/>
      <c r="R138" s="566"/>
      <c r="S138" s="566"/>
      <c r="T138" s="566"/>
      <c r="U138" s="566"/>
      <c r="V138" s="566"/>
      <c r="W138" s="566"/>
    </row>
    <row r="139" spans="1:24" x14ac:dyDescent="0.15">
      <c r="A139" s="243" t="str">
        <f t="shared" si="17"/>
        <v/>
      </c>
      <c r="B139" s="247" t="str">
        <f t="shared" si="18"/>
        <v/>
      </c>
      <c r="C139" s="245" t="str">
        <f t="shared" si="19"/>
        <v/>
      </c>
      <c r="D139" s="246" t="str">
        <f t="shared" si="20"/>
        <v/>
      </c>
      <c r="E139" s="566"/>
      <c r="F139" s="566"/>
      <c r="G139" s="566"/>
      <c r="H139" s="566">
        <v>135</v>
      </c>
      <c r="I139" s="566" t="str">
        <f>_xlfn.XLOOKUP(H139,Order!Q$12:Q$859,Order!C$12:C$859,"")</f>
        <v/>
      </c>
      <c r="J139" s="566" t="str">
        <f>_xlfn.XLOOKUP(H139,Order!Q$12:Q$859,Order!S$12:S$859,"")</f>
        <v/>
      </c>
      <c r="K139" s="566" t="str">
        <f>_xlfn.XLOOKUP(H139,Order!Q$12:Q$859,Order!P$12:P$859,"")</f>
        <v/>
      </c>
      <c r="L139" s="566" t="str">
        <f>_xlfn.XLOOKUP(H139,Order!Q$12:Q$859,Order!B$12:B$859,"")</f>
        <v/>
      </c>
      <c r="M139" s="566"/>
      <c r="N139" s="566"/>
      <c r="O139" s="566"/>
      <c r="P139" s="566"/>
      <c r="Q139" s="566"/>
      <c r="R139" s="566"/>
      <c r="S139" s="566"/>
      <c r="T139" s="566"/>
      <c r="U139" s="566"/>
      <c r="V139" s="566"/>
      <c r="W139" s="566"/>
    </row>
    <row r="140" spans="1:24" x14ac:dyDescent="0.15">
      <c r="A140" s="243" t="str">
        <f t="shared" si="17"/>
        <v/>
      </c>
      <c r="B140" s="247" t="str">
        <f t="shared" si="18"/>
        <v/>
      </c>
      <c r="C140" s="245" t="str">
        <f t="shared" si="19"/>
        <v/>
      </c>
      <c r="D140" s="246" t="str">
        <f t="shared" si="20"/>
        <v/>
      </c>
      <c r="E140" s="566"/>
      <c r="F140" s="566"/>
      <c r="G140" s="566"/>
      <c r="H140" s="566">
        <v>136</v>
      </c>
      <c r="I140" s="566" t="str">
        <f>_xlfn.XLOOKUP(H140,Order!Q$12:Q$859,Order!C$12:C$859,"")</f>
        <v/>
      </c>
      <c r="J140" s="566" t="str">
        <f>_xlfn.XLOOKUP(H140,Order!Q$12:Q$859,Order!S$12:S$859,"")</f>
        <v/>
      </c>
      <c r="K140" s="566" t="str">
        <f>_xlfn.XLOOKUP(H140,Order!Q$12:Q$859,Order!P$12:P$859,"")</f>
        <v/>
      </c>
      <c r="L140" s="566" t="str">
        <f>_xlfn.XLOOKUP(H140,Order!Q$12:Q$859,Order!B$12:B$859,"")</f>
        <v/>
      </c>
      <c r="M140" s="566"/>
      <c r="N140" s="566"/>
      <c r="O140" s="566"/>
      <c r="P140" s="566"/>
      <c r="Q140" s="566"/>
      <c r="R140" s="566"/>
      <c r="S140" s="566"/>
      <c r="T140" s="566"/>
      <c r="U140" s="566"/>
      <c r="V140" s="566"/>
      <c r="W140" s="566"/>
    </row>
    <row r="141" spans="1:24" x14ac:dyDescent="0.15">
      <c r="A141" s="243" t="str">
        <f t="shared" si="17"/>
        <v/>
      </c>
      <c r="B141" s="247" t="str">
        <f t="shared" si="18"/>
        <v/>
      </c>
      <c r="C141" s="245" t="str">
        <f t="shared" si="19"/>
        <v/>
      </c>
      <c r="D141" s="246" t="str">
        <f t="shared" si="20"/>
        <v/>
      </c>
      <c r="E141" s="566"/>
      <c r="F141" s="566"/>
      <c r="G141" s="566"/>
      <c r="H141" s="566">
        <v>137</v>
      </c>
      <c r="I141" s="566" t="str">
        <f>_xlfn.XLOOKUP(H141,Order!Q$12:Q$859,Order!C$12:C$859,"")</f>
        <v/>
      </c>
      <c r="J141" s="566" t="str">
        <f>_xlfn.XLOOKUP(H141,Order!Q$12:Q$859,Order!S$12:S$859,"")</f>
        <v/>
      </c>
      <c r="K141" s="566" t="str">
        <f>_xlfn.XLOOKUP(H141,Order!Q$12:Q$859,Order!P$12:P$859,"")</f>
        <v/>
      </c>
      <c r="L141" s="566" t="str">
        <f>_xlfn.XLOOKUP(H141,Order!Q$12:Q$859,Order!B$12:B$859,"")</f>
        <v/>
      </c>
      <c r="M141" s="566"/>
      <c r="N141" s="566"/>
      <c r="O141" s="566"/>
      <c r="P141" s="566"/>
      <c r="Q141" s="566"/>
      <c r="R141" s="566"/>
      <c r="S141" s="566"/>
      <c r="T141" s="566"/>
      <c r="U141" s="566"/>
      <c r="V141" s="566"/>
      <c r="W141" s="566"/>
    </row>
    <row r="142" spans="1:24" x14ac:dyDescent="0.15">
      <c r="A142" s="243" t="str">
        <f t="shared" si="17"/>
        <v/>
      </c>
      <c r="B142" s="247" t="str">
        <f t="shared" si="18"/>
        <v/>
      </c>
      <c r="C142" s="245" t="str">
        <f t="shared" si="19"/>
        <v/>
      </c>
      <c r="D142" s="246" t="str">
        <f t="shared" si="20"/>
        <v/>
      </c>
      <c r="E142" s="566"/>
      <c r="F142" s="566"/>
      <c r="G142" s="566"/>
      <c r="H142" s="566">
        <v>138</v>
      </c>
      <c r="I142" s="566" t="str">
        <f>_xlfn.XLOOKUP(H142,Order!Q$12:Q$859,Order!C$12:C$859,"")</f>
        <v/>
      </c>
      <c r="J142" s="566" t="str">
        <f>_xlfn.XLOOKUP(H142,Order!Q$12:Q$859,Order!S$12:S$859,"")</f>
        <v/>
      </c>
      <c r="K142" s="566" t="str">
        <f>_xlfn.XLOOKUP(H142,Order!Q$12:Q$859,Order!P$12:P$859,"")</f>
        <v/>
      </c>
      <c r="L142" s="566" t="str">
        <f>_xlfn.XLOOKUP(H142,Order!Q$12:Q$859,Order!B$12:B$859,"")</f>
        <v/>
      </c>
      <c r="M142" s="566"/>
      <c r="N142" s="566"/>
      <c r="O142" s="566"/>
      <c r="P142" s="566"/>
      <c r="Q142" s="566"/>
      <c r="R142" s="566"/>
      <c r="S142" s="566"/>
      <c r="T142" s="566"/>
      <c r="U142" s="566"/>
      <c r="V142" s="566"/>
      <c r="W142" s="566"/>
    </row>
    <row r="143" spans="1:24" x14ac:dyDescent="0.15">
      <c r="A143" s="243" t="str">
        <f t="shared" si="17"/>
        <v/>
      </c>
      <c r="B143" s="247" t="str">
        <f t="shared" si="18"/>
        <v/>
      </c>
      <c r="C143" s="245" t="str">
        <f t="shared" si="19"/>
        <v/>
      </c>
      <c r="D143" s="246" t="str">
        <f t="shared" si="20"/>
        <v/>
      </c>
      <c r="E143" s="566"/>
      <c r="F143" s="566"/>
      <c r="G143" s="566"/>
      <c r="H143" s="566">
        <v>139</v>
      </c>
      <c r="I143" s="566" t="str">
        <f>_xlfn.XLOOKUP(H143,Order!Q$12:Q$859,Order!C$12:C$859,"")</f>
        <v/>
      </c>
      <c r="J143" s="566" t="str">
        <f>_xlfn.XLOOKUP(H143,Order!Q$12:Q$859,Order!S$12:S$859,"")</f>
        <v/>
      </c>
      <c r="K143" s="566" t="str">
        <f>_xlfn.XLOOKUP(H143,Order!Q$12:Q$859,Order!P$12:P$859,"")</f>
        <v/>
      </c>
      <c r="L143" s="566" t="str">
        <f>_xlfn.XLOOKUP(H143,Order!Q$12:Q$859,Order!B$12:B$859,"")</f>
        <v/>
      </c>
      <c r="M143" s="566"/>
      <c r="N143" s="566"/>
      <c r="O143" s="566"/>
      <c r="P143" s="566"/>
      <c r="Q143" s="566"/>
      <c r="R143" s="566"/>
      <c r="S143" s="566"/>
      <c r="T143" s="566"/>
      <c r="U143" s="566"/>
      <c r="V143" s="566"/>
      <c r="W143" s="566"/>
    </row>
    <row r="144" spans="1:24" x14ac:dyDescent="0.15">
      <c r="A144" s="243" t="str">
        <f t="shared" si="17"/>
        <v/>
      </c>
      <c r="B144" s="247" t="str">
        <f t="shared" si="18"/>
        <v/>
      </c>
      <c r="C144" s="245" t="str">
        <f t="shared" si="19"/>
        <v/>
      </c>
      <c r="D144" s="246" t="str">
        <f t="shared" si="20"/>
        <v/>
      </c>
      <c r="E144" s="566"/>
      <c r="F144" s="566"/>
      <c r="G144" s="566"/>
      <c r="H144" s="566">
        <v>140</v>
      </c>
      <c r="I144" s="566" t="str">
        <f>_xlfn.XLOOKUP(H144,Order!Q$12:Q$859,Order!C$12:C$859,"")</f>
        <v/>
      </c>
      <c r="J144" s="566" t="str">
        <f>_xlfn.XLOOKUP(H144,Order!Q$12:Q$859,Order!S$12:S$859,"")</f>
        <v/>
      </c>
      <c r="K144" s="566" t="str">
        <f>_xlfn.XLOOKUP(H144,Order!Q$12:Q$859,Order!P$12:P$859,"")</f>
        <v/>
      </c>
      <c r="L144" s="566" t="str">
        <f>_xlfn.XLOOKUP(H144,Order!Q$12:Q$859,Order!B$12:B$859,"")</f>
        <v/>
      </c>
      <c r="M144" s="566"/>
      <c r="N144" s="566"/>
      <c r="O144" s="566"/>
      <c r="P144" s="566"/>
      <c r="Q144" s="566"/>
      <c r="R144" s="566"/>
      <c r="S144" s="566"/>
      <c r="T144" s="566"/>
      <c r="U144" s="566"/>
      <c r="V144" s="566"/>
      <c r="W144" s="566"/>
    </row>
    <row r="145" spans="1:23" x14ac:dyDescent="0.15">
      <c r="A145" s="243" t="str">
        <f t="shared" si="17"/>
        <v/>
      </c>
      <c r="B145" s="247" t="str">
        <f t="shared" si="18"/>
        <v/>
      </c>
      <c r="C145" s="245" t="str">
        <f t="shared" si="19"/>
        <v/>
      </c>
      <c r="D145" s="246" t="str">
        <f t="shared" si="20"/>
        <v/>
      </c>
      <c r="E145" s="566"/>
      <c r="F145" s="566"/>
      <c r="G145" s="566"/>
      <c r="H145" s="566">
        <v>141</v>
      </c>
      <c r="I145" s="566" t="str">
        <f>_xlfn.XLOOKUP(H145,Order!Q$12:Q$859,Order!C$12:C$859,"")</f>
        <v/>
      </c>
      <c r="J145" s="566" t="str">
        <f>_xlfn.XLOOKUP(H145,Order!Q$12:Q$859,Order!S$12:S$859,"")</f>
        <v/>
      </c>
      <c r="K145" s="566" t="str">
        <f>_xlfn.XLOOKUP(H145,Order!Q$12:Q$859,Order!P$12:P$859,"")</f>
        <v/>
      </c>
      <c r="L145" s="566" t="str">
        <f>_xlfn.XLOOKUP(H145,Order!Q$12:Q$859,Order!B$12:B$859,"")</f>
        <v/>
      </c>
      <c r="M145" s="566"/>
      <c r="N145" s="566"/>
      <c r="O145" s="566"/>
      <c r="P145" s="566"/>
      <c r="Q145" s="566"/>
      <c r="R145" s="566"/>
      <c r="S145" s="566"/>
      <c r="T145" s="566"/>
      <c r="U145" s="566"/>
      <c r="V145" s="566"/>
      <c r="W145" s="566"/>
    </row>
    <row r="146" spans="1:23" x14ac:dyDescent="0.15">
      <c r="A146" s="243" t="str">
        <f t="shared" si="17"/>
        <v/>
      </c>
      <c r="B146" s="247" t="str">
        <f t="shared" si="18"/>
        <v/>
      </c>
      <c r="C146" s="245" t="str">
        <f t="shared" si="19"/>
        <v/>
      </c>
      <c r="D146" s="246" t="str">
        <f t="shared" si="20"/>
        <v/>
      </c>
      <c r="E146" s="566"/>
      <c r="F146" s="566"/>
      <c r="G146" s="566"/>
      <c r="H146" s="566">
        <v>142</v>
      </c>
      <c r="I146" s="566" t="str">
        <f>_xlfn.XLOOKUP(H146,Order!Q$12:Q$859,Order!C$12:C$859,"")</f>
        <v/>
      </c>
      <c r="J146" s="566" t="str">
        <f>_xlfn.XLOOKUP(H146,Order!Q$12:Q$859,Order!S$12:S$859,"")</f>
        <v/>
      </c>
      <c r="K146" s="566" t="str">
        <f>_xlfn.XLOOKUP(H146,Order!Q$12:Q$859,Order!P$12:P$859,"")</f>
        <v/>
      </c>
      <c r="L146" s="566" t="str">
        <f>_xlfn.XLOOKUP(H146,Order!Q$12:Q$859,Order!B$12:B$859,"")</f>
        <v/>
      </c>
      <c r="M146" s="566"/>
      <c r="N146" s="566"/>
      <c r="O146" s="566"/>
      <c r="P146" s="566"/>
      <c r="Q146" s="566"/>
      <c r="R146" s="566"/>
      <c r="S146" s="566"/>
      <c r="T146" s="566"/>
      <c r="U146" s="566"/>
      <c r="V146" s="566"/>
      <c r="W146" s="566"/>
    </row>
    <row r="147" spans="1:23" x14ac:dyDescent="0.15">
      <c r="A147" s="243" t="str">
        <f t="shared" si="17"/>
        <v/>
      </c>
      <c r="B147" s="247" t="str">
        <f t="shared" si="18"/>
        <v/>
      </c>
      <c r="C147" s="245" t="str">
        <f t="shared" si="19"/>
        <v/>
      </c>
      <c r="D147" s="246" t="str">
        <f t="shared" si="20"/>
        <v/>
      </c>
      <c r="E147" s="566"/>
      <c r="F147" s="566"/>
      <c r="G147" s="566"/>
      <c r="H147" s="566">
        <v>143</v>
      </c>
      <c r="I147" s="566" t="str">
        <f>_xlfn.XLOOKUP(H147,Order!Q$12:Q$859,Order!C$12:C$859,"")</f>
        <v/>
      </c>
      <c r="J147" s="566" t="str">
        <f>_xlfn.XLOOKUP(H147,Order!Q$12:Q$859,Order!S$12:S$859,"")</f>
        <v/>
      </c>
      <c r="K147" s="566" t="str">
        <f>_xlfn.XLOOKUP(H147,Order!Q$12:Q$859,Order!P$12:P$859,"")</f>
        <v/>
      </c>
      <c r="L147" s="566" t="str">
        <f>_xlfn.XLOOKUP(H147,Order!Q$12:Q$859,Order!B$12:B$859,"")</f>
        <v/>
      </c>
      <c r="M147" s="566"/>
      <c r="N147" s="566"/>
      <c r="O147" s="566"/>
      <c r="P147" s="566"/>
      <c r="Q147" s="566"/>
      <c r="R147" s="566"/>
      <c r="S147" s="566"/>
      <c r="T147" s="566"/>
      <c r="U147" s="566"/>
      <c r="V147" s="566"/>
      <c r="W147" s="566"/>
    </row>
    <row r="148" spans="1:23" x14ac:dyDescent="0.15">
      <c r="A148" s="243" t="str">
        <f t="shared" si="17"/>
        <v/>
      </c>
      <c r="B148" s="247" t="str">
        <f t="shared" si="18"/>
        <v/>
      </c>
      <c r="C148" s="245" t="str">
        <f t="shared" si="19"/>
        <v/>
      </c>
      <c r="D148" s="246" t="str">
        <f t="shared" si="20"/>
        <v/>
      </c>
      <c r="E148" s="566"/>
      <c r="F148" s="566"/>
      <c r="G148" s="566"/>
      <c r="H148" s="566">
        <v>144</v>
      </c>
      <c r="I148" s="566" t="str">
        <f>_xlfn.XLOOKUP(H148,Order!Q$12:Q$859,Order!C$12:C$859,"")</f>
        <v/>
      </c>
      <c r="J148" s="566" t="str">
        <f>_xlfn.XLOOKUP(H148,Order!Q$12:Q$859,Order!S$12:S$859,"")</f>
        <v/>
      </c>
      <c r="K148" s="566" t="str">
        <f>_xlfn.XLOOKUP(H148,Order!Q$12:Q$859,Order!P$12:P$859,"")</f>
        <v/>
      </c>
      <c r="L148" s="566" t="str">
        <f>_xlfn.XLOOKUP(H148,Order!Q$12:Q$859,Order!B$12:B$859,"")</f>
        <v/>
      </c>
      <c r="M148" s="566"/>
      <c r="N148" s="566"/>
      <c r="O148" s="566"/>
      <c r="P148" s="566"/>
      <c r="Q148" s="566"/>
      <c r="R148" s="566"/>
      <c r="S148" s="566"/>
      <c r="T148" s="566"/>
      <c r="U148" s="566"/>
      <c r="V148" s="566"/>
      <c r="W148" s="566"/>
    </row>
    <row r="149" spans="1:23" x14ac:dyDescent="0.15">
      <c r="A149" s="243" t="str">
        <f t="shared" si="17"/>
        <v/>
      </c>
      <c r="B149" s="247" t="str">
        <f t="shared" si="18"/>
        <v/>
      </c>
      <c r="C149" s="245" t="str">
        <f t="shared" si="19"/>
        <v/>
      </c>
      <c r="D149" s="246" t="str">
        <f t="shared" si="20"/>
        <v/>
      </c>
      <c r="E149" s="566"/>
      <c r="F149" s="566"/>
      <c r="G149" s="566"/>
      <c r="H149" s="566">
        <v>145</v>
      </c>
      <c r="I149" s="566" t="str">
        <f>_xlfn.XLOOKUP(H149,Order!Q$12:Q$859,Order!C$12:C$859,"")</f>
        <v/>
      </c>
      <c r="J149" s="566" t="str">
        <f>_xlfn.XLOOKUP(H149,Order!Q$12:Q$859,Order!S$12:S$859,"")</f>
        <v/>
      </c>
      <c r="K149" s="566" t="str">
        <f>_xlfn.XLOOKUP(H149,Order!Q$12:Q$859,Order!P$12:P$859,"")</f>
        <v/>
      </c>
      <c r="L149" s="566" t="str">
        <f>_xlfn.XLOOKUP(H149,Order!Q$12:Q$859,Order!B$12:B$859,"")</f>
        <v/>
      </c>
      <c r="M149" s="566"/>
      <c r="N149" s="566"/>
      <c r="O149" s="566"/>
      <c r="P149" s="566"/>
      <c r="Q149" s="566"/>
      <c r="R149" s="566"/>
      <c r="S149" s="566"/>
      <c r="T149" s="566"/>
      <c r="U149" s="566"/>
      <c r="V149" s="566"/>
      <c r="W149" s="566"/>
    </row>
    <row r="150" spans="1:23" x14ac:dyDescent="0.15">
      <c r="A150" s="243" t="str">
        <f t="shared" si="17"/>
        <v/>
      </c>
      <c r="B150" s="247" t="str">
        <f t="shared" si="18"/>
        <v/>
      </c>
      <c r="C150" s="245" t="str">
        <f t="shared" si="19"/>
        <v/>
      </c>
      <c r="D150" s="246" t="str">
        <f t="shared" si="20"/>
        <v/>
      </c>
      <c r="E150" s="566"/>
      <c r="F150" s="566"/>
      <c r="G150" s="566"/>
      <c r="H150" s="566">
        <v>146</v>
      </c>
      <c r="I150" s="566" t="str">
        <f>_xlfn.XLOOKUP(H150,Order!Q$12:Q$859,Order!C$12:C$859,"")</f>
        <v/>
      </c>
      <c r="J150" s="566" t="str">
        <f>_xlfn.XLOOKUP(H150,Order!Q$12:Q$859,Order!S$12:S$859,"")</f>
        <v/>
      </c>
      <c r="K150" s="566" t="str">
        <f>_xlfn.XLOOKUP(H150,Order!Q$12:Q$859,Order!P$12:P$859,"")</f>
        <v/>
      </c>
      <c r="L150" s="566" t="str">
        <f>_xlfn.XLOOKUP(H150,Order!Q$12:Q$859,Order!B$12:B$859,"")</f>
        <v/>
      </c>
      <c r="M150" s="566"/>
      <c r="N150" s="566"/>
      <c r="O150" s="566"/>
      <c r="P150" s="566"/>
      <c r="Q150" s="566"/>
      <c r="R150" s="566"/>
      <c r="S150" s="566"/>
      <c r="T150" s="566"/>
      <c r="U150" s="566"/>
      <c r="V150" s="566"/>
      <c r="W150" s="566"/>
    </row>
    <row r="151" spans="1:23" x14ac:dyDescent="0.15">
      <c r="A151" s="243" t="str">
        <f t="shared" si="17"/>
        <v/>
      </c>
      <c r="B151" s="247" t="str">
        <f t="shared" si="18"/>
        <v/>
      </c>
      <c r="C151" s="245" t="str">
        <f t="shared" si="19"/>
        <v/>
      </c>
      <c r="D151" s="246" t="str">
        <f t="shared" si="20"/>
        <v/>
      </c>
      <c r="E151" s="566"/>
      <c r="F151" s="566"/>
      <c r="G151" s="566"/>
      <c r="H151" s="566">
        <v>147</v>
      </c>
      <c r="I151" s="566" t="str">
        <f>_xlfn.XLOOKUP(H151,Order!Q$12:Q$859,Order!C$12:C$859,"")</f>
        <v/>
      </c>
      <c r="J151" s="566" t="str">
        <f>_xlfn.XLOOKUP(H151,Order!Q$12:Q$859,Order!S$12:S$859,"")</f>
        <v/>
      </c>
      <c r="K151" s="566" t="str">
        <f>_xlfn.XLOOKUP(H151,Order!Q$12:Q$859,Order!P$12:P$859,"")</f>
        <v/>
      </c>
      <c r="L151" s="566" t="str">
        <f>_xlfn.XLOOKUP(H151,Order!Q$12:Q$859,Order!B$12:B$859,"")</f>
        <v/>
      </c>
      <c r="M151" s="566"/>
      <c r="N151" s="566"/>
      <c r="O151" s="566"/>
      <c r="P151" s="566"/>
      <c r="Q151" s="566"/>
      <c r="R151" s="566"/>
      <c r="S151" s="566"/>
      <c r="T151" s="566"/>
      <c r="U151" s="566"/>
      <c r="V151" s="566"/>
      <c r="W151" s="566"/>
    </row>
    <row r="152" spans="1:23" x14ac:dyDescent="0.15">
      <c r="A152" s="243" t="str">
        <f t="shared" si="17"/>
        <v/>
      </c>
      <c r="B152" s="247" t="str">
        <f t="shared" si="18"/>
        <v/>
      </c>
      <c r="C152" s="245" t="str">
        <f t="shared" si="19"/>
        <v/>
      </c>
      <c r="D152" s="246" t="str">
        <f t="shared" si="20"/>
        <v/>
      </c>
      <c r="E152" s="566"/>
      <c r="F152" s="566"/>
      <c r="G152" s="566"/>
      <c r="H152" s="566">
        <v>148</v>
      </c>
      <c r="I152" s="566" t="str">
        <f>_xlfn.XLOOKUP(H152,Order!Q$12:Q$859,Order!C$12:C$859,"")</f>
        <v/>
      </c>
      <c r="J152" s="566" t="str">
        <f>_xlfn.XLOOKUP(H152,Order!Q$12:Q$859,Order!S$12:S$859,"")</f>
        <v/>
      </c>
      <c r="K152" s="566" t="str">
        <f>_xlfn.XLOOKUP(H152,Order!Q$12:Q$859,Order!P$12:P$859,"")</f>
        <v/>
      </c>
      <c r="L152" s="566" t="str">
        <f>_xlfn.XLOOKUP(H152,Order!Q$12:Q$859,Order!B$12:B$859,"")</f>
        <v/>
      </c>
      <c r="M152" s="566"/>
      <c r="N152" s="566"/>
      <c r="O152" s="566"/>
      <c r="P152" s="566"/>
      <c r="Q152" s="566"/>
      <c r="R152" s="566"/>
      <c r="S152" s="566"/>
      <c r="T152" s="566"/>
      <c r="U152" s="566"/>
      <c r="V152" s="566"/>
      <c r="W152" s="566"/>
    </row>
    <row r="153" spans="1:23" x14ac:dyDescent="0.15">
      <c r="A153" s="243" t="str">
        <f t="shared" si="17"/>
        <v/>
      </c>
      <c r="B153" s="247" t="str">
        <f t="shared" si="18"/>
        <v/>
      </c>
      <c r="C153" s="245" t="str">
        <f t="shared" si="19"/>
        <v/>
      </c>
      <c r="D153" s="246" t="str">
        <f t="shared" si="20"/>
        <v/>
      </c>
      <c r="H153" s="566">
        <v>149</v>
      </c>
      <c r="I153" s="513" t="str">
        <f>_xlfn.XLOOKUP(H153,Order!Q$12:Q$859,Order!C$12:C$859,"")</f>
        <v/>
      </c>
      <c r="J153" s="513" t="str">
        <f>_xlfn.XLOOKUP(H153,Order!Q$12:Q$859,Order!S$12:S$859,"")</f>
        <v/>
      </c>
      <c r="K153" s="513" t="str">
        <f>_xlfn.XLOOKUP(H153,Order!Q$12:Q$859,Order!P$12:P$859,"")</f>
        <v/>
      </c>
      <c r="L153" s="513" t="str">
        <f>_xlfn.XLOOKUP(H153,Order!Q$12:Q$859,Order!B$12:B$859,"")</f>
        <v/>
      </c>
    </row>
    <row r="154" spans="1:23" x14ac:dyDescent="0.15">
      <c r="A154" s="243" t="str">
        <f t="shared" si="17"/>
        <v/>
      </c>
      <c r="B154" s="247" t="str">
        <f t="shared" si="18"/>
        <v/>
      </c>
      <c r="C154" s="245" t="str">
        <f t="shared" si="19"/>
        <v/>
      </c>
      <c r="D154" s="248" t="str">
        <f t="shared" si="20"/>
        <v/>
      </c>
      <c r="H154" s="566">
        <v>150</v>
      </c>
      <c r="I154" s="513" t="str">
        <f>_xlfn.XLOOKUP(H154,Order!Q$12:Q$859,Order!C$12:C$859,"")</f>
        <v/>
      </c>
      <c r="J154" s="513" t="str">
        <f>_xlfn.XLOOKUP(H154,Order!Q$12:Q$859,Order!S$12:S$859,"")</f>
        <v/>
      </c>
      <c r="K154" s="513" t="str">
        <f>_xlfn.XLOOKUP(H154,Order!Q$12:Q$859,Order!P$12:P$859,"")</f>
        <v/>
      </c>
      <c r="L154" s="513" t="str">
        <f>_xlfn.XLOOKUP(H154,Order!Q$12:Q$859,Order!B$12:B$859,"")</f>
        <v/>
      </c>
    </row>
    <row r="155" spans="1:23" x14ac:dyDescent="0.15">
      <c r="A155" s="243" t="str">
        <f t="shared" si="17"/>
        <v/>
      </c>
      <c r="B155" s="247" t="str">
        <f t="shared" si="18"/>
        <v/>
      </c>
      <c r="C155" s="245" t="str">
        <f t="shared" si="19"/>
        <v/>
      </c>
      <c r="D155" s="248" t="str">
        <f t="shared" si="20"/>
        <v/>
      </c>
      <c r="H155" s="566">
        <v>151</v>
      </c>
      <c r="I155" s="513" t="str">
        <f>_xlfn.XLOOKUP(H155,Order!Q$12:Q$859,Order!C$12:C$859,"")</f>
        <v/>
      </c>
      <c r="J155" s="513" t="str">
        <f>_xlfn.XLOOKUP(H155,Order!Q$12:Q$859,Order!S$12:S$859,"")</f>
        <v/>
      </c>
      <c r="K155" s="513" t="str">
        <f>_xlfn.XLOOKUP(H155,Order!Q$12:Q$859,Order!P$12:P$859,"")</f>
        <v/>
      </c>
      <c r="L155" s="513" t="str">
        <f>_xlfn.XLOOKUP(H155,Order!Q$12:Q$859,Order!B$12:B$859,"")</f>
        <v/>
      </c>
    </row>
    <row r="156" spans="1:23" x14ac:dyDescent="0.15">
      <c r="A156" s="243" t="str">
        <f t="shared" si="17"/>
        <v/>
      </c>
      <c r="B156" s="247" t="str">
        <f t="shared" si="18"/>
        <v/>
      </c>
      <c r="C156" s="245" t="str">
        <f t="shared" si="19"/>
        <v/>
      </c>
      <c r="D156" s="248" t="str">
        <f t="shared" si="20"/>
        <v/>
      </c>
      <c r="H156" s="566">
        <v>152</v>
      </c>
      <c r="I156" s="513" t="str">
        <f>_xlfn.XLOOKUP(H156,Order!Q$12:Q$859,Order!C$12:C$859,"")</f>
        <v/>
      </c>
      <c r="J156" s="513" t="str">
        <f>_xlfn.XLOOKUP(H156,Order!Q$12:Q$859,Order!S$12:S$859,"")</f>
        <v/>
      </c>
      <c r="K156" s="513" t="str">
        <f>_xlfn.XLOOKUP(H156,Order!Q$12:Q$859,Order!P$12:P$859,"")</f>
        <v/>
      </c>
      <c r="L156" s="513" t="str">
        <f>_xlfn.XLOOKUP(H156,Order!Q$12:Q$859,Order!B$12:B$859,"")</f>
        <v/>
      </c>
    </row>
    <row r="157" spans="1:23" x14ac:dyDescent="0.15">
      <c r="A157" s="243" t="str">
        <f t="shared" si="17"/>
        <v/>
      </c>
      <c r="B157" s="247" t="str">
        <f t="shared" si="18"/>
        <v/>
      </c>
      <c r="C157" s="245" t="str">
        <f t="shared" si="19"/>
        <v/>
      </c>
      <c r="D157" s="248" t="str">
        <f t="shared" si="20"/>
        <v/>
      </c>
      <c r="H157" s="566">
        <v>153</v>
      </c>
      <c r="I157" s="513" t="str">
        <f>_xlfn.XLOOKUP(H157,Order!Q$12:Q$859,Order!C$12:C$859,"")</f>
        <v/>
      </c>
      <c r="J157" s="513" t="str">
        <f>_xlfn.XLOOKUP(H157,Order!Q$12:Q$859,Order!S$12:S$859,"")</f>
        <v/>
      </c>
      <c r="K157" s="513" t="str">
        <f>_xlfn.XLOOKUP(H157,Order!Q$12:Q$859,Order!P$12:P$859,"")</f>
        <v/>
      </c>
      <c r="L157" s="513" t="str">
        <f>_xlfn.XLOOKUP(H157,Order!Q$12:Q$859,Order!B$12:B$859,"")</f>
        <v/>
      </c>
    </row>
    <row r="158" spans="1:23" x14ac:dyDescent="0.15">
      <c r="A158" s="243" t="str">
        <f t="shared" si="17"/>
        <v/>
      </c>
      <c r="B158" s="247" t="str">
        <f t="shared" si="18"/>
        <v/>
      </c>
      <c r="C158" s="245" t="str">
        <f t="shared" si="19"/>
        <v/>
      </c>
      <c r="D158" s="248" t="str">
        <f t="shared" si="20"/>
        <v/>
      </c>
      <c r="H158" s="566">
        <v>154</v>
      </c>
      <c r="I158" s="513" t="str">
        <f>_xlfn.XLOOKUP(H158,Order!Q$12:Q$859,Order!C$12:C$859,"")</f>
        <v/>
      </c>
      <c r="J158" s="513" t="str">
        <f>_xlfn.XLOOKUP(H158,Order!Q$12:Q$859,Order!S$12:S$859,"")</f>
        <v/>
      </c>
      <c r="K158" s="513" t="str">
        <f>_xlfn.XLOOKUP(H158,Order!Q$12:Q$859,Order!P$12:P$859,"")</f>
        <v/>
      </c>
      <c r="L158" s="513" t="str">
        <f>_xlfn.XLOOKUP(H158,Order!Q$12:Q$859,Order!B$12:B$859,"")</f>
        <v/>
      </c>
    </row>
    <row r="159" spans="1:23" x14ac:dyDescent="0.15">
      <c r="A159" s="243" t="str">
        <f t="shared" si="17"/>
        <v/>
      </c>
      <c r="B159" s="247" t="str">
        <f t="shared" si="18"/>
        <v/>
      </c>
      <c r="C159" s="245" t="str">
        <f t="shared" si="19"/>
        <v/>
      </c>
      <c r="D159" s="248" t="str">
        <f t="shared" si="20"/>
        <v/>
      </c>
      <c r="H159" s="566">
        <v>155</v>
      </c>
      <c r="I159" s="513" t="str">
        <f>_xlfn.XLOOKUP(H159,Order!Q$12:Q$859,Order!C$12:C$859,"")</f>
        <v/>
      </c>
      <c r="J159" s="513" t="str">
        <f>_xlfn.XLOOKUP(H159,Order!Q$12:Q$859,Order!S$12:S$859,"")</f>
        <v/>
      </c>
      <c r="K159" s="513" t="str">
        <f>_xlfn.XLOOKUP(H159,Order!Q$12:Q$859,Order!P$12:P$859,"")</f>
        <v/>
      </c>
      <c r="L159" s="513" t="str">
        <f>_xlfn.XLOOKUP(H159,Order!Q$12:Q$859,Order!B$12:B$859,"")</f>
        <v/>
      </c>
    </row>
    <row r="160" spans="1:23" x14ac:dyDescent="0.15">
      <c r="A160" s="243" t="str">
        <f t="shared" si="17"/>
        <v/>
      </c>
      <c r="B160" s="247" t="str">
        <f t="shared" si="18"/>
        <v/>
      </c>
      <c r="C160" s="245" t="str">
        <f t="shared" si="19"/>
        <v/>
      </c>
      <c r="D160" s="248" t="str">
        <f t="shared" si="20"/>
        <v/>
      </c>
      <c r="H160" s="566">
        <v>156</v>
      </c>
      <c r="I160" s="513" t="str">
        <f>_xlfn.XLOOKUP(H160,Order!Q$12:Q$859,Order!C$12:C$859,"")</f>
        <v/>
      </c>
      <c r="J160" s="513" t="str">
        <f>_xlfn.XLOOKUP(H160,Order!Q$12:Q$859,Order!S$12:S$859,"")</f>
        <v/>
      </c>
      <c r="K160" s="513" t="str">
        <f>_xlfn.XLOOKUP(H160,Order!Q$12:Q$859,Order!P$12:P$859,"")</f>
        <v/>
      </c>
      <c r="L160" s="513" t="str">
        <f>_xlfn.XLOOKUP(H160,Order!Q$12:Q$859,Order!B$12:B$859,"")</f>
        <v/>
      </c>
    </row>
    <row r="161" spans="1:12" x14ac:dyDescent="0.15">
      <c r="A161" s="243" t="str">
        <f t="shared" si="17"/>
        <v/>
      </c>
      <c r="B161" s="247" t="str">
        <f t="shared" si="18"/>
        <v/>
      </c>
      <c r="C161" s="245" t="str">
        <f t="shared" si="19"/>
        <v/>
      </c>
      <c r="D161" s="248" t="str">
        <f t="shared" si="20"/>
        <v/>
      </c>
      <c r="H161" s="566">
        <v>157</v>
      </c>
      <c r="I161" s="513" t="str">
        <f>_xlfn.XLOOKUP(H161,Order!Q$12:Q$859,Order!C$12:C$859,"")</f>
        <v/>
      </c>
      <c r="J161" s="513" t="str">
        <f>_xlfn.XLOOKUP(H161,Order!Q$12:Q$859,Order!S$12:S$859,"")</f>
        <v/>
      </c>
      <c r="K161" s="513" t="str">
        <f>_xlfn.XLOOKUP(H161,Order!Q$12:Q$859,Order!P$12:P$859,"")</f>
        <v/>
      </c>
      <c r="L161" s="513" t="str">
        <f>_xlfn.XLOOKUP(H161,Order!Q$12:Q$859,Order!B$12:B$859,"")</f>
        <v/>
      </c>
    </row>
    <row r="162" spans="1:12" x14ac:dyDescent="0.15">
      <c r="A162" s="243" t="str">
        <f t="shared" si="17"/>
        <v/>
      </c>
      <c r="B162" s="247" t="str">
        <f t="shared" si="18"/>
        <v/>
      </c>
      <c r="C162" s="245" t="str">
        <f t="shared" si="19"/>
        <v/>
      </c>
      <c r="D162" s="248" t="str">
        <f t="shared" si="20"/>
        <v/>
      </c>
      <c r="H162" s="566">
        <v>158</v>
      </c>
      <c r="I162" s="513" t="str">
        <f>_xlfn.XLOOKUP(H162,Order!Q$12:Q$859,Order!C$12:C$859,"")</f>
        <v/>
      </c>
      <c r="J162" s="513" t="str">
        <f>_xlfn.XLOOKUP(H162,Order!Q$12:Q$859,Order!S$12:S$859,"")</f>
        <v/>
      </c>
      <c r="K162" s="513" t="str">
        <f>_xlfn.XLOOKUP(H162,Order!Q$12:Q$859,Order!P$12:P$859,"")</f>
        <v/>
      </c>
      <c r="L162" s="513" t="str">
        <f>_xlfn.XLOOKUP(H162,Order!Q$12:Q$859,Order!B$12:B$859,"")</f>
        <v/>
      </c>
    </row>
    <row r="163" spans="1:12" x14ac:dyDescent="0.15">
      <c r="A163" s="243" t="str">
        <f t="shared" si="17"/>
        <v/>
      </c>
      <c r="B163" s="247" t="str">
        <f t="shared" si="18"/>
        <v/>
      </c>
      <c r="C163" s="245" t="str">
        <f t="shared" si="19"/>
        <v/>
      </c>
      <c r="D163" s="248" t="str">
        <f t="shared" si="20"/>
        <v/>
      </c>
      <c r="H163" s="566">
        <v>159</v>
      </c>
      <c r="I163" s="513" t="str">
        <f>_xlfn.XLOOKUP(H163,Order!Q$12:Q$859,Order!C$12:C$859,"")</f>
        <v/>
      </c>
      <c r="J163" s="513" t="str">
        <f>_xlfn.XLOOKUP(H163,Order!Q$12:Q$859,Order!S$12:S$859,"")</f>
        <v/>
      </c>
      <c r="K163" s="513" t="str">
        <f>_xlfn.XLOOKUP(H163,Order!Q$12:Q$859,Order!P$12:P$859,"")</f>
        <v/>
      </c>
      <c r="L163" s="513" t="str">
        <f>_xlfn.XLOOKUP(H163,Order!Q$12:Q$859,Order!B$12:B$859,"")</f>
        <v/>
      </c>
    </row>
    <row r="164" spans="1:12" x14ac:dyDescent="0.15">
      <c r="A164" s="243" t="str">
        <f t="shared" si="17"/>
        <v/>
      </c>
      <c r="B164" s="247" t="str">
        <f t="shared" si="18"/>
        <v/>
      </c>
      <c r="C164" s="245" t="str">
        <f t="shared" si="19"/>
        <v/>
      </c>
      <c r="D164" s="248" t="str">
        <f t="shared" si="20"/>
        <v/>
      </c>
      <c r="H164" s="566">
        <v>160</v>
      </c>
      <c r="I164" s="513" t="str">
        <f>_xlfn.XLOOKUP(H164,Order!Q$12:Q$859,Order!C$12:C$859,"")</f>
        <v/>
      </c>
      <c r="J164" s="513" t="str">
        <f>_xlfn.XLOOKUP(H164,Order!Q$12:Q$859,Order!S$12:S$859,"")</f>
        <v/>
      </c>
      <c r="K164" s="513" t="str">
        <f>_xlfn.XLOOKUP(H164,Order!Q$12:Q$859,Order!P$12:P$859,"")</f>
        <v/>
      </c>
      <c r="L164" s="513" t="str">
        <f>_xlfn.XLOOKUP(H164,Order!Q$12:Q$859,Order!B$12:B$859,"")</f>
        <v/>
      </c>
    </row>
    <row r="165" spans="1:12" x14ac:dyDescent="0.15">
      <c r="A165" s="243"/>
      <c r="B165" s="247"/>
      <c r="C165" s="245"/>
      <c r="D165" s="248"/>
      <c r="I165" s="238"/>
      <c r="J165" s="238"/>
      <c r="K165" s="238"/>
      <c r="L165" s="238"/>
    </row>
    <row r="166" spans="1:12" x14ac:dyDescent="0.15">
      <c r="I166" s="238"/>
      <c r="J166" s="238"/>
      <c r="K166" s="238"/>
      <c r="L166" s="238"/>
    </row>
    <row r="167" spans="1:12" x14ac:dyDescent="0.15">
      <c r="I167" s="238"/>
      <c r="J167" s="238"/>
      <c r="K167" s="238"/>
      <c r="L167" s="238"/>
    </row>
    <row r="168" spans="1:12" x14ac:dyDescent="0.15">
      <c r="I168" s="238"/>
      <c r="J168" s="238"/>
      <c r="K168" s="238"/>
      <c r="L168" s="238"/>
    </row>
    <row r="169" spans="1:12" x14ac:dyDescent="0.15">
      <c r="I169" s="238"/>
      <c r="J169" s="238"/>
      <c r="K169" s="238"/>
      <c r="L169" s="238"/>
    </row>
    <row r="170" spans="1:12" x14ac:dyDescent="0.15">
      <c r="I170" s="238"/>
      <c r="J170" s="238"/>
      <c r="K170" s="238"/>
      <c r="L170" s="238"/>
    </row>
    <row r="171" spans="1:12" x14ac:dyDescent="0.15">
      <c r="I171" s="238"/>
      <c r="J171" s="238"/>
      <c r="K171" s="238"/>
      <c r="L171" s="238"/>
    </row>
    <row r="172" spans="1:12" x14ac:dyDescent="0.15">
      <c r="I172" s="238"/>
      <c r="J172" s="238"/>
      <c r="K172" s="238"/>
      <c r="L172" s="238"/>
    </row>
    <row r="173" spans="1:12" x14ac:dyDescent="0.15">
      <c r="I173" s="238"/>
      <c r="J173" s="238"/>
      <c r="K173" s="238"/>
      <c r="L173" s="238"/>
    </row>
    <row r="174" spans="1:12" x14ac:dyDescent="0.15">
      <c r="I174" s="238"/>
      <c r="J174" s="238"/>
      <c r="K174" s="238"/>
      <c r="L174" s="238"/>
    </row>
    <row r="175" spans="1:12" x14ac:dyDescent="0.15">
      <c r="I175" s="238"/>
      <c r="J175" s="238"/>
      <c r="K175" s="238"/>
      <c r="L175" s="238"/>
    </row>
    <row r="176" spans="1:12" x14ac:dyDescent="0.15">
      <c r="I176" s="238"/>
      <c r="J176" s="238"/>
      <c r="K176" s="238"/>
      <c r="L176" s="238"/>
    </row>
    <row r="177" spans="9:12" x14ac:dyDescent="0.15">
      <c r="I177" s="238"/>
      <c r="J177" s="238"/>
      <c r="K177" s="238"/>
      <c r="L177" s="238"/>
    </row>
    <row r="178" spans="9:12" x14ac:dyDescent="0.15">
      <c r="I178" s="238"/>
      <c r="J178" s="238"/>
      <c r="K178" s="238"/>
      <c r="L178" s="238"/>
    </row>
    <row r="179" spans="9:12" x14ac:dyDescent="0.15">
      <c r="I179" s="238"/>
      <c r="J179" s="238"/>
      <c r="K179" s="238"/>
      <c r="L179" s="238"/>
    </row>
    <row r="180" spans="9:12" x14ac:dyDescent="0.15">
      <c r="I180" s="238"/>
      <c r="J180" s="238"/>
      <c r="K180" s="238"/>
      <c r="L180" s="238"/>
    </row>
    <row r="181" spans="9:12" x14ac:dyDescent="0.15">
      <c r="I181" s="238"/>
      <c r="J181" s="238"/>
      <c r="K181" s="238"/>
      <c r="L181" s="238"/>
    </row>
    <row r="182" spans="9:12" x14ac:dyDescent="0.15">
      <c r="I182" s="238"/>
      <c r="J182" s="238"/>
      <c r="K182" s="238"/>
      <c r="L182" s="238"/>
    </row>
    <row r="183" spans="9:12" x14ac:dyDescent="0.15">
      <c r="I183" s="238"/>
      <c r="J183" s="238"/>
      <c r="K183" s="238"/>
      <c r="L183" s="238"/>
    </row>
    <row r="184" spans="9:12" x14ac:dyDescent="0.15">
      <c r="I184" s="238"/>
      <c r="J184" s="238"/>
      <c r="K184" s="238"/>
      <c r="L184" s="238"/>
    </row>
    <row r="185" spans="9:12" x14ac:dyDescent="0.15">
      <c r="I185" s="238"/>
      <c r="J185" s="238"/>
      <c r="K185" s="238"/>
      <c r="L185" s="238"/>
    </row>
    <row r="186" spans="9:12" x14ac:dyDescent="0.15">
      <c r="I186" s="238"/>
      <c r="J186" s="238"/>
      <c r="K186" s="238"/>
      <c r="L186" s="238"/>
    </row>
  </sheetData>
  <mergeCells count="2">
    <mergeCell ref="C1:D1"/>
    <mergeCell ref="C4:D4"/>
  </mergeCells>
  <conditionalFormatting sqref="A5:A165">
    <cfRule type="expression" dxfId="5" priority="22" stopIfTrue="1">
      <formula>LEN(TRIM(A5))&gt;0</formula>
    </cfRule>
  </conditionalFormatting>
  <conditionalFormatting sqref="A5:G5 I5:L5 H5:H164 M5:XFD164 A6:L164">
    <cfRule type="expression" dxfId="4" priority="16" stopIfTrue="1">
      <formula>$B6=Total</formula>
    </cfRule>
  </conditionalFormatting>
  <conditionalFormatting sqref="B5:B164">
    <cfRule type="expression" dxfId="3" priority="17" stopIfTrue="1">
      <formula>NOT(ISERROR(SEARCH("Total",B5)))</formula>
    </cfRule>
  </conditionalFormatting>
  <conditionalFormatting sqref="B4:C4">
    <cfRule type="expression" priority="15" stopIfTrue="1">
      <formula>LEN(TRIM(B4))=0</formula>
    </cfRule>
  </conditionalFormatting>
  <conditionalFormatting sqref="B5:D165">
    <cfRule type="expression" dxfId="2" priority="18" stopIfTrue="1">
      <formula>LEFT(B5,LEN("Total"))="Total"</formula>
    </cfRule>
    <cfRule type="expression" priority="19" stopIfTrue="1">
      <formula>LEN(TRIM(B5))=0</formula>
    </cfRule>
  </conditionalFormatting>
  <conditionalFormatting sqref="E4:G4 I4:L5 A4:C164 H4:H164 M4:XFD164 D5:G5 D6:L164">
    <cfRule type="expression" dxfId="1" priority="14" stopIfTrue="1">
      <formula>$B$6=Total</formula>
    </cfRule>
  </conditionalFormatting>
  <pageMargins left="0.70866141732283516" right="0.70866141732283516" top="0.55118110236220508" bottom="0.74803149606299213" header="0.31496062992126012" footer="0.31496062992126012"/>
  <pageSetup paperSize="9" fitToWidth="0" fitToHeight="0" orientation="portrait" r:id="rId1"/>
  <headerFooter>
    <oddHeader>&amp;CPage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41"/>
  <sheetViews>
    <sheetView workbookViewId="0">
      <pane ySplit="1" topLeftCell="A272" activePane="bottomLeft" state="frozen"/>
      <selection pane="bottomLeft" activeCell="K296" sqref="K296"/>
    </sheetView>
  </sheetViews>
  <sheetFormatPr defaultRowHeight="15" x14ac:dyDescent="0.25"/>
  <cols>
    <col min="1" max="1" width="31.5703125" style="267" customWidth="1"/>
    <col min="2" max="13" width="4" customWidth="1"/>
    <col min="14" max="14" width="5.85546875" customWidth="1"/>
    <col min="15" max="29" width="4" customWidth="1"/>
    <col min="30" max="30" width="24.7109375" bestFit="1" customWidth="1"/>
    <col min="31" max="34" width="5.7109375" customWidth="1"/>
    <col min="35" max="35" width="8.85546875" customWidth="1"/>
  </cols>
  <sheetData>
    <row r="1" spans="1:39" x14ac:dyDescent="0.25">
      <c r="A1" s="249" t="s">
        <v>921</v>
      </c>
      <c r="B1" s="250" t="s">
        <v>922</v>
      </c>
      <c r="C1" s="251" t="s">
        <v>923</v>
      </c>
      <c r="D1" s="251" t="s">
        <v>924</v>
      </c>
      <c r="E1" s="251" t="s">
        <v>925</v>
      </c>
      <c r="F1" s="251" t="s">
        <v>926</v>
      </c>
      <c r="G1" s="251" t="s">
        <v>927</v>
      </c>
      <c r="H1" s="252" t="s">
        <v>928</v>
      </c>
      <c r="I1" s="250" t="s">
        <v>929</v>
      </c>
      <c r="J1" s="251" t="s">
        <v>930</v>
      </c>
      <c r="K1" s="251" t="s">
        <v>931</v>
      </c>
      <c r="L1" s="251" t="s">
        <v>932</v>
      </c>
      <c r="M1" s="251" t="s">
        <v>933</v>
      </c>
      <c r="N1" s="251" t="s">
        <v>934</v>
      </c>
      <c r="O1" s="252" t="s">
        <v>935</v>
      </c>
      <c r="P1" s="251" t="s">
        <v>936</v>
      </c>
      <c r="Q1" s="251" t="s">
        <v>937</v>
      </c>
      <c r="R1" s="251" t="s">
        <v>938</v>
      </c>
      <c r="S1" s="251" t="s">
        <v>939</v>
      </c>
      <c r="T1" s="251" t="s">
        <v>940</v>
      </c>
      <c r="U1" s="251" t="s">
        <v>941</v>
      </c>
      <c r="V1" s="253" t="s">
        <v>942</v>
      </c>
      <c r="W1" s="250" t="s">
        <v>943</v>
      </c>
      <c r="X1" s="251" t="s">
        <v>944</v>
      </c>
      <c r="Y1" s="251" t="s">
        <v>945</v>
      </c>
      <c r="Z1" s="251" t="s">
        <v>946</v>
      </c>
      <c r="AA1" s="251" t="s">
        <v>947</v>
      </c>
      <c r="AB1" s="251" t="s">
        <v>948</v>
      </c>
      <c r="AC1" s="252" t="s">
        <v>949</v>
      </c>
      <c r="AD1" s="254" t="s">
        <v>918</v>
      </c>
      <c r="AE1" s="255" t="s">
        <v>950</v>
      </c>
      <c r="AF1" s="255" t="s">
        <v>951</v>
      </c>
      <c r="AG1" s="255" t="s">
        <v>952</v>
      </c>
      <c r="AH1" s="255" t="s">
        <v>953</v>
      </c>
      <c r="AJ1" s="1261" t="s">
        <v>1302</v>
      </c>
      <c r="AK1" s="1261"/>
      <c r="AL1" s="1261"/>
      <c r="AM1" s="1261"/>
    </row>
    <row r="2" spans="1:39" x14ac:dyDescent="0.25">
      <c r="A2" s="256" t="s">
        <v>19</v>
      </c>
      <c r="B2" s="257" t="s">
        <v>23</v>
      </c>
      <c r="C2" s="258"/>
      <c r="D2" s="258" t="s">
        <v>32</v>
      </c>
      <c r="E2" s="258" t="s">
        <v>32</v>
      </c>
      <c r="F2" s="258"/>
      <c r="G2" s="149">
        <v>35</v>
      </c>
      <c r="H2" s="259">
        <v>4</v>
      </c>
      <c r="I2" s="257" t="s">
        <v>32</v>
      </c>
      <c r="J2" s="258"/>
      <c r="K2" s="258" t="s">
        <v>32</v>
      </c>
      <c r="L2" s="258" t="s">
        <v>32</v>
      </c>
      <c r="M2" s="258"/>
      <c r="N2" s="149">
        <v>35</v>
      </c>
      <c r="O2" s="259">
        <v>4</v>
      </c>
      <c r="P2" s="258" t="s">
        <v>32</v>
      </c>
      <c r="Q2" s="258"/>
      <c r="R2" s="258" t="s">
        <v>32</v>
      </c>
      <c r="S2" s="258" t="s">
        <v>32</v>
      </c>
      <c r="T2" s="258"/>
      <c r="U2" s="149">
        <v>45</v>
      </c>
      <c r="V2" s="149">
        <v>2</v>
      </c>
      <c r="W2" s="257"/>
      <c r="X2" s="258"/>
      <c r="Y2" s="258"/>
      <c r="Z2" s="258"/>
      <c r="AA2" s="258"/>
      <c r="AB2" s="149" t="s">
        <v>954</v>
      </c>
      <c r="AC2" s="259">
        <v>1</v>
      </c>
      <c r="AD2" s="149" t="s">
        <v>955</v>
      </c>
      <c r="AE2">
        <f>G2</f>
        <v>35</v>
      </c>
      <c r="AF2">
        <f>N2</f>
        <v>35</v>
      </c>
      <c r="AG2">
        <f>U2</f>
        <v>45</v>
      </c>
      <c r="AH2">
        <f t="shared" ref="AH2:AH9" si="0">IF(AB2="S",30,IF(AB2="M",45,IF(AB2="L",60,"")))</f>
        <v>45</v>
      </c>
      <c r="AJ2" t="s">
        <v>1303</v>
      </c>
      <c r="AK2" t="s">
        <v>1449</v>
      </c>
      <c r="AL2" t="s">
        <v>1565</v>
      </c>
    </row>
    <row r="3" spans="1:39" x14ac:dyDescent="0.25">
      <c r="A3" s="256" t="s">
        <v>25</v>
      </c>
      <c r="B3" s="257"/>
      <c r="C3" s="258"/>
      <c r="D3" s="258"/>
      <c r="E3" s="258"/>
      <c r="F3" s="258"/>
      <c r="G3" s="149"/>
      <c r="H3" s="259">
        <v>4</v>
      </c>
      <c r="I3" s="257"/>
      <c r="J3" s="258"/>
      <c r="K3" s="258"/>
      <c r="L3" s="258"/>
      <c r="M3" s="258"/>
      <c r="N3" s="149"/>
      <c r="O3" s="259">
        <v>1</v>
      </c>
      <c r="P3" s="258"/>
      <c r="Q3" s="258"/>
      <c r="R3" s="258"/>
      <c r="S3" s="258"/>
      <c r="T3" s="258"/>
      <c r="U3" s="149" t="s">
        <v>1130</v>
      </c>
      <c r="V3" s="149"/>
      <c r="W3" s="257"/>
      <c r="X3" s="258"/>
      <c r="Y3" s="258"/>
      <c r="Z3" s="258"/>
      <c r="AA3" s="258"/>
      <c r="AB3" s="149"/>
      <c r="AC3" s="259"/>
      <c r="AD3" s="149" t="s">
        <v>955</v>
      </c>
      <c r="AE3">
        <f t="shared" ref="AE3:AE71" si="1">G3</f>
        <v>0</v>
      </c>
      <c r="AF3">
        <f t="shared" ref="AF3:AF71" si="2">N3</f>
        <v>0</v>
      </c>
      <c r="AG3" t="str">
        <f t="shared" ref="AG3:AG71" si="3">U3</f>
        <v/>
      </c>
      <c r="AH3" t="str">
        <f t="shared" si="0"/>
        <v/>
      </c>
    </row>
    <row r="4" spans="1:39" x14ac:dyDescent="0.25">
      <c r="A4" s="256" t="s">
        <v>515</v>
      </c>
      <c r="B4" s="260"/>
      <c r="C4" s="261"/>
      <c r="D4" s="261"/>
      <c r="E4" s="261"/>
      <c r="F4" s="261"/>
      <c r="G4" s="262"/>
      <c r="H4" s="263"/>
      <c r="I4" s="257"/>
      <c r="J4" s="258"/>
      <c r="K4" s="258"/>
      <c r="L4" s="258"/>
      <c r="M4" s="258"/>
      <c r="N4" s="149"/>
      <c r="O4" s="259">
        <v>2</v>
      </c>
      <c r="P4" s="258"/>
      <c r="Q4" s="258"/>
      <c r="R4" s="258"/>
      <c r="S4" s="258"/>
      <c r="T4" s="258"/>
      <c r="U4" s="149"/>
      <c r="V4" s="149"/>
      <c r="W4" s="257"/>
      <c r="X4" s="258"/>
      <c r="Y4" s="258"/>
      <c r="Z4" s="258"/>
      <c r="AA4" s="258"/>
      <c r="AB4" s="149"/>
      <c r="AC4" s="259"/>
      <c r="AD4" s="149"/>
      <c r="AE4">
        <f t="shared" si="1"/>
        <v>0</v>
      </c>
      <c r="AF4">
        <f t="shared" si="2"/>
        <v>0</v>
      </c>
      <c r="AG4">
        <f t="shared" si="3"/>
        <v>0</v>
      </c>
      <c r="AH4" t="str">
        <f t="shared" si="0"/>
        <v/>
      </c>
      <c r="AJ4" t="s">
        <v>1318</v>
      </c>
    </row>
    <row r="5" spans="1:39" x14ac:dyDescent="0.25">
      <c r="A5" s="256" t="s">
        <v>27</v>
      </c>
      <c r="B5" s="257"/>
      <c r="C5" s="258"/>
      <c r="D5" s="258" t="s">
        <v>32</v>
      </c>
      <c r="E5" s="258"/>
      <c r="F5" s="258"/>
      <c r="G5" s="149">
        <v>30</v>
      </c>
      <c r="H5" s="259">
        <v>2</v>
      </c>
      <c r="I5" s="257"/>
      <c r="J5" s="258"/>
      <c r="K5" s="258"/>
      <c r="L5" s="258"/>
      <c r="M5" s="258"/>
      <c r="N5" s="149">
        <v>40</v>
      </c>
      <c r="O5" s="259">
        <v>2</v>
      </c>
      <c r="P5" s="258" t="s">
        <v>32</v>
      </c>
      <c r="Q5" s="258"/>
      <c r="R5" s="258" t="s">
        <v>32</v>
      </c>
      <c r="S5" s="258"/>
      <c r="T5" s="258"/>
      <c r="U5" s="149">
        <v>45</v>
      </c>
      <c r="V5" s="149">
        <v>2</v>
      </c>
      <c r="W5" s="257"/>
      <c r="X5" s="258"/>
      <c r="Y5" s="258"/>
      <c r="Z5" s="258"/>
      <c r="AA5" s="258"/>
      <c r="AB5" s="149"/>
      <c r="AC5" s="259"/>
      <c r="AD5" s="149" t="s">
        <v>955</v>
      </c>
      <c r="AE5">
        <f t="shared" si="1"/>
        <v>30</v>
      </c>
      <c r="AF5">
        <f t="shared" si="2"/>
        <v>40</v>
      </c>
      <c r="AG5">
        <f t="shared" si="3"/>
        <v>45</v>
      </c>
      <c r="AH5" t="str">
        <f t="shared" si="0"/>
        <v/>
      </c>
      <c r="AJ5" t="s">
        <v>1304</v>
      </c>
      <c r="AK5" t="s">
        <v>1450</v>
      </c>
      <c r="AL5" t="s">
        <v>1566</v>
      </c>
    </row>
    <row r="6" spans="1:39" x14ac:dyDescent="0.25">
      <c r="A6" s="256" t="s">
        <v>33</v>
      </c>
      <c r="B6" s="257"/>
      <c r="C6" s="258"/>
      <c r="D6" s="258"/>
      <c r="E6" s="258"/>
      <c r="F6" s="258"/>
      <c r="G6" s="149">
        <v>30</v>
      </c>
      <c r="H6" s="259">
        <v>3</v>
      </c>
      <c r="I6" s="257"/>
      <c r="J6" s="258"/>
      <c r="K6" s="258"/>
      <c r="L6" s="258"/>
      <c r="M6" s="258"/>
      <c r="N6" s="149"/>
      <c r="O6" s="259">
        <v>1</v>
      </c>
      <c r="P6" s="258"/>
      <c r="Q6" s="258"/>
      <c r="R6" s="258"/>
      <c r="S6" s="258"/>
      <c r="T6" s="258"/>
      <c r="U6" s="149"/>
      <c r="V6" s="149">
        <v>2</v>
      </c>
      <c r="W6" s="257"/>
      <c r="X6" s="258"/>
      <c r="Y6" s="258"/>
      <c r="Z6" s="258"/>
      <c r="AA6" s="258"/>
      <c r="AB6" s="149"/>
      <c r="AC6" s="259"/>
      <c r="AD6" s="149" t="s">
        <v>955</v>
      </c>
      <c r="AE6">
        <f t="shared" si="1"/>
        <v>30</v>
      </c>
      <c r="AF6">
        <f t="shared" si="2"/>
        <v>0</v>
      </c>
      <c r="AG6">
        <f t="shared" si="3"/>
        <v>0</v>
      </c>
      <c r="AH6" t="str">
        <f t="shared" si="0"/>
        <v/>
      </c>
      <c r="AJ6" t="s">
        <v>1305</v>
      </c>
      <c r="AK6" t="s">
        <v>1451</v>
      </c>
      <c r="AL6" t="s">
        <v>1567</v>
      </c>
    </row>
    <row r="7" spans="1:39" x14ac:dyDescent="0.25">
      <c r="A7" s="256" t="s">
        <v>36</v>
      </c>
      <c r="B7" s="257"/>
      <c r="C7" s="258"/>
      <c r="D7" s="258"/>
      <c r="E7" s="258"/>
      <c r="F7" s="258"/>
      <c r="G7" s="149"/>
      <c r="H7" s="259">
        <v>1</v>
      </c>
      <c r="I7" s="257"/>
      <c r="J7" s="258"/>
      <c r="K7" s="258"/>
      <c r="L7" s="258"/>
      <c r="M7" s="258"/>
      <c r="N7" s="149"/>
      <c r="O7" s="259"/>
      <c r="P7" s="258"/>
      <c r="Q7" s="258"/>
      <c r="R7" s="258"/>
      <c r="S7" s="258"/>
      <c r="T7" s="258"/>
      <c r="U7" s="149"/>
      <c r="V7" s="149"/>
      <c r="W7" s="257"/>
      <c r="X7" s="258"/>
      <c r="Y7" s="258"/>
      <c r="Z7" s="258"/>
      <c r="AA7" s="258"/>
      <c r="AB7" s="149"/>
      <c r="AC7" s="259"/>
      <c r="AD7" s="149" t="s">
        <v>955</v>
      </c>
      <c r="AE7">
        <f t="shared" si="1"/>
        <v>0</v>
      </c>
      <c r="AF7">
        <f t="shared" si="2"/>
        <v>0</v>
      </c>
      <c r="AG7">
        <f t="shared" si="3"/>
        <v>0</v>
      </c>
      <c r="AH7" t="str">
        <f t="shared" si="0"/>
        <v/>
      </c>
      <c r="AJ7" t="s">
        <v>1306</v>
      </c>
    </row>
    <row r="8" spans="1:39" x14ac:dyDescent="0.25">
      <c r="A8" s="256" t="s">
        <v>40</v>
      </c>
      <c r="B8" s="257" t="s">
        <v>32</v>
      </c>
      <c r="C8" s="258"/>
      <c r="D8" s="258" t="s">
        <v>32</v>
      </c>
      <c r="E8" s="258" t="s">
        <v>32</v>
      </c>
      <c r="F8" s="258"/>
      <c r="G8" s="149">
        <v>35</v>
      </c>
      <c r="H8" s="259">
        <v>1</v>
      </c>
      <c r="I8" s="257" t="s">
        <v>32</v>
      </c>
      <c r="J8" s="258"/>
      <c r="K8" s="258" t="s">
        <v>32</v>
      </c>
      <c r="L8" s="258" t="s">
        <v>32</v>
      </c>
      <c r="M8" s="258"/>
      <c r="N8" s="149">
        <v>35</v>
      </c>
      <c r="O8" s="259">
        <v>1</v>
      </c>
      <c r="P8" s="258" t="s">
        <v>32</v>
      </c>
      <c r="Q8" s="258"/>
      <c r="R8" s="258" t="s">
        <v>32</v>
      </c>
      <c r="S8" s="258" t="s">
        <v>32</v>
      </c>
      <c r="T8" s="258"/>
      <c r="U8" s="149">
        <v>45</v>
      </c>
      <c r="V8" s="149">
        <v>1</v>
      </c>
      <c r="W8" s="257"/>
      <c r="X8" s="258"/>
      <c r="Y8" s="258"/>
      <c r="Z8" s="258"/>
      <c r="AA8" s="258"/>
      <c r="AB8" s="149"/>
      <c r="AC8" s="259"/>
      <c r="AD8" s="149" t="s">
        <v>955</v>
      </c>
      <c r="AE8">
        <f t="shared" si="1"/>
        <v>35</v>
      </c>
      <c r="AF8">
        <f t="shared" si="2"/>
        <v>35</v>
      </c>
      <c r="AG8">
        <f t="shared" si="3"/>
        <v>45</v>
      </c>
      <c r="AH8" t="str">
        <f t="shared" si="0"/>
        <v/>
      </c>
      <c r="AJ8" t="s">
        <v>1307</v>
      </c>
      <c r="AK8" t="s">
        <v>1452</v>
      </c>
      <c r="AL8" t="s">
        <v>1568</v>
      </c>
    </row>
    <row r="9" spans="1:39" x14ac:dyDescent="0.25">
      <c r="A9" s="256" t="s">
        <v>43</v>
      </c>
      <c r="B9" s="257" t="s">
        <v>32</v>
      </c>
      <c r="C9" s="258"/>
      <c r="D9" s="258" t="s">
        <v>32</v>
      </c>
      <c r="E9" s="258" t="s">
        <v>32</v>
      </c>
      <c r="F9" s="258"/>
      <c r="G9" s="149">
        <v>35</v>
      </c>
      <c r="H9" s="259">
        <v>2</v>
      </c>
      <c r="I9" s="257"/>
      <c r="J9" s="258"/>
      <c r="K9" s="258" t="s">
        <v>32</v>
      </c>
      <c r="L9" s="258" t="s">
        <v>32</v>
      </c>
      <c r="M9" s="258"/>
      <c r="N9" s="149">
        <v>35</v>
      </c>
      <c r="O9" s="259">
        <v>2</v>
      </c>
      <c r="P9" s="258"/>
      <c r="Q9" s="258"/>
      <c r="R9" s="258"/>
      <c r="S9" s="258"/>
      <c r="T9" s="258"/>
      <c r="U9" s="149"/>
      <c r="V9" s="149">
        <v>2</v>
      </c>
      <c r="W9" s="257"/>
      <c r="X9" s="258"/>
      <c r="Y9" s="258"/>
      <c r="Z9" s="258"/>
      <c r="AA9" s="258"/>
      <c r="AB9" s="149"/>
      <c r="AC9" s="259"/>
      <c r="AD9" s="149" t="s">
        <v>955</v>
      </c>
      <c r="AE9">
        <f t="shared" si="1"/>
        <v>35</v>
      </c>
      <c r="AF9">
        <f t="shared" si="2"/>
        <v>35</v>
      </c>
      <c r="AG9">
        <f t="shared" si="3"/>
        <v>0</v>
      </c>
      <c r="AH9" t="str">
        <f t="shared" si="0"/>
        <v/>
      </c>
      <c r="AJ9" t="s">
        <v>1308</v>
      </c>
      <c r="AK9" t="s">
        <v>1453</v>
      </c>
      <c r="AL9" t="s">
        <v>1569</v>
      </c>
    </row>
    <row r="10" spans="1:39" x14ac:dyDescent="0.25">
      <c r="A10" s="256" t="s">
        <v>1026</v>
      </c>
      <c r="B10" s="257"/>
      <c r="C10" s="258"/>
      <c r="D10" s="258"/>
      <c r="E10" s="258"/>
      <c r="F10" s="258"/>
      <c r="G10" s="149"/>
      <c r="H10" s="259">
        <v>2</v>
      </c>
      <c r="I10" s="257"/>
      <c r="J10" s="258"/>
      <c r="K10" s="258"/>
      <c r="L10" s="258"/>
      <c r="M10" s="258"/>
      <c r="N10" s="149"/>
      <c r="O10" s="259"/>
      <c r="P10" s="258"/>
      <c r="Q10" s="258"/>
      <c r="R10" s="258"/>
      <c r="S10" s="258"/>
      <c r="T10" s="258"/>
      <c r="U10" s="149"/>
      <c r="V10" s="149"/>
      <c r="W10" s="257"/>
      <c r="X10" s="258"/>
      <c r="Y10" s="258"/>
      <c r="Z10" s="258"/>
      <c r="AA10" s="258"/>
      <c r="AB10" s="149"/>
      <c r="AC10" s="259"/>
      <c r="AD10" s="149"/>
      <c r="AE10">
        <f t="shared" si="1"/>
        <v>0</v>
      </c>
      <c r="AF10">
        <f t="shared" si="2"/>
        <v>0</v>
      </c>
      <c r="AG10">
        <f t="shared" si="3"/>
        <v>0</v>
      </c>
      <c r="AJ10" t="s">
        <v>1309</v>
      </c>
      <c r="AK10" t="s">
        <v>1458</v>
      </c>
    </row>
    <row r="11" spans="1:39" x14ac:dyDescent="0.25">
      <c r="A11" s="256" t="s">
        <v>46</v>
      </c>
      <c r="B11" s="257"/>
      <c r="C11" s="258"/>
      <c r="D11" s="258"/>
      <c r="E11" s="258"/>
      <c r="F11" s="258"/>
      <c r="G11" s="149"/>
      <c r="H11" s="259">
        <v>2</v>
      </c>
      <c r="I11" s="257"/>
      <c r="J11" s="258"/>
      <c r="K11" s="258"/>
      <c r="L11" s="258"/>
      <c r="M11" s="258"/>
      <c r="N11" s="149"/>
      <c r="O11" s="259"/>
      <c r="P11" s="258"/>
      <c r="Q11" s="258"/>
      <c r="R11" s="258"/>
      <c r="S11" s="258"/>
      <c r="T11" s="258"/>
      <c r="U11" s="149"/>
      <c r="V11" s="149"/>
      <c r="W11" s="257"/>
      <c r="X11" s="258"/>
      <c r="Y11" s="258"/>
      <c r="Z11" s="258"/>
      <c r="AA11" s="258"/>
      <c r="AB11" s="149"/>
      <c r="AC11" s="259"/>
      <c r="AD11" s="149" t="s">
        <v>955</v>
      </c>
      <c r="AE11">
        <f t="shared" si="1"/>
        <v>0</v>
      </c>
      <c r="AF11">
        <f t="shared" si="2"/>
        <v>0</v>
      </c>
      <c r="AG11">
        <f t="shared" si="3"/>
        <v>0</v>
      </c>
      <c r="AH11" t="str">
        <f t="shared" ref="AH11:AH34" si="4">IF(AB11="S",30,IF(AB11="M",45,IF(AB11="L",60,"")))</f>
        <v/>
      </c>
      <c r="AJ11" t="s">
        <v>1310</v>
      </c>
    </row>
    <row r="12" spans="1:39" x14ac:dyDescent="0.25">
      <c r="A12" s="256" t="s">
        <v>49</v>
      </c>
      <c r="B12" s="257"/>
      <c r="C12" s="258"/>
      <c r="D12" s="258"/>
      <c r="E12" s="258"/>
      <c r="F12" s="258"/>
      <c r="G12" s="149"/>
      <c r="H12" s="259">
        <v>1</v>
      </c>
      <c r="I12" s="257"/>
      <c r="J12" s="258"/>
      <c r="K12" s="258"/>
      <c r="L12" s="258"/>
      <c r="M12" s="258"/>
      <c r="N12" s="149"/>
      <c r="O12" s="259">
        <v>1</v>
      </c>
      <c r="P12" s="258"/>
      <c r="Q12" s="258"/>
      <c r="R12" s="258"/>
      <c r="S12" s="258"/>
      <c r="T12" s="258"/>
      <c r="U12" s="149"/>
      <c r="V12" s="149">
        <v>45</v>
      </c>
      <c r="W12" s="257"/>
      <c r="X12" s="258"/>
      <c r="Y12" s="258"/>
      <c r="Z12" s="258"/>
      <c r="AA12" s="258"/>
      <c r="AB12" s="149"/>
      <c r="AC12" s="259"/>
      <c r="AD12" s="149" t="s">
        <v>955</v>
      </c>
      <c r="AE12">
        <f t="shared" si="1"/>
        <v>0</v>
      </c>
      <c r="AF12">
        <f t="shared" si="2"/>
        <v>0</v>
      </c>
      <c r="AG12">
        <f t="shared" si="3"/>
        <v>0</v>
      </c>
      <c r="AH12" t="str">
        <f t="shared" si="4"/>
        <v/>
      </c>
      <c r="AJ12" t="s">
        <v>1311</v>
      </c>
      <c r="AK12" t="s">
        <v>1454</v>
      </c>
    </row>
    <row r="13" spans="1:39" x14ac:dyDescent="0.25">
      <c r="A13" s="256" t="s">
        <v>52</v>
      </c>
      <c r="B13" s="257" t="s">
        <v>32</v>
      </c>
      <c r="C13" s="258"/>
      <c r="D13" s="258" t="s">
        <v>32</v>
      </c>
      <c r="E13" s="258"/>
      <c r="F13" s="258"/>
      <c r="G13" s="149">
        <v>35</v>
      </c>
      <c r="H13" s="259">
        <v>2</v>
      </c>
      <c r="I13" s="257"/>
      <c r="J13" s="258"/>
      <c r="K13" s="258"/>
      <c r="L13" s="258"/>
      <c r="M13" s="258"/>
      <c r="N13" s="149"/>
      <c r="O13" s="259">
        <v>1</v>
      </c>
      <c r="P13" s="258" t="s">
        <v>32</v>
      </c>
      <c r="Q13" s="258" t="s">
        <v>32</v>
      </c>
      <c r="R13" s="258"/>
      <c r="S13" s="258"/>
      <c r="T13" s="258"/>
      <c r="U13" s="149"/>
      <c r="V13" s="149">
        <v>1</v>
      </c>
      <c r="W13" s="257"/>
      <c r="X13" s="258"/>
      <c r="Y13" s="258"/>
      <c r="Z13" s="258"/>
      <c r="AA13" s="258"/>
      <c r="AB13" s="149"/>
      <c r="AC13" s="259"/>
      <c r="AD13" s="149" t="s">
        <v>955</v>
      </c>
      <c r="AE13">
        <f t="shared" si="1"/>
        <v>35</v>
      </c>
      <c r="AF13">
        <f t="shared" si="2"/>
        <v>0</v>
      </c>
      <c r="AG13">
        <f t="shared" si="3"/>
        <v>0</v>
      </c>
      <c r="AH13" t="str">
        <f t="shared" si="4"/>
        <v/>
      </c>
      <c r="AJ13" t="s">
        <v>1312</v>
      </c>
      <c r="AK13" t="s">
        <v>1455</v>
      </c>
      <c r="AL13" t="s">
        <v>1570</v>
      </c>
    </row>
    <row r="14" spans="1:39" x14ac:dyDescent="0.25">
      <c r="A14" s="256" t="s">
        <v>516</v>
      </c>
      <c r="B14" s="260"/>
      <c r="C14" s="261"/>
      <c r="D14" s="261"/>
      <c r="E14" s="261"/>
      <c r="F14" s="261"/>
      <c r="G14" s="262"/>
      <c r="H14" s="263"/>
      <c r="I14" s="257"/>
      <c r="J14" s="258"/>
      <c r="K14" s="258"/>
      <c r="L14" s="258"/>
      <c r="M14" s="258"/>
      <c r="N14" s="149"/>
      <c r="O14" s="259">
        <v>2</v>
      </c>
      <c r="P14" s="258"/>
      <c r="Q14" s="258"/>
      <c r="R14" s="258"/>
      <c r="S14" s="258"/>
      <c r="T14" s="258"/>
      <c r="U14" s="149"/>
      <c r="V14" s="149"/>
      <c r="W14" s="257"/>
      <c r="X14" s="258"/>
      <c r="Y14" s="258"/>
      <c r="Z14" s="258"/>
      <c r="AA14" s="258"/>
      <c r="AB14" s="149"/>
      <c r="AC14" s="259"/>
      <c r="AD14" s="149"/>
      <c r="AE14">
        <f t="shared" si="1"/>
        <v>0</v>
      </c>
      <c r="AF14">
        <f t="shared" si="2"/>
        <v>0</v>
      </c>
      <c r="AG14">
        <f t="shared" si="3"/>
        <v>0</v>
      </c>
      <c r="AH14" t="str">
        <f t="shared" si="4"/>
        <v/>
      </c>
      <c r="AJ14" t="s">
        <v>1313</v>
      </c>
    </row>
    <row r="15" spans="1:39" x14ac:dyDescent="0.25">
      <c r="A15" s="256" t="s">
        <v>55</v>
      </c>
      <c r="B15" s="257"/>
      <c r="C15" s="258"/>
      <c r="D15" s="258"/>
      <c r="E15" s="258"/>
      <c r="F15" s="258"/>
      <c r="G15" s="149"/>
      <c r="H15" s="259">
        <v>2</v>
      </c>
      <c r="I15" s="257"/>
      <c r="J15" s="258"/>
      <c r="K15" s="258"/>
      <c r="L15" s="258"/>
      <c r="M15" s="258"/>
      <c r="N15" s="149"/>
      <c r="O15" s="259">
        <v>2</v>
      </c>
      <c r="P15" s="258"/>
      <c r="Q15" s="258"/>
      <c r="R15" s="258"/>
      <c r="S15" s="258"/>
      <c r="T15" s="258"/>
      <c r="U15" s="149"/>
      <c r="V15" s="149"/>
      <c r="W15" s="257"/>
      <c r="X15" s="258"/>
      <c r="Y15" s="258"/>
      <c r="Z15" s="258"/>
      <c r="AA15" s="258"/>
      <c r="AB15" s="149"/>
      <c r="AC15" s="259"/>
      <c r="AD15" s="149" t="s">
        <v>955</v>
      </c>
      <c r="AE15">
        <f t="shared" si="1"/>
        <v>0</v>
      </c>
      <c r="AF15">
        <f t="shared" si="2"/>
        <v>0</v>
      </c>
      <c r="AG15">
        <f t="shared" si="3"/>
        <v>0</v>
      </c>
      <c r="AH15" t="str">
        <f t="shared" si="4"/>
        <v/>
      </c>
      <c r="AJ15" t="s">
        <v>1314</v>
      </c>
      <c r="AK15" t="s">
        <v>1456</v>
      </c>
      <c r="AL15" t="s">
        <v>1571</v>
      </c>
    </row>
    <row r="16" spans="1:39" x14ac:dyDescent="0.25">
      <c r="A16" s="256" t="s">
        <v>58</v>
      </c>
      <c r="B16" s="257"/>
      <c r="C16" s="258"/>
      <c r="D16" s="258"/>
      <c r="E16" s="258"/>
      <c r="F16" s="258"/>
      <c r="G16" s="149"/>
      <c r="H16" s="259">
        <v>3</v>
      </c>
      <c r="I16" s="257"/>
      <c r="J16" s="258"/>
      <c r="K16" s="258"/>
      <c r="L16" s="258"/>
      <c r="M16" s="258"/>
      <c r="N16" s="149"/>
      <c r="O16" s="259"/>
      <c r="P16" s="258"/>
      <c r="Q16" s="258"/>
      <c r="R16" s="258"/>
      <c r="S16" s="258"/>
      <c r="T16" s="258"/>
      <c r="U16" s="149"/>
      <c r="V16" s="149"/>
      <c r="W16" s="257"/>
      <c r="X16" s="258"/>
      <c r="Y16" s="258"/>
      <c r="Z16" s="258"/>
      <c r="AA16" s="258"/>
      <c r="AB16" s="149"/>
      <c r="AC16" s="259"/>
      <c r="AD16" s="149" t="s">
        <v>955</v>
      </c>
      <c r="AE16">
        <f t="shared" si="1"/>
        <v>0</v>
      </c>
      <c r="AF16">
        <f t="shared" si="2"/>
        <v>0</v>
      </c>
      <c r="AG16">
        <f t="shared" si="3"/>
        <v>0</v>
      </c>
      <c r="AH16" t="str">
        <f t="shared" si="4"/>
        <v/>
      </c>
      <c r="AJ16" t="s">
        <v>1315</v>
      </c>
    </row>
    <row r="17" spans="1:38" x14ac:dyDescent="0.25">
      <c r="A17" s="256" t="s">
        <v>61</v>
      </c>
      <c r="B17" s="257"/>
      <c r="C17" s="258"/>
      <c r="D17" s="258"/>
      <c r="E17" s="258"/>
      <c r="F17" s="258"/>
      <c r="G17" s="149"/>
      <c r="H17" s="259">
        <v>1</v>
      </c>
      <c r="I17" s="257"/>
      <c r="J17" s="258"/>
      <c r="K17" s="258"/>
      <c r="L17" s="258"/>
      <c r="M17" s="258"/>
      <c r="N17" s="149"/>
      <c r="O17" s="259">
        <v>1</v>
      </c>
      <c r="P17" s="258"/>
      <c r="Q17" s="258"/>
      <c r="R17" s="258"/>
      <c r="S17" s="258"/>
      <c r="T17" s="258"/>
      <c r="U17" s="149"/>
      <c r="V17" s="149"/>
      <c r="W17" s="257"/>
      <c r="X17" s="258"/>
      <c r="Y17" s="258"/>
      <c r="Z17" s="258"/>
      <c r="AA17" s="258"/>
      <c r="AB17" s="149"/>
      <c r="AC17" s="259"/>
      <c r="AD17" s="149" t="s">
        <v>955</v>
      </c>
      <c r="AE17">
        <f t="shared" si="1"/>
        <v>0</v>
      </c>
      <c r="AF17">
        <f t="shared" si="2"/>
        <v>0</v>
      </c>
      <c r="AG17">
        <f t="shared" si="3"/>
        <v>0</v>
      </c>
      <c r="AH17" t="str">
        <f t="shared" si="4"/>
        <v/>
      </c>
      <c r="AJ17" t="s">
        <v>1316</v>
      </c>
      <c r="AK17" t="s">
        <v>1457</v>
      </c>
      <c r="AL17" t="s">
        <v>1572</v>
      </c>
    </row>
    <row r="18" spans="1:38" x14ac:dyDescent="0.25">
      <c r="A18" s="256" t="s">
        <v>64</v>
      </c>
      <c r="B18" s="257"/>
      <c r="C18" s="258"/>
      <c r="D18" s="258"/>
      <c r="E18" s="258"/>
      <c r="F18" s="258"/>
      <c r="G18" s="149"/>
      <c r="H18" s="259">
        <v>2</v>
      </c>
      <c r="I18" s="257"/>
      <c r="J18" s="258"/>
      <c r="K18" s="258"/>
      <c r="L18" s="258"/>
      <c r="M18" s="258"/>
      <c r="N18" s="149"/>
      <c r="O18" s="259"/>
      <c r="P18" s="258"/>
      <c r="Q18" s="258"/>
      <c r="R18" s="258"/>
      <c r="S18" s="258"/>
      <c r="T18" s="258"/>
      <c r="U18" s="149"/>
      <c r="V18" s="149"/>
      <c r="W18" s="257"/>
      <c r="X18" s="258"/>
      <c r="Y18" s="258"/>
      <c r="Z18" s="258"/>
      <c r="AA18" s="258"/>
      <c r="AB18" s="149"/>
      <c r="AC18" s="259"/>
      <c r="AD18" s="149" t="s">
        <v>955</v>
      </c>
      <c r="AE18">
        <f t="shared" si="1"/>
        <v>0</v>
      </c>
      <c r="AF18">
        <f t="shared" si="2"/>
        <v>0</v>
      </c>
      <c r="AG18">
        <f t="shared" si="3"/>
        <v>0</v>
      </c>
      <c r="AH18" t="str">
        <f t="shared" si="4"/>
        <v/>
      </c>
      <c r="AJ18" t="s">
        <v>1317</v>
      </c>
    </row>
    <row r="19" spans="1:38" x14ac:dyDescent="0.25">
      <c r="A19" s="256" t="s">
        <v>519</v>
      </c>
      <c r="B19" s="257"/>
      <c r="C19" s="258"/>
      <c r="D19" s="258"/>
      <c r="E19" s="258"/>
      <c r="F19" s="258"/>
      <c r="G19" s="149"/>
      <c r="H19" s="259"/>
      <c r="I19" s="257"/>
      <c r="J19" s="258"/>
      <c r="K19" s="258"/>
      <c r="L19" s="258"/>
      <c r="M19" s="258"/>
      <c r="N19" s="149"/>
      <c r="O19" s="259">
        <v>2</v>
      </c>
      <c r="P19" s="258"/>
      <c r="Q19" s="258"/>
      <c r="R19" s="258"/>
      <c r="S19" s="258"/>
      <c r="T19" s="258"/>
      <c r="U19" s="149"/>
      <c r="V19" s="149"/>
      <c r="W19" s="257"/>
      <c r="X19" s="258"/>
      <c r="Y19" s="258"/>
      <c r="Z19" s="258"/>
      <c r="AA19" s="258"/>
      <c r="AB19" s="149"/>
      <c r="AC19" s="259"/>
      <c r="AD19" s="149"/>
      <c r="AE19">
        <f t="shared" si="1"/>
        <v>0</v>
      </c>
      <c r="AF19">
        <f t="shared" si="2"/>
        <v>0</v>
      </c>
      <c r="AG19">
        <f t="shared" si="3"/>
        <v>0</v>
      </c>
      <c r="AH19" t="str">
        <f t="shared" si="4"/>
        <v/>
      </c>
    </row>
    <row r="20" spans="1:38" x14ac:dyDescent="0.25">
      <c r="A20" s="256" t="s">
        <v>522</v>
      </c>
      <c r="B20" s="260"/>
      <c r="C20" s="261"/>
      <c r="D20" s="261"/>
      <c r="E20" s="261"/>
      <c r="F20" s="261"/>
      <c r="G20" s="262"/>
      <c r="H20" s="263"/>
      <c r="I20" s="257"/>
      <c r="J20" s="258"/>
      <c r="K20" s="258"/>
      <c r="L20" s="258"/>
      <c r="M20" s="258"/>
      <c r="N20" s="149"/>
      <c r="O20" s="259">
        <v>2</v>
      </c>
      <c r="P20" s="258"/>
      <c r="Q20" s="258"/>
      <c r="R20" s="258"/>
      <c r="S20" s="258"/>
      <c r="T20" s="258"/>
      <c r="U20" s="149"/>
      <c r="V20" s="149">
        <v>2</v>
      </c>
      <c r="W20" s="257"/>
      <c r="X20" s="258"/>
      <c r="Y20" s="258"/>
      <c r="Z20" s="258"/>
      <c r="AA20" s="258"/>
      <c r="AB20" s="149"/>
      <c r="AC20" s="259"/>
      <c r="AD20" s="149"/>
      <c r="AE20">
        <f t="shared" si="1"/>
        <v>0</v>
      </c>
      <c r="AF20">
        <f t="shared" si="2"/>
        <v>0</v>
      </c>
      <c r="AG20">
        <f t="shared" si="3"/>
        <v>0</v>
      </c>
      <c r="AH20" t="str">
        <f t="shared" si="4"/>
        <v/>
      </c>
      <c r="AK20" t="s">
        <v>1459</v>
      </c>
    </row>
    <row r="21" spans="1:38" x14ac:dyDescent="0.25">
      <c r="A21" s="256" t="s">
        <v>525</v>
      </c>
      <c r="B21" s="260"/>
      <c r="C21" s="261"/>
      <c r="D21" s="261"/>
      <c r="E21" s="261"/>
      <c r="F21" s="261"/>
      <c r="G21" s="262"/>
      <c r="H21" s="263"/>
      <c r="I21" s="257"/>
      <c r="J21" s="258"/>
      <c r="K21" s="258"/>
      <c r="L21" s="258"/>
      <c r="M21" s="258"/>
      <c r="N21" s="149"/>
      <c r="O21" s="259">
        <v>2</v>
      </c>
      <c r="P21" s="258"/>
      <c r="Q21" s="258"/>
      <c r="R21" s="258"/>
      <c r="S21" s="258"/>
      <c r="T21" s="258"/>
      <c r="U21" s="149"/>
      <c r="V21" s="149"/>
      <c r="W21" s="257"/>
      <c r="X21" s="258"/>
      <c r="Y21" s="258"/>
      <c r="Z21" s="258"/>
      <c r="AA21" s="258"/>
      <c r="AB21" s="149"/>
      <c r="AC21" s="259"/>
      <c r="AD21" s="149"/>
      <c r="AE21">
        <f t="shared" si="1"/>
        <v>0</v>
      </c>
      <c r="AF21">
        <f t="shared" si="2"/>
        <v>0</v>
      </c>
      <c r="AG21">
        <f t="shared" si="3"/>
        <v>0</v>
      </c>
      <c r="AH21" t="str">
        <f t="shared" si="4"/>
        <v/>
      </c>
    </row>
    <row r="22" spans="1:38" x14ac:dyDescent="0.25">
      <c r="A22" s="256" t="s">
        <v>527</v>
      </c>
      <c r="B22" s="260"/>
      <c r="C22" s="261"/>
      <c r="D22" s="261"/>
      <c r="E22" s="261"/>
      <c r="F22" s="261"/>
      <c r="G22" s="262"/>
      <c r="H22" s="263"/>
      <c r="I22" s="257"/>
      <c r="J22" s="258"/>
      <c r="K22" s="258"/>
      <c r="L22" s="258"/>
      <c r="M22" s="258"/>
      <c r="N22" s="149"/>
      <c r="O22" s="259">
        <v>2</v>
      </c>
      <c r="P22" s="258"/>
      <c r="Q22" s="258"/>
      <c r="R22" s="258"/>
      <c r="S22" s="258"/>
      <c r="T22" s="258"/>
      <c r="U22" s="149"/>
      <c r="V22" s="149"/>
      <c r="W22" s="257"/>
      <c r="X22" s="258"/>
      <c r="Y22" s="258"/>
      <c r="Z22" s="258"/>
      <c r="AA22" s="258"/>
      <c r="AB22" s="149"/>
      <c r="AC22" s="259"/>
      <c r="AD22" s="149"/>
      <c r="AE22">
        <f t="shared" si="1"/>
        <v>0</v>
      </c>
      <c r="AF22">
        <f t="shared" si="2"/>
        <v>0</v>
      </c>
      <c r="AG22">
        <f t="shared" si="3"/>
        <v>0</v>
      </c>
      <c r="AH22" t="str">
        <f t="shared" si="4"/>
        <v/>
      </c>
    </row>
    <row r="23" spans="1:38" x14ac:dyDescent="0.25">
      <c r="A23" s="256" t="s">
        <v>529</v>
      </c>
      <c r="B23" s="260"/>
      <c r="C23" s="261"/>
      <c r="D23" s="261"/>
      <c r="E23" s="261"/>
      <c r="F23" s="261"/>
      <c r="G23" s="262"/>
      <c r="H23" s="263"/>
      <c r="I23" s="257"/>
      <c r="J23" s="258"/>
      <c r="K23" s="258"/>
      <c r="L23" s="258"/>
      <c r="M23" s="258"/>
      <c r="N23" s="149"/>
      <c r="O23" s="259">
        <v>2</v>
      </c>
      <c r="P23" s="258"/>
      <c r="Q23" s="258"/>
      <c r="R23" s="258"/>
      <c r="S23" s="258"/>
      <c r="T23" s="258"/>
      <c r="U23" s="149"/>
      <c r="V23" s="149"/>
      <c r="W23" s="257"/>
      <c r="X23" s="258"/>
      <c r="Y23" s="258"/>
      <c r="Z23" s="258"/>
      <c r="AA23" s="258"/>
      <c r="AB23" s="149"/>
      <c r="AC23" s="259"/>
      <c r="AD23" s="149"/>
      <c r="AE23">
        <f t="shared" si="1"/>
        <v>0</v>
      </c>
      <c r="AF23">
        <f t="shared" si="2"/>
        <v>0</v>
      </c>
      <c r="AG23">
        <f t="shared" si="3"/>
        <v>0</v>
      </c>
      <c r="AH23" t="str">
        <f t="shared" si="4"/>
        <v/>
      </c>
    </row>
    <row r="24" spans="1:38" x14ac:dyDescent="0.25">
      <c r="A24" s="256" t="s">
        <v>531</v>
      </c>
      <c r="B24" s="260"/>
      <c r="C24" s="261"/>
      <c r="D24" s="261"/>
      <c r="E24" s="261"/>
      <c r="F24" s="261"/>
      <c r="G24" s="262"/>
      <c r="H24" s="263"/>
      <c r="I24" s="257"/>
      <c r="J24" s="258"/>
      <c r="K24" s="258"/>
      <c r="L24" s="258"/>
      <c r="M24" s="258"/>
      <c r="N24" s="149"/>
      <c r="O24" s="259">
        <v>2</v>
      </c>
      <c r="P24" s="258"/>
      <c r="Q24" s="258"/>
      <c r="R24" s="258"/>
      <c r="S24" s="258"/>
      <c r="T24" s="258"/>
      <c r="U24" s="149"/>
      <c r="V24" s="149"/>
      <c r="W24" s="257"/>
      <c r="X24" s="258"/>
      <c r="Y24" s="258"/>
      <c r="Z24" s="258"/>
      <c r="AA24" s="258"/>
      <c r="AB24" s="149"/>
      <c r="AC24" s="259"/>
      <c r="AD24" s="149"/>
      <c r="AE24">
        <f t="shared" si="1"/>
        <v>0</v>
      </c>
      <c r="AF24">
        <f t="shared" si="2"/>
        <v>0</v>
      </c>
      <c r="AG24">
        <f t="shared" si="3"/>
        <v>0</v>
      </c>
      <c r="AH24" t="str">
        <f t="shared" si="4"/>
        <v/>
      </c>
    </row>
    <row r="25" spans="1:38" x14ac:dyDescent="0.25">
      <c r="A25" s="256" t="s">
        <v>1223</v>
      </c>
      <c r="B25" s="260"/>
      <c r="C25" s="261"/>
      <c r="D25" s="261"/>
      <c r="E25" s="261"/>
      <c r="F25" s="261"/>
      <c r="G25" s="262"/>
      <c r="H25" s="263"/>
      <c r="I25" s="257"/>
      <c r="J25" s="258"/>
      <c r="K25" s="258"/>
      <c r="L25" s="258"/>
      <c r="M25" s="258"/>
      <c r="N25" s="149"/>
      <c r="O25" s="259">
        <v>2</v>
      </c>
      <c r="P25" s="258"/>
      <c r="Q25" s="258"/>
      <c r="R25" s="258"/>
      <c r="S25" s="258"/>
      <c r="T25" s="258"/>
      <c r="U25" s="149"/>
      <c r="V25" s="149"/>
      <c r="W25" s="257"/>
      <c r="X25" s="258"/>
      <c r="Y25" s="258"/>
      <c r="Z25" s="258"/>
      <c r="AA25" s="258"/>
      <c r="AB25" s="149"/>
      <c r="AC25" s="259"/>
      <c r="AD25" s="149"/>
      <c r="AE25">
        <f t="shared" si="1"/>
        <v>0</v>
      </c>
      <c r="AF25">
        <f t="shared" si="2"/>
        <v>0</v>
      </c>
      <c r="AG25">
        <f t="shared" si="3"/>
        <v>0</v>
      </c>
      <c r="AH25" t="str">
        <f t="shared" si="4"/>
        <v/>
      </c>
      <c r="AL25" t="s">
        <v>1573</v>
      </c>
    </row>
    <row r="26" spans="1:38" x14ac:dyDescent="0.25">
      <c r="A26" s="256" t="s">
        <v>1224</v>
      </c>
      <c r="B26" s="260"/>
      <c r="C26" s="261"/>
      <c r="D26" s="261"/>
      <c r="E26" s="261"/>
      <c r="F26" s="261"/>
      <c r="G26" s="262"/>
      <c r="H26" s="263"/>
      <c r="I26" s="257"/>
      <c r="J26" s="258"/>
      <c r="K26" s="258"/>
      <c r="L26" s="258"/>
      <c r="M26" s="258"/>
      <c r="N26" s="149"/>
      <c r="O26" s="259">
        <v>2</v>
      </c>
      <c r="P26" s="258"/>
      <c r="Q26" s="258"/>
      <c r="R26" s="258"/>
      <c r="S26" s="258"/>
      <c r="T26" s="258"/>
      <c r="U26" s="149"/>
      <c r="V26" s="149"/>
      <c r="W26" s="257"/>
      <c r="X26" s="258"/>
      <c r="Y26" s="258"/>
      <c r="Z26" s="258"/>
      <c r="AA26" s="258"/>
      <c r="AB26" s="149"/>
      <c r="AC26" s="259"/>
      <c r="AD26" s="149"/>
      <c r="AE26">
        <f t="shared" si="1"/>
        <v>0</v>
      </c>
      <c r="AF26">
        <f t="shared" si="2"/>
        <v>0</v>
      </c>
      <c r="AG26">
        <f t="shared" si="3"/>
        <v>0</v>
      </c>
      <c r="AH26" t="str">
        <f t="shared" si="4"/>
        <v/>
      </c>
      <c r="AL26" t="s">
        <v>1574</v>
      </c>
    </row>
    <row r="27" spans="1:38" x14ac:dyDescent="0.25">
      <c r="A27" s="256" t="s">
        <v>1225</v>
      </c>
      <c r="B27" s="260"/>
      <c r="C27" s="261"/>
      <c r="D27" s="261"/>
      <c r="E27" s="261"/>
      <c r="F27" s="261"/>
      <c r="G27" s="262"/>
      <c r="H27" s="263"/>
      <c r="I27" s="257"/>
      <c r="J27" s="258"/>
      <c r="K27" s="258"/>
      <c r="L27" s="258"/>
      <c r="M27" s="258"/>
      <c r="N27" s="149"/>
      <c r="O27" s="259">
        <v>2</v>
      </c>
      <c r="P27" s="258"/>
      <c r="Q27" s="258"/>
      <c r="R27" s="258"/>
      <c r="S27" s="258"/>
      <c r="T27" s="258"/>
      <c r="U27" s="149"/>
      <c r="V27" s="149"/>
      <c r="W27" s="257"/>
      <c r="X27" s="258"/>
      <c r="Y27" s="258"/>
      <c r="Z27" s="258"/>
      <c r="AA27" s="258"/>
      <c r="AB27" s="149"/>
      <c r="AC27" s="259"/>
      <c r="AD27" s="149"/>
      <c r="AE27">
        <f t="shared" si="1"/>
        <v>0</v>
      </c>
      <c r="AF27">
        <f t="shared" si="2"/>
        <v>0</v>
      </c>
      <c r="AG27">
        <f t="shared" si="3"/>
        <v>0</v>
      </c>
      <c r="AH27" t="str">
        <f t="shared" si="4"/>
        <v/>
      </c>
    </row>
    <row r="28" spans="1:38" x14ac:dyDescent="0.25">
      <c r="A28" s="256" t="s">
        <v>533</v>
      </c>
      <c r="B28" s="260"/>
      <c r="C28" s="261"/>
      <c r="D28" s="261"/>
      <c r="E28" s="261"/>
      <c r="F28" s="261"/>
      <c r="G28" s="262"/>
      <c r="H28" s="263"/>
      <c r="I28" s="257"/>
      <c r="J28" s="258"/>
      <c r="K28" s="258"/>
      <c r="L28" s="258"/>
      <c r="M28" s="258"/>
      <c r="N28" s="149"/>
      <c r="O28" s="259">
        <v>1</v>
      </c>
      <c r="P28" s="258"/>
      <c r="Q28" s="258"/>
      <c r="R28" s="258"/>
      <c r="S28" s="258"/>
      <c r="T28" s="258"/>
      <c r="U28" s="149"/>
      <c r="V28" s="149"/>
      <c r="W28" s="257"/>
      <c r="X28" s="258"/>
      <c r="Y28" s="258"/>
      <c r="Z28" s="258"/>
      <c r="AA28" s="258"/>
      <c r="AB28" s="149"/>
      <c r="AC28" s="259"/>
      <c r="AD28" s="149"/>
      <c r="AE28">
        <f t="shared" si="1"/>
        <v>0</v>
      </c>
      <c r="AF28">
        <f t="shared" si="2"/>
        <v>0</v>
      </c>
      <c r="AG28">
        <f t="shared" si="3"/>
        <v>0</v>
      </c>
      <c r="AH28" t="str">
        <f t="shared" si="4"/>
        <v/>
      </c>
    </row>
    <row r="29" spans="1:38" x14ac:dyDescent="0.25">
      <c r="A29" s="256" t="s">
        <v>536</v>
      </c>
      <c r="B29" s="260"/>
      <c r="C29" s="261"/>
      <c r="D29" s="261"/>
      <c r="E29" s="261"/>
      <c r="F29" s="261"/>
      <c r="G29" s="262"/>
      <c r="H29" s="263"/>
      <c r="I29" s="257"/>
      <c r="J29" s="258"/>
      <c r="K29" s="258"/>
      <c r="L29" s="258"/>
      <c r="M29" s="258"/>
      <c r="N29" s="149"/>
      <c r="O29" s="259">
        <v>1</v>
      </c>
      <c r="P29" s="258"/>
      <c r="Q29" s="258"/>
      <c r="R29" s="258"/>
      <c r="S29" s="258"/>
      <c r="T29" s="258"/>
      <c r="U29" s="149"/>
      <c r="V29" s="149"/>
      <c r="W29" s="257"/>
      <c r="X29" s="258"/>
      <c r="Y29" s="258"/>
      <c r="Z29" s="258"/>
      <c r="AA29" s="258"/>
      <c r="AB29" s="149"/>
      <c r="AC29" s="259"/>
      <c r="AD29" s="149"/>
      <c r="AE29">
        <f t="shared" si="1"/>
        <v>0</v>
      </c>
      <c r="AF29">
        <f t="shared" si="2"/>
        <v>0</v>
      </c>
      <c r="AG29">
        <f t="shared" si="3"/>
        <v>0</v>
      </c>
      <c r="AH29" t="str">
        <f t="shared" si="4"/>
        <v/>
      </c>
    </row>
    <row r="30" spans="1:38" x14ac:dyDescent="0.25">
      <c r="A30" s="256" t="s">
        <v>539</v>
      </c>
      <c r="B30" s="260"/>
      <c r="C30" s="261"/>
      <c r="D30" s="261"/>
      <c r="E30" s="261"/>
      <c r="F30" s="261"/>
      <c r="G30" s="262"/>
      <c r="H30" s="263"/>
      <c r="I30" s="257"/>
      <c r="J30" s="258"/>
      <c r="K30" s="258"/>
      <c r="L30" s="258"/>
      <c r="M30" s="258"/>
      <c r="N30" s="149"/>
      <c r="O30" s="259">
        <v>1</v>
      </c>
      <c r="P30" s="258"/>
      <c r="Q30" s="258"/>
      <c r="R30" s="258"/>
      <c r="S30" s="258"/>
      <c r="T30" s="258"/>
      <c r="U30" s="149"/>
      <c r="V30" s="149">
        <v>1</v>
      </c>
      <c r="W30" s="257"/>
      <c r="X30" s="258"/>
      <c r="Y30" s="258"/>
      <c r="Z30" s="258"/>
      <c r="AA30" s="258"/>
      <c r="AB30" s="149"/>
      <c r="AC30" s="259"/>
      <c r="AD30" s="149"/>
      <c r="AE30">
        <f t="shared" si="1"/>
        <v>0</v>
      </c>
      <c r="AF30">
        <f t="shared" si="2"/>
        <v>0</v>
      </c>
      <c r="AG30">
        <f t="shared" si="3"/>
        <v>0</v>
      </c>
      <c r="AH30" t="str">
        <f t="shared" si="4"/>
        <v/>
      </c>
    </row>
    <row r="31" spans="1:38" x14ac:dyDescent="0.25">
      <c r="A31" s="256" t="s">
        <v>67</v>
      </c>
      <c r="B31" s="257"/>
      <c r="C31" s="258"/>
      <c r="D31" s="258"/>
      <c r="E31" s="258"/>
      <c r="F31" s="258"/>
      <c r="G31" s="149"/>
      <c r="H31" s="259">
        <v>2</v>
      </c>
      <c r="I31" s="257"/>
      <c r="J31" s="258"/>
      <c r="K31" s="258"/>
      <c r="L31" s="258"/>
      <c r="M31" s="258"/>
      <c r="N31" s="149"/>
      <c r="O31" s="259">
        <v>2</v>
      </c>
      <c r="P31" s="258"/>
      <c r="Q31" s="258"/>
      <c r="R31" s="258"/>
      <c r="S31" s="258"/>
      <c r="T31" s="258"/>
      <c r="U31" s="149"/>
      <c r="V31" s="149"/>
      <c r="W31" s="257"/>
      <c r="X31" s="258"/>
      <c r="Y31" s="258"/>
      <c r="Z31" s="258"/>
      <c r="AA31" s="258"/>
      <c r="AB31" s="149"/>
      <c r="AC31" s="259"/>
      <c r="AD31" s="149"/>
      <c r="AE31">
        <f t="shared" si="1"/>
        <v>0</v>
      </c>
      <c r="AF31">
        <f t="shared" si="2"/>
        <v>0</v>
      </c>
      <c r="AG31">
        <f t="shared" si="3"/>
        <v>0</v>
      </c>
      <c r="AH31" t="str">
        <f t="shared" si="4"/>
        <v/>
      </c>
    </row>
    <row r="32" spans="1:38" x14ac:dyDescent="0.25">
      <c r="A32" s="256" t="s">
        <v>69</v>
      </c>
      <c r="B32" s="257"/>
      <c r="C32" s="258"/>
      <c r="D32" s="258"/>
      <c r="E32" s="258"/>
      <c r="F32" s="258"/>
      <c r="G32" s="149">
        <v>35</v>
      </c>
      <c r="H32" s="259">
        <v>2</v>
      </c>
      <c r="I32" s="257"/>
      <c r="J32" s="258"/>
      <c r="K32" s="258"/>
      <c r="L32" s="258"/>
      <c r="M32" s="258"/>
      <c r="N32" s="149"/>
      <c r="O32" s="259">
        <v>2</v>
      </c>
      <c r="P32" s="258"/>
      <c r="Q32" s="258"/>
      <c r="R32" s="258"/>
      <c r="S32" s="258"/>
      <c r="T32" s="258"/>
      <c r="U32" s="149"/>
      <c r="V32" s="149">
        <v>1</v>
      </c>
      <c r="W32" s="257"/>
      <c r="X32" s="258"/>
      <c r="Y32" s="258"/>
      <c r="Z32" s="258"/>
      <c r="AA32" s="258"/>
      <c r="AB32" s="149"/>
      <c r="AC32" s="259"/>
      <c r="AD32" s="149" t="s">
        <v>955</v>
      </c>
      <c r="AE32">
        <f t="shared" si="1"/>
        <v>35</v>
      </c>
      <c r="AF32">
        <f t="shared" si="2"/>
        <v>0</v>
      </c>
      <c r="AG32">
        <f t="shared" si="3"/>
        <v>0</v>
      </c>
      <c r="AH32" t="str">
        <f t="shared" si="4"/>
        <v/>
      </c>
      <c r="AJ32" t="s">
        <v>1319</v>
      </c>
      <c r="AK32" t="s">
        <v>1460</v>
      </c>
      <c r="AL32" t="s">
        <v>1575</v>
      </c>
    </row>
    <row r="33" spans="1:38" x14ac:dyDescent="0.25">
      <c r="A33" s="256" t="s">
        <v>72</v>
      </c>
      <c r="B33" s="257"/>
      <c r="C33" s="258"/>
      <c r="D33" s="258"/>
      <c r="E33" s="258"/>
      <c r="F33" s="258"/>
      <c r="G33" s="149"/>
      <c r="H33" s="259">
        <v>1</v>
      </c>
      <c r="I33" s="257"/>
      <c r="J33" s="258"/>
      <c r="K33" s="258"/>
      <c r="L33" s="258"/>
      <c r="M33" s="258"/>
      <c r="N33" s="149"/>
      <c r="O33" s="259">
        <v>2</v>
      </c>
      <c r="P33" s="258"/>
      <c r="Q33" s="258"/>
      <c r="R33" s="258"/>
      <c r="S33" s="258"/>
      <c r="T33" s="258"/>
      <c r="U33" s="149"/>
      <c r="V33" s="149"/>
      <c r="W33" s="257"/>
      <c r="X33" s="258"/>
      <c r="Y33" s="258"/>
      <c r="Z33" s="258"/>
      <c r="AA33" s="258"/>
      <c r="AB33" s="149"/>
      <c r="AC33" s="259"/>
      <c r="AD33" s="149" t="s">
        <v>955</v>
      </c>
      <c r="AE33">
        <f t="shared" si="1"/>
        <v>0</v>
      </c>
      <c r="AF33">
        <f t="shared" si="2"/>
        <v>0</v>
      </c>
      <c r="AG33">
        <f t="shared" si="3"/>
        <v>0</v>
      </c>
      <c r="AH33" t="str">
        <f t="shared" si="4"/>
        <v/>
      </c>
      <c r="AJ33" t="s">
        <v>1320</v>
      </c>
      <c r="AK33" t="s">
        <v>1461</v>
      </c>
    </row>
    <row r="34" spans="1:38" x14ac:dyDescent="0.25">
      <c r="A34" s="256" t="s">
        <v>75</v>
      </c>
      <c r="B34" s="257" t="s">
        <v>32</v>
      </c>
      <c r="C34" s="258"/>
      <c r="D34" s="258" t="s">
        <v>32</v>
      </c>
      <c r="E34" s="258"/>
      <c r="F34" s="258" t="s">
        <v>32</v>
      </c>
      <c r="G34" s="149">
        <v>30</v>
      </c>
      <c r="H34" s="259">
        <v>1</v>
      </c>
      <c r="I34" s="257" t="s">
        <v>32</v>
      </c>
      <c r="J34" s="258"/>
      <c r="K34" s="258" t="s">
        <v>32</v>
      </c>
      <c r="L34" s="258"/>
      <c r="M34" s="258"/>
      <c r="N34" s="149">
        <v>35</v>
      </c>
      <c r="O34" s="259">
        <v>1</v>
      </c>
      <c r="P34" s="258" t="s">
        <v>32</v>
      </c>
      <c r="Q34" s="258"/>
      <c r="R34" s="258" t="s">
        <v>32</v>
      </c>
      <c r="S34" s="258"/>
      <c r="T34" s="258" t="s">
        <v>32</v>
      </c>
      <c r="U34" s="149">
        <v>45</v>
      </c>
      <c r="V34" s="149">
        <v>1</v>
      </c>
      <c r="W34" s="257"/>
      <c r="X34" s="258"/>
      <c r="Y34" s="258"/>
      <c r="Z34" s="258"/>
      <c r="AA34" s="258"/>
      <c r="AB34" s="149" t="s">
        <v>956</v>
      </c>
      <c r="AC34" s="259">
        <v>1</v>
      </c>
      <c r="AD34" s="149" t="s">
        <v>955</v>
      </c>
      <c r="AE34">
        <f t="shared" si="1"/>
        <v>30</v>
      </c>
      <c r="AF34">
        <f t="shared" si="2"/>
        <v>35</v>
      </c>
      <c r="AG34">
        <f t="shared" si="3"/>
        <v>45</v>
      </c>
      <c r="AH34">
        <f t="shared" si="4"/>
        <v>45</v>
      </c>
      <c r="AJ34" t="s">
        <v>1321</v>
      </c>
      <c r="AK34" t="s">
        <v>1462</v>
      </c>
      <c r="AL34" t="s">
        <v>1576</v>
      </c>
    </row>
    <row r="35" spans="1:38" x14ac:dyDescent="0.25">
      <c r="A35" s="256" t="s">
        <v>78</v>
      </c>
      <c r="B35" s="257"/>
      <c r="C35" s="258"/>
      <c r="D35" s="258"/>
      <c r="E35" s="258"/>
      <c r="F35" s="258"/>
      <c r="G35" s="149"/>
      <c r="H35" s="259">
        <v>2</v>
      </c>
      <c r="I35" s="257"/>
      <c r="J35" s="258"/>
      <c r="K35" s="258"/>
      <c r="L35" s="258"/>
      <c r="M35" s="258"/>
      <c r="N35" s="149"/>
      <c r="O35" s="259">
        <v>2</v>
      </c>
      <c r="P35" s="258"/>
      <c r="Q35" s="258"/>
      <c r="R35" s="258"/>
      <c r="S35" s="258"/>
      <c r="T35" s="258"/>
      <c r="U35" s="149"/>
      <c r="V35" s="149"/>
      <c r="W35" s="257"/>
      <c r="X35" s="258"/>
      <c r="Y35" s="258"/>
      <c r="Z35" s="258"/>
      <c r="AA35" s="258"/>
      <c r="AB35" s="149"/>
      <c r="AC35" s="259"/>
      <c r="AD35" s="149" t="s">
        <v>955</v>
      </c>
      <c r="AE35">
        <f t="shared" ref="AE35:AE62" si="5">G35</f>
        <v>0</v>
      </c>
      <c r="AF35">
        <f t="shared" ref="AF35:AF62" si="6">N35</f>
        <v>0</v>
      </c>
      <c r="AG35">
        <f t="shared" ref="AG35:AG62" si="7">U35</f>
        <v>0</v>
      </c>
      <c r="AH35" t="str">
        <f t="shared" ref="AH35:AH62" si="8">IF(AB35="S",30,IF(AB35="M",45,IF(AB35="L",60,"")))</f>
        <v/>
      </c>
      <c r="AJ35" t="s">
        <v>1322</v>
      </c>
      <c r="AK35" t="s">
        <v>1463</v>
      </c>
      <c r="AL35" t="s">
        <v>1577</v>
      </c>
    </row>
    <row r="36" spans="1:38" x14ac:dyDescent="0.25">
      <c r="A36" s="256" t="s">
        <v>81</v>
      </c>
      <c r="B36" s="257"/>
      <c r="C36" s="258"/>
      <c r="D36" s="258"/>
      <c r="E36" s="258"/>
      <c r="F36" s="258"/>
      <c r="G36" s="149"/>
      <c r="H36" s="259">
        <v>1</v>
      </c>
      <c r="I36" s="257"/>
      <c r="J36" s="258"/>
      <c r="K36" s="258"/>
      <c r="L36" s="258"/>
      <c r="M36" s="258"/>
      <c r="N36" s="149"/>
      <c r="O36" s="259">
        <v>2</v>
      </c>
      <c r="P36" s="258"/>
      <c r="Q36" s="258"/>
      <c r="R36" s="258"/>
      <c r="S36" s="258"/>
      <c r="T36" s="258"/>
      <c r="U36" s="149"/>
      <c r="V36" s="149">
        <v>2</v>
      </c>
      <c r="W36" s="257"/>
      <c r="X36" s="258"/>
      <c r="Y36" s="258"/>
      <c r="Z36" s="258"/>
      <c r="AA36" s="258"/>
      <c r="AB36" s="149"/>
      <c r="AC36" s="259"/>
      <c r="AD36" s="149" t="s">
        <v>955</v>
      </c>
      <c r="AE36">
        <f t="shared" si="5"/>
        <v>0</v>
      </c>
      <c r="AF36">
        <f t="shared" si="6"/>
        <v>0</v>
      </c>
      <c r="AG36">
        <f t="shared" si="7"/>
        <v>0</v>
      </c>
      <c r="AH36" t="str">
        <f t="shared" si="8"/>
        <v/>
      </c>
      <c r="AJ36" t="s">
        <v>1323</v>
      </c>
      <c r="AK36" t="s">
        <v>1464</v>
      </c>
      <c r="AL36" t="s">
        <v>1578</v>
      </c>
    </row>
    <row r="37" spans="1:38" x14ac:dyDescent="0.25">
      <c r="A37" s="256" t="s">
        <v>84</v>
      </c>
      <c r="B37" s="257"/>
      <c r="C37" s="258"/>
      <c r="D37" s="258"/>
      <c r="E37" s="258"/>
      <c r="F37" s="258"/>
      <c r="G37" s="149"/>
      <c r="H37" s="259">
        <v>2</v>
      </c>
      <c r="I37" s="257"/>
      <c r="J37" s="258"/>
      <c r="K37" s="258"/>
      <c r="L37" s="258"/>
      <c r="M37" s="258"/>
      <c r="N37" s="149"/>
      <c r="O37" s="259">
        <v>2</v>
      </c>
      <c r="P37" s="258"/>
      <c r="Q37" s="258"/>
      <c r="R37" s="258" t="s">
        <v>32</v>
      </c>
      <c r="S37" s="258"/>
      <c r="T37" s="258"/>
      <c r="U37" s="149"/>
      <c r="V37" s="149">
        <v>1</v>
      </c>
      <c r="W37" s="257"/>
      <c r="X37" s="258"/>
      <c r="Y37" s="258"/>
      <c r="Z37" s="258"/>
      <c r="AA37" s="258"/>
      <c r="AB37" s="149"/>
      <c r="AC37" s="259"/>
      <c r="AD37" s="149" t="s">
        <v>955</v>
      </c>
      <c r="AE37">
        <f t="shared" si="5"/>
        <v>0</v>
      </c>
      <c r="AF37">
        <f t="shared" si="6"/>
        <v>0</v>
      </c>
      <c r="AG37">
        <f t="shared" si="7"/>
        <v>0</v>
      </c>
      <c r="AH37" t="str">
        <f t="shared" si="8"/>
        <v/>
      </c>
      <c r="AJ37" t="s">
        <v>1324</v>
      </c>
      <c r="AK37" t="s">
        <v>1465</v>
      </c>
      <c r="AL37" t="s">
        <v>1579</v>
      </c>
    </row>
    <row r="38" spans="1:38" x14ac:dyDescent="0.25">
      <c r="A38" s="256" t="s">
        <v>1050</v>
      </c>
      <c r="B38" s="257"/>
      <c r="C38" s="258"/>
      <c r="D38" s="258"/>
      <c r="E38" s="258"/>
      <c r="F38" s="258"/>
      <c r="G38" s="149"/>
      <c r="H38" s="259">
        <v>1</v>
      </c>
      <c r="I38" s="257"/>
      <c r="J38" s="258"/>
      <c r="K38" s="258"/>
      <c r="L38" s="258"/>
      <c r="M38" s="258"/>
      <c r="N38" s="149"/>
      <c r="O38" s="259">
        <v>1</v>
      </c>
      <c r="P38" s="258"/>
      <c r="Q38" s="258"/>
      <c r="R38" s="258"/>
      <c r="S38" s="258"/>
      <c r="T38" s="258"/>
      <c r="U38" s="149"/>
      <c r="V38" s="149">
        <v>1</v>
      </c>
      <c r="W38" s="257"/>
      <c r="X38" s="258"/>
      <c r="Y38" s="258"/>
      <c r="Z38" s="258"/>
      <c r="AA38" s="258"/>
      <c r="AB38" s="149"/>
      <c r="AC38" s="259"/>
      <c r="AD38" s="149" t="s">
        <v>955</v>
      </c>
      <c r="AE38">
        <f t="shared" si="5"/>
        <v>0</v>
      </c>
      <c r="AF38">
        <f t="shared" si="6"/>
        <v>0</v>
      </c>
      <c r="AG38">
        <f t="shared" si="7"/>
        <v>0</v>
      </c>
      <c r="AH38" t="str">
        <f t="shared" si="8"/>
        <v/>
      </c>
      <c r="AJ38" t="s">
        <v>1325</v>
      </c>
      <c r="AK38" t="s">
        <v>1466</v>
      </c>
      <c r="AL38" t="s">
        <v>1580</v>
      </c>
    </row>
    <row r="39" spans="1:38" x14ac:dyDescent="0.25">
      <c r="A39" s="256" t="s">
        <v>544</v>
      </c>
      <c r="B39" s="260"/>
      <c r="C39" s="261"/>
      <c r="D39" s="261"/>
      <c r="E39" s="261"/>
      <c r="F39" s="261"/>
      <c r="G39" s="262"/>
      <c r="H39" s="263"/>
      <c r="I39" s="257"/>
      <c r="J39" s="258"/>
      <c r="K39" s="258"/>
      <c r="L39" s="258"/>
      <c r="M39" s="258"/>
      <c r="N39" s="149"/>
      <c r="O39" s="259">
        <v>1</v>
      </c>
      <c r="P39" s="258"/>
      <c r="Q39" s="258"/>
      <c r="R39" s="258"/>
      <c r="S39" s="258"/>
      <c r="T39" s="258"/>
      <c r="U39" s="149"/>
      <c r="V39" s="149"/>
      <c r="W39" s="257"/>
      <c r="X39" s="258"/>
      <c r="Y39" s="258"/>
      <c r="Z39" s="258"/>
      <c r="AA39" s="258"/>
      <c r="AB39" s="149"/>
      <c r="AC39" s="259"/>
      <c r="AD39" s="149"/>
      <c r="AE39">
        <f t="shared" si="5"/>
        <v>0</v>
      </c>
      <c r="AF39">
        <f t="shared" si="6"/>
        <v>0</v>
      </c>
      <c r="AG39">
        <f t="shared" si="7"/>
        <v>0</v>
      </c>
      <c r="AH39" t="str">
        <f t="shared" si="8"/>
        <v/>
      </c>
    </row>
    <row r="40" spans="1:38" x14ac:dyDescent="0.25">
      <c r="A40" s="256" t="s">
        <v>545</v>
      </c>
      <c r="B40" s="260"/>
      <c r="C40" s="261"/>
      <c r="D40" s="261"/>
      <c r="E40" s="261"/>
      <c r="F40" s="261"/>
      <c r="G40" s="262"/>
      <c r="H40" s="263"/>
      <c r="I40" s="257"/>
      <c r="J40" s="258"/>
      <c r="K40" s="258"/>
      <c r="L40" s="258"/>
      <c r="M40" s="258"/>
      <c r="N40" s="149"/>
      <c r="O40" s="259">
        <v>1</v>
      </c>
      <c r="P40" s="258"/>
      <c r="Q40" s="258"/>
      <c r="R40" s="258"/>
      <c r="S40" s="258"/>
      <c r="T40" s="258"/>
      <c r="U40" s="149"/>
      <c r="V40" s="149"/>
      <c r="W40" s="257"/>
      <c r="X40" s="258"/>
      <c r="Y40" s="258"/>
      <c r="Z40" s="258"/>
      <c r="AA40" s="258"/>
      <c r="AB40" s="149"/>
      <c r="AC40" s="259"/>
      <c r="AD40" s="149"/>
      <c r="AE40">
        <f t="shared" si="5"/>
        <v>0</v>
      </c>
      <c r="AF40">
        <f t="shared" si="6"/>
        <v>0</v>
      </c>
      <c r="AG40">
        <f t="shared" si="7"/>
        <v>0</v>
      </c>
      <c r="AH40" t="str">
        <f t="shared" si="8"/>
        <v/>
      </c>
    </row>
    <row r="41" spans="1:38" x14ac:dyDescent="0.25">
      <c r="A41" s="256" t="s">
        <v>546</v>
      </c>
      <c r="B41" s="260"/>
      <c r="C41" s="261"/>
      <c r="D41" s="261"/>
      <c r="E41" s="261"/>
      <c r="F41" s="261"/>
      <c r="G41" s="262"/>
      <c r="H41" s="263"/>
      <c r="I41" s="257"/>
      <c r="J41" s="258"/>
      <c r="K41" s="258"/>
      <c r="L41" s="258"/>
      <c r="M41" s="258"/>
      <c r="N41" s="149"/>
      <c r="O41" s="259">
        <v>1</v>
      </c>
      <c r="P41" s="258"/>
      <c r="Q41" s="258"/>
      <c r="R41" s="258"/>
      <c r="S41" s="258"/>
      <c r="T41" s="258"/>
      <c r="U41" s="149"/>
      <c r="V41" s="149"/>
      <c r="W41" s="257"/>
      <c r="X41" s="258"/>
      <c r="Y41" s="258"/>
      <c r="Z41" s="258"/>
      <c r="AA41" s="258"/>
      <c r="AB41" s="149"/>
      <c r="AC41" s="259"/>
      <c r="AD41" s="149"/>
      <c r="AE41">
        <f t="shared" si="5"/>
        <v>0</v>
      </c>
      <c r="AF41">
        <f t="shared" si="6"/>
        <v>0</v>
      </c>
      <c r="AG41">
        <f t="shared" si="7"/>
        <v>0</v>
      </c>
      <c r="AH41" t="str">
        <f t="shared" si="8"/>
        <v/>
      </c>
    </row>
    <row r="42" spans="1:38" x14ac:dyDescent="0.25">
      <c r="A42" s="256" t="s">
        <v>1033</v>
      </c>
      <c r="B42" s="341"/>
      <c r="C42" s="342"/>
      <c r="D42" s="342"/>
      <c r="E42" s="342"/>
      <c r="F42" s="342"/>
      <c r="G42" s="343"/>
      <c r="H42" s="344">
        <v>1</v>
      </c>
      <c r="I42" s="257"/>
      <c r="J42" s="258"/>
      <c r="K42" s="258"/>
      <c r="L42" s="258"/>
      <c r="M42" s="258"/>
      <c r="N42" s="149"/>
      <c r="O42" s="259">
        <v>1</v>
      </c>
      <c r="P42" s="258"/>
      <c r="Q42" s="258"/>
      <c r="R42" s="258"/>
      <c r="S42" s="258"/>
      <c r="T42" s="258"/>
      <c r="U42" s="149"/>
      <c r="V42" s="149">
        <v>1</v>
      </c>
      <c r="W42" s="257"/>
      <c r="X42" s="258"/>
      <c r="Y42" s="258"/>
      <c r="Z42" s="258"/>
      <c r="AA42" s="258"/>
      <c r="AB42" s="149"/>
      <c r="AC42" s="259"/>
      <c r="AD42" s="149"/>
      <c r="AE42">
        <f t="shared" si="5"/>
        <v>0</v>
      </c>
      <c r="AF42">
        <f t="shared" si="6"/>
        <v>0</v>
      </c>
      <c r="AG42">
        <f t="shared" si="7"/>
        <v>0</v>
      </c>
      <c r="AH42" t="str">
        <f t="shared" si="8"/>
        <v/>
      </c>
    </row>
    <row r="43" spans="1:38" x14ac:dyDescent="0.25">
      <c r="A43" s="256" t="s">
        <v>1034</v>
      </c>
      <c r="B43" s="341"/>
      <c r="C43" s="342"/>
      <c r="D43" s="342"/>
      <c r="E43" s="342"/>
      <c r="F43" s="342"/>
      <c r="G43" s="343"/>
      <c r="H43" s="344">
        <v>1</v>
      </c>
      <c r="I43" s="257"/>
      <c r="J43" s="258"/>
      <c r="K43" s="258"/>
      <c r="L43" s="258"/>
      <c r="M43" s="258"/>
      <c r="N43" s="149"/>
      <c r="O43" s="259">
        <v>1</v>
      </c>
      <c r="P43" s="258"/>
      <c r="Q43" s="258"/>
      <c r="R43" s="258"/>
      <c r="S43" s="258"/>
      <c r="T43" s="258"/>
      <c r="U43" s="149"/>
      <c r="V43" s="149">
        <v>1</v>
      </c>
      <c r="W43" s="257"/>
      <c r="X43" s="258"/>
      <c r="Y43" s="258"/>
      <c r="Z43" s="258"/>
      <c r="AA43" s="258"/>
      <c r="AB43" s="149"/>
      <c r="AC43" s="259"/>
      <c r="AD43" s="149"/>
      <c r="AE43">
        <f t="shared" si="5"/>
        <v>0</v>
      </c>
      <c r="AF43">
        <f t="shared" si="6"/>
        <v>0</v>
      </c>
      <c r="AG43">
        <f t="shared" si="7"/>
        <v>0</v>
      </c>
      <c r="AH43" t="str">
        <f t="shared" si="8"/>
        <v/>
      </c>
    </row>
    <row r="44" spans="1:38" x14ac:dyDescent="0.25">
      <c r="A44" s="256" t="s">
        <v>1035</v>
      </c>
      <c r="B44" s="341"/>
      <c r="C44" s="342"/>
      <c r="D44" s="342"/>
      <c r="E44" s="342"/>
      <c r="F44" s="342"/>
      <c r="G44" s="343"/>
      <c r="H44" s="344">
        <v>1</v>
      </c>
      <c r="I44" s="257"/>
      <c r="J44" s="258"/>
      <c r="K44" s="258"/>
      <c r="L44" s="258"/>
      <c r="M44" s="258"/>
      <c r="N44" s="149"/>
      <c r="O44" s="259">
        <v>1</v>
      </c>
      <c r="P44" s="258"/>
      <c r="Q44" s="258"/>
      <c r="R44" s="258"/>
      <c r="S44" s="258"/>
      <c r="T44" s="258"/>
      <c r="U44" s="149"/>
      <c r="V44" s="149"/>
      <c r="W44" s="257"/>
      <c r="X44" s="258"/>
      <c r="Y44" s="258"/>
      <c r="Z44" s="258"/>
      <c r="AA44" s="258"/>
      <c r="AB44" s="149"/>
      <c r="AC44" s="259"/>
      <c r="AD44" s="149"/>
      <c r="AE44">
        <f t="shared" si="5"/>
        <v>0</v>
      </c>
      <c r="AF44">
        <f t="shared" si="6"/>
        <v>0</v>
      </c>
      <c r="AG44">
        <f t="shared" si="7"/>
        <v>0</v>
      </c>
      <c r="AH44" t="str">
        <f t="shared" si="8"/>
        <v/>
      </c>
    </row>
    <row r="45" spans="1:38" x14ac:dyDescent="0.25">
      <c r="A45" s="256" t="s">
        <v>1253</v>
      </c>
      <c r="B45" s="341"/>
      <c r="C45" s="342"/>
      <c r="D45" s="342"/>
      <c r="E45" s="342"/>
      <c r="F45" s="342"/>
      <c r="G45" s="343"/>
      <c r="H45" s="344">
        <v>1</v>
      </c>
      <c r="I45" s="257"/>
      <c r="J45" s="258"/>
      <c r="K45" s="258"/>
      <c r="L45" s="258"/>
      <c r="M45" s="258"/>
      <c r="N45" s="149"/>
      <c r="O45" s="259"/>
      <c r="P45" s="258"/>
      <c r="Q45" s="258"/>
      <c r="R45" s="258"/>
      <c r="S45" s="258"/>
      <c r="T45" s="258"/>
      <c r="U45" s="149"/>
      <c r="V45" s="149">
        <v>1</v>
      </c>
      <c r="W45" s="257"/>
      <c r="X45" s="258"/>
      <c r="Y45" s="258"/>
      <c r="Z45" s="258"/>
      <c r="AA45" s="258"/>
      <c r="AB45" s="149"/>
      <c r="AC45" s="259"/>
      <c r="AD45" s="149"/>
    </row>
    <row r="46" spans="1:38" x14ac:dyDescent="0.25">
      <c r="A46" s="256" t="s">
        <v>1063</v>
      </c>
      <c r="B46" s="341"/>
      <c r="C46" s="342"/>
      <c r="D46" s="342"/>
      <c r="E46" s="342"/>
      <c r="F46" s="342"/>
      <c r="G46" s="343"/>
      <c r="H46" s="344">
        <v>1</v>
      </c>
      <c r="I46" s="257"/>
      <c r="J46" s="258"/>
      <c r="K46" s="258"/>
      <c r="L46" s="258"/>
      <c r="M46" s="258"/>
      <c r="N46" s="149"/>
      <c r="O46" s="259">
        <v>1</v>
      </c>
      <c r="P46" s="258"/>
      <c r="Q46" s="258"/>
      <c r="R46" s="258"/>
      <c r="S46" s="258"/>
      <c r="T46" s="258"/>
      <c r="U46" s="149"/>
      <c r="V46" s="149">
        <v>1</v>
      </c>
      <c r="W46" s="257"/>
      <c r="X46" s="258"/>
      <c r="Y46" s="258"/>
      <c r="Z46" s="258"/>
      <c r="AA46" s="258"/>
      <c r="AB46" s="149"/>
      <c r="AC46" s="259"/>
      <c r="AD46" s="149"/>
      <c r="AE46">
        <f t="shared" si="5"/>
        <v>0</v>
      </c>
      <c r="AF46">
        <f t="shared" si="6"/>
        <v>0</v>
      </c>
      <c r="AG46">
        <f t="shared" si="7"/>
        <v>0</v>
      </c>
      <c r="AH46" t="str">
        <f t="shared" si="8"/>
        <v/>
      </c>
    </row>
    <row r="47" spans="1:38" x14ac:dyDescent="0.25">
      <c r="A47" s="256" t="s">
        <v>1064</v>
      </c>
      <c r="B47" s="341"/>
      <c r="C47" s="342"/>
      <c r="D47" s="342"/>
      <c r="E47" s="342"/>
      <c r="F47" s="342"/>
      <c r="G47" s="343"/>
      <c r="H47" s="344">
        <v>1</v>
      </c>
      <c r="I47" s="257"/>
      <c r="J47" s="258"/>
      <c r="K47" s="258"/>
      <c r="L47" s="258"/>
      <c r="M47" s="258"/>
      <c r="N47" s="149"/>
      <c r="O47" s="259">
        <v>1</v>
      </c>
      <c r="P47" s="258"/>
      <c r="Q47" s="258"/>
      <c r="R47" s="258"/>
      <c r="S47" s="258"/>
      <c r="T47" s="258"/>
      <c r="U47" s="149"/>
      <c r="V47" s="149">
        <v>1</v>
      </c>
      <c r="W47" s="257"/>
      <c r="X47" s="258"/>
      <c r="Y47" s="258"/>
      <c r="Z47" s="258"/>
      <c r="AA47" s="258"/>
      <c r="AB47" s="149"/>
      <c r="AC47" s="259"/>
      <c r="AD47" s="149"/>
      <c r="AE47">
        <f t="shared" si="5"/>
        <v>0</v>
      </c>
      <c r="AF47">
        <f t="shared" si="6"/>
        <v>0</v>
      </c>
      <c r="AG47">
        <f t="shared" si="7"/>
        <v>0</v>
      </c>
      <c r="AH47" t="str">
        <f t="shared" si="8"/>
        <v/>
      </c>
    </row>
    <row r="48" spans="1:38" x14ac:dyDescent="0.25">
      <c r="A48" s="256" t="s">
        <v>1036</v>
      </c>
      <c r="B48" s="341"/>
      <c r="C48" s="342"/>
      <c r="D48" s="342"/>
      <c r="E48" s="342"/>
      <c r="F48" s="342"/>
      <c r="G48" s="343"/>
      <c r="H48" s="344">
        <v>1</v>
      </c>
      <c r="I48" s="257"/>
      <c r="J48" s="258"/>
      <c r="K48" s="258"/>
      <c r="L48" s="258"/>
      <c r="M48" s="258"/>
      <c r="N48" s="149"/>
      <c r="O48" s="259">
        <v>1</v>
      </c>
      <c r="P48" s="258"/>
      <c r="Q48" s="258"/>
      <c r="R48" s="258"/>
      <c r="S48" s="258"/>
      <c r="T48" s="258"/>
      <c r="U48" s="149"/>
      <c r="V48" s="149">
        <v>1</v>
      </c>
      <c r="W48" s="257"/>
      <c r="X48" s="258"/>
      <c r="Y48" s="258"/>
      <c r="Z48" s="258"/>
      <c r="AA48" s="258"/>
      <c r="AB48" s="149"/>
      <c r="AC48" s="259"/>
      <c r="AD48" s="149"/>
      <c r="AE48">
        <f t="shared" si="5"/>
        <v>0</v>
      </c>
      <c r="AF48">
        <f t="shared" si="6"/>
        <v>0</v>
      </c>
      <c r="AG48">
        <f t="shared" si="7"/>
        <v>0</v>
      </c>
      <c r="AH48" t="str">
        <f t="shared" si="8"/>
        <v/>
      </c>
    </row>
    <row r="49" spans="1:38" x14ac:dyDescent="0.25">
      <c r="A49" s="256" t="s">
        <v>547</v>
      </c>
      <c r="B49" s="260"/>
      <c r="C49" s="261"/>
      <c r="D49" s="261"/>
      <c r="E49" s="261"/>
      <c r="F49" s="261"/>
      <c r="G49" s="262"/>
      <c r="H49" s="263"/>
      <c r="I49" s="257"/>
      <c r="J49" s="258"/>
      <c r="K49" s="258"/>
      <c r="L49" s="258"/>
      <c r="M49" s="258"/>
      <c r="N49" s="149"/>
      <c r="O49" s="259">
        <v>1</v>
      </c>
      <c r="P49" s="258"/>
      <c r="Q49" s="258"/>
      <c r="R49" s="258"/>
      <c r="S49" s="258"/>
      <c r="T49" s="258"/>
      <c r="U49" s="149"/>
      <c r="V49" s="149">
        <v>1</v>
      </c>
      <c r="W49" s="257"/>
      <c r="X49" s="258"/>
      <c r="Y49" s="258"/>
      <c r="Z49" s="258"/>
      <c r="AA49" s="258"/>
      <c r="AB49" s="149"/>
      <c r="AC49" s="259"/>
      <c r="AD49" s="149"/>
      <c r="AE49">
        <f t="shared" si="5"/>
        <v>0</v>
      </c>
      <c r="AF49">
        <f t="shared" si="6"/>
        <v>0</v>
      </c>
      <c r="AG49">
        <f t="shared" si="7"/>
        <v>0</v>
      </c>
      <c r="AH49" t="str">
        <f t="shared" si="8"/>
        <v/>
      </c>
    </row>
    <row r="50" spans="1:38" x14ac:dyDescent="0.25">
      <c r="A50" s="256" t="s">
        <v>549</v>
      </c>
      <c r="B50" s="260"/>
      <c r="C50" s="261"/>
      <c r="D50" s="261"/>
      <c r="E50" s="261"/>
      <c r="F50" s="261"/>
      <c r="G50" s="262"/>
      <c r="H50" s="263"/>
      <c r="I50" s="257"/>
      <c r="J50" s="258"/>
      <c r="K50" s="258"/>
      <c r="L50" s="258"/>
      <c r="M50" s="258"/>
      <c r="N50" s="149"/>
      <c r="O50" s="259">
        <v>1</v>
      </c>
      <c r="P50" s="258"/>
      <c r="Q50" s="258"/>
      <c r="R50" s="258"/>
      <c r="S50" s="258"/>
      <c r="T50" s="258"/>
      <c r="U50" s="149"/>
      <c r="V50" s="149">
        <v>1</v>
      </c>
      <c r="W50" s="257"/>
      <c r="X50" s="258"/>
      <c r="Y50" s="258"/>
      <c r="Z50" s="258"/>
      <c r="AA50" s="258"/>
      <c r="AB50" s="149"/>
      <c r="AC50" s="259"/>
      <c r="AD50" s="149"/>
      <c r="AE50">
        <f t="shared" si="5"/>
        <v>0</v>
      </c>
      <c r="AF50">
        <f t="shared" si="6"/>
        <v>0</v>
      </c>
      <c r="AG50">
        <f t="shared" si="7"/>
        <v>0</v>
      </c>
      <c r="AH50" t="str">
        <f t="shared" si="8"/>
        <v/>
      </c>
    </row>
    <row r="51" spans="1:38" x14ac:dyDescent="0.25">
      <c r="A51" s="256" t="s">
        <v>89</v>
      </c>
      <c r="B51" s="257"/>
      <c r="C51" s="258"/>
      <c r="D51" s="258"/>
      <c r="E51" s="258"/>
      <c r="F51" s="258"/>
      <c r="G51" s="149"/>
      <c r="H51" s="259">
        <v>1</v>
      </c>
      <c r="I51" s="257"/>
      <c r="J51" s="258"/>
      <c r="K51" s="258"/>
      <c r="L51" s="258"/>
      <c r="M51" s="258"/>
      <c r="N51" s="149"/>
      <c r="O51" s="259">
        <v>1</v>
      </c>
      <c r="P51" s="258"/>
      <c r="Q51" s="258"/>
      <c r="R51" s="258"/>
      <c r="S51" s="258"/>
      <c r="T51" s="258"/>
      <c r="U51" s="149"/>
      <c r="V51" s="149"/>
      <c r="W51" s="257"/>
      <c r="X51" s="258"/>
      <c r="Y51" s="258"/>
      <c r="Z51" s="258"/>
      <c r="AA51" s="258"/>
      <c r="AB51" s="149"/>
      <c r="AC51" s="259"/>
      <c r="AD51" s="149" t="s">
        <v>955</v>
      </c>
      <c r="AE51">
        <f t="shared" si="5"/>
        <v>0</v>
      </c>
      <c r="AF51">
        <f t="shared" si="6"/>
        <v>0</v>
      </c>
      <c r="AG51">
        <f t="shared" si="7"/>
        <v>0</v>
      </c>
      <c r="AH51" t="str">
        <f t="shared" si="8"/>
        <v/>
      </c>
    </row>
    <row r="52" spans="1:38" x14ac:dyDescent="0.25">
      <c r="A52" s="256" t="s">
        <v>551</v>
      </c>
      <c r="B52" s="260"/>
      <c r="C52" s="261"/>
      <c r="D52" s="261"/>
      <c r="E52" s="261"/>
      <c r="F52" s="261"/>
      <c r="G52" s="262"/>
      <c r="H52" s="263"/>
      <c r="I52" s="257"/>
      <c r="J52" s="258"/>
      <c r="K52" s="258"/>
      <c r="L52" s="258"/>
      <c r="M52" s="258"/>
      <c r="N52" s="149"/>
      <c r="O52" s="259">
        <v>1</v>
      </c>
      <c r="P52" s="258"/>
      <c r="Q52" s="258"/>
      <c r="R52" s="258"/>
      <c r="S52" s="258"/>
      <c r="T52" s="258"/>
      <c r="U52" s="149"/>
      <c r="V52" s="149"/>
      <c r="W52" s="257"/>
      <c r="X52" s="258"/>
      <c r="Y52" s="258"/>
      <c r="Z52" s="258"/>
      <c r="AA52" s="258"/>
      <c r="AB52" s="149"/>
      <c r="AC52" s="259"/>
      <c r="AD52" s="149"/>
      <c r="AE52">
        <f t="shared" si="5"/>
        <v>0</v>
      </c>
      <c r="AF52">
        <f t="shared" si="6"/>
        <v>0</v>
      </c>
      <c r="AG52">
        <f t="shared" si="7"/>
        <v>0</v>
      </c>
      <c r="AH52" t="str">
        <f t="shared" si="8"/>
        <v/>
      </c>
    </row>
    <row r="53" spans="1:38" x14ac:dyDescent="0.25">
      <c r="A53" s="256" t="s">
        <v>91</v>
      </c>
      <c r="B53" s="257"/>
      <c r="C53" s="258"/>
      <c r="D53" s="258"/>
      <c r="E53" s="258"/>
      <c r="F53" s="258"/>
      <c r="G53" s="149"/>
      <c r="H53" s="259">
        <v>1</v>
      </c>
      <c r="I53" s="257"/>
      <c r="J53" s="258"/>
      <c r="K53" s="258"/>
      <c r="L53" s="258"/>
      <c r="M53" s="258"/>
      <c r="N53" s="149"/>
      <c r="O53" s="259">
        <v>1</v>
      </c>
      <c r="P53" s="258"/>
      <c r="Q53" s="258"/>
      <c r="R53" s="258"/>
      <c r="S53" s="258"/>
      <c r="T53" s="258"/>
      <c r="U53" s="149"/>
      <c r="V53" s="149"/>
      <c r="W53" s="257"/>
      <c r="X53" s="258"/>
      <c r="Y53" s="258"/>
      <c r="Z53" s="258"/>
      <c r="AA53" s="258"/>
      <c r="AB53" s="149"/>
      <c r="AC53" s="259"/>
      <c r="AD53" s="149" t="s">
        <v>955</v>
      </c>
      <c r="AE53">
        <f t="shared" si="5"/>
        <v>0</v>
      </c>
      <c r="AF53">
        <f t="shared" si="6"/>
        <v>0</v>
      </c>
      <c r="AG53">
        <f t="shared" si="7"/>
        <v>0</v>
      </c>
      <c r="AH53" t="str">
        <f t="shared" si="8"/>
        <v/>
      </c>
    </row>
    <row r="54" spans="1:38" x14ac:dyDescent="0.25">
      <c r="A54" s="256" t="s">
        <v>553</v>
      </c>
      <c r="B54" s="260"/>
      <c r="C54" s="261"/>
      <c r="D54" s="261"/>
      <c r="E54" s="261"/>
      <c r="F54" s="261"/>
      <c r="G54" s="262"/>
      <c r="H54" s="263"/>
      <c r="I54" s="257"/>
      <c r="J54" s="258"/>
      <c r="K54" s="258"/>
      <c r="L54" s="258"/>
      <c r="M54" s="258"/>
      <c r="N54" s="149"/>
      <c r="O54" s="259">
        <v>1</v>
      </c>
      <c r="P54" s="258"/>
      <c r="Q54" s="258"/>
      <c r="R54" s="258"/>
      <c r="S54" s="258"/>
      <c r="T54" s="258"/>
      <c r="U54" s="149"/>
      <c r="V54" s="149">
        <v>1</v>
      </c>
      <c r="W54" s="257"/>
      <c r="X54" s="258"/>
      <c r="Y54" s="258"/>
      <c r="Z54" s="258"/>
      <c r="AA54" s="258"/>
      <c r="AB54" s="149"/>
      <c r="AC54" s="259"/>
      <c r="AD54" s="149"/>
      <c r="AE54">
        <f t="shared" si="5"/>
        <v>0</v>
      </c>
      <c r="AF54">
        <f t="shared" si="6"/>
        <v>0</v>
      </c>
      <c r="AG54">
        <f t="shared" si="7"/>
        <v>0</v>
      </c>
      <c r="AH54" t="str">
        <f t="shared" si="8"/>
        <v/>
      </c>
    </row>
    <row r="55" spans="1:38" x14ac:dyDescent="0.25">
      <c r="A55" s="256" t="s">
        <v>1235</v>
      </c>
      <c r="B55" s="257"/>
      <c r="C55" s="258"/>
      <c r="D55" s="258"/>
      <c r="E55" s="258"/>
      <c r="F55" s="258"/>
      <c r="G55" s="149"/>
      <c r="H55" s="259">
        <v>2</v>
      </c>
      <c r="I55" s="257"/>
      <c r="J55" s="258"/>
      <c r="K55" s="258"/>
      <c r="L55" s="258"/>
      <c r="M55" s="258"/>
      <c r="N55" s="149"/>
      <c r="O55" s="259"/>
      <c r="P55" s="258"/>
      <c r="Q55" s="258"/>
      <c r="R55" s="258"/>
      <c r="S55" s="258"/>
      <c r="T55" s="258"/>
      <c r="U55" s="149"/>
      <c r="V55" s="149">
        <v>1</v>
      </c>
      <c r="W55" s="257"/>
      <c r="X55" s="258"/>
      <c r="Y55" s="258"/>
      <c r="Z55" s="258"/>
      <c r="AA55" s="258"/>
      <c r="AB55" s="149"/>
      <c r="AC55" s="259"/>
      <c r="AD55" s="149"/>
      <c r="AE55">
        <f t="shared" si="5"/>
        <v>0</v>
      </c>
      <c r="AF55">
        <f t="shared" si="6"/>
        <v>0</v>
      </c>
      <c r="AG55">
        <f t="shared" si="7"/>
        <v>0</v>
      </c>
      <c r="AH55" t="str">
        <f t="shared" si="8"/>
        <v/>
      </c>
    </row>
    <row r="56" spans="1:38" x14ac:dyDescent="0.25">
      <c r="A56" s="256" t="s">
        <v>93</v>
      </c>
      <c r="B56" s="257"/>
      <c r="C56" s="258"/>
      <c r="D56" s="258"/>
      <c r="E56" s="258"/>
      <c r="F56" s="258"/>
      <c r="G56" s="149">
        <v>30</v>
      </c>
      <c r="H56" s="259">
        <v>2</v>
      </c>
      <c r="I56" s="257"/>
      <c r="J56" s="258"/>
      <c r="K56" s="258"/>
      <c r="L56" s="258"/>
      <c r="M56" s="258"/>
      <c r="N56" s="149"/>
      <c r="O56" s="259">
        <v>3</v>
      </c>
      <c r="P56" s="258"/>
      <c r="Q56" s="258"/>
      <c r="R56" s="258"/>
      <c r="S56" s="258"/>
      <c r="T56" s="258"/>
      <c r="U56" s="149"/>
      <c r="V56" s="149"/>
      <c r="W56" s="257"/>
      <c r="X56" s="258"/>
      <c r="Y56" s="258"/>
      <c r="Z56" s="258"/>
      <c r="AA56" s="258"/>
      <c r="AB56" s="149"/>
      <c r="AC56" s="259"/>
      <c r="AD56" s="149" t="s">
        <v>955</v>
      </c>
      <c r="AE56">
        <f t="shared" si="5"/>
        <v>30</v>
      </c>
      <c r="AF56">
        <f t="shared" si="6"/>
        <v>0</v>
      </c>
      <c r="AG56">
        <f t="shared" si="7"/>
        <v>0</v>
      </c>
      <c r="AH56" t="str">
        <f t="shared" si="8"/>
        <v/>
      </c>
      <c r="AJ56" t="s">
        <v>1326</v>
      </c>
      <c r="AK56" t="s">
        <v>1467</v>
      </c>
    </row>
    <row r="57" spans="1:38" x14ac:dyDescent="0.25">
      <c r="A57" s="256" t="s">
        <v>1750</v>
      </c>
      <c r="B57" s="257"/>
      <c r="C57" s="258"/>
      <c r="D57" s="258"/>
      <c r="E57" s="258"/>
      <c r="F57" s="258"/>
      <c r="G57" s="149"/>
      <c r="H57" s="259">
        <v>2</v>
      </c>
      <c r="I57" s="257"/>
      <c r="J57" s="258"/>
      <c r="K57" s="258"/>
      <c r="L57" s="258"/>
      <c r="M57" s="258"/>
      <c r="N57" s="149"/>
      <c r="O57" s="259"/>
      <c r="P57" s="258"/>
      <c r="Q57" s="258"/>
      <c r="R57" s="258"/>
      <c r="S57" s="258"/>
      <c r="T57" s="258"/>
      <c r="U57" s="149"/>
      <c r="V57" s="149"/>
      <c r="W57" s="257"/>
      <c r="X57" s="258"/>
      <c r="Y57" s="258"/>
      <c r="Z57" s="258"/>
      <c r="AA57" s="258"/>
      <c r="AB57" s="149"/>
      <c r="AC57" s="259"/>
      <c r="AD57" s="149"/>
      <c r="AE57">
        <v>25</v>
      </c>
      <c r="AJ57" t="s">
        <v>1751</v>
      </c>
    </row>
    <row r="58" spans="1:38" x14ac:dyDescent="0.25">
      <c r="A58" s="256" t="s">
        <v>631</v>
      </c>
      <c r="B58" s="257"/>
      <c r="C58" s="258"/>
      <c r="D58" s="258"/>
      <c r="E58" s="258"/>
      <c r="F58" s="258"/>
      <c r="G58" s="149"/>
      <c r="H58" s="259">
        <v>3</v>
      </c>
      <c r="I58" s="257"/>
      <c r="J58" s="258"/>
      <c r="K58" s="258"/>
      <c r="L58" s="258"/>
      <c r="M58" s="258"/>
      <c r="N58" s="149"/>
      <c r="O58" s="259"/>
      <c r="P58" s="258"/>
      <c r="Q58" s="258"/>
      <c r="R58" s="258"/>
      <c r="S58" s="258"/>
      <c r="T58" s="258"/>
      <c r="U58" s="149"/>
      <c r="V58" s="149"/>
      <c r="W58" s="257"/>
      <c r="X58" s="258"/>
      <c r="Y58" s="258"/>
      <c r="Z58" s="258"/>
      <c r="AA58" s="258"/>
      <c r="AB58" s="149"/>
      <c r="AC58" s="259"/>
      <c r="AD58" s="149"/>
      <c r="AE58">
        <f t="shared" si="5"/>
        <v>0</v>
      </c>
      <c r="AF58">
        <f t="shared" si="6"/>
        <v>0</v>
      </c>
      <c r="AG58">
        <f t="shared" si="7"/>
        <v>0</v>
      </c>
      <c r="AH58" t="str">
        <f t="shared" si="8"/>
        <v/>
      </c>
      <c r="AJ58" t="s">
        <v>1327</v>
      </c>
      <c r="AK58" t="s">
        <v>1468</v>
      </c>
    </row>
    <row r="59" spans="1:38" x14ac:dyDescent="0.25">
      <c r="A59" s="256" t="s">
        <v>96</v>
      </c>
      <c r="B59" s="257"/>
      <c r="C59" s="258"/>
      <c r="D59" s="258"/>
      <c r="E59" s="258"/>
      <c r="F59" s="258"/>
      <c r="G59" s="149"/>
      <c r="H59" s="259">
        <v>2</v>
      </c>
      <c r="I59" s="257"/>
      <c r="J59" s="258"/>
      <c r="K59" s="258"/>
      <c r="L59" s="258"/>
      <c r="M59" s="258"/>
      <c r="N59" s="149"/>
      <c r="O59" s="259"/>
      <c r="P59" s="258"/>
      <c r="Q59" s="258"/>
      <c r="R59" s="258"/>
      <c r="S59" s="258"/>
      <c r="T59" s="258"/>
      <c r="U59" s="149"/>
      <c r="V59" s="149"/>
      <c r="W59" s="257"/>
      <c r="X59" s="258"/>
      <c r="Y59" s="258"/>
      <c r="Z59" s="258"/>
      <c r="AA59" s="258"/>
      <c r="AB59" s="149"/>
      <c r="AC59" s="259"/>
      <c r="AD59" s="149" t="s">
        <v>955</v>
      </c>
      <c r="AE59">
        <f t="shared" si="5"/>
        <v>0</v>
      </c>
      <c r="AF59">
        <f t="shared" si="6"/>
        <v>0</v>
      </c>
      <c r="AG59">
        <f t="shared" si="7"/>
        <v>0</v>
      </c>
      <c r="AH59" t="str">
        <f t="shared" si="8"/>
        <v/>
      </c>
      <c r="AJ59" t="s">
        <v>1328</v>
      </c>
      <c r="AK59" t="s">
        <v>1469</v>
      </c>
      <c r="AL59" t="s">
        <v>1581</v>
      </c>
    </row>
    <row r="60" spans="1:38" x14ac:dyDescent="0.25">
      <c r="A60" s="256" t="s">
        <v>634</v>
      </c>
      <c r="B60" s="257"/>
      <c r="C60" s="258"/>
      <c r="D60" s="258"/>
      <c r="E60" s="258"/>
      <c r="F60" s="258"/>
      <c r="G60" s="149">
        <v>30</v>
      </c>
      <c r="H60" s="259">
        <v>2</v>
      </c>
      <c r="I60" s="257"/>
      <c r="J60" s="258"/>
      <c r="K60" s="258"/>
      <c r="L60" s="258"/>
      <c r="M60" s="258"/>
      <c r="N60" s="149"/>
      <c r="O60" s="259">
        <v>2</v>
      </c>
      <c r="P60" s="258"/>
      <c r="Q60" s="258"/>
      <c r="R60" s="258"/>
      <c r="S60" s="258"/>
      <c r="T60" s="258"/>
      <c r="U60" s="149"/>
      <c r="V60" s="149"/>
      <c r="W60" s="257"/>
      <c r="X60" s="258"/>
      <c r="Y60" s="258"/>
      <c r="Z60" s="258"/>
      <c r="AA60" s="258"/>
      <c r="AB60" s="149"/>
      <c r="AC60" s="259"/>
      <c r="AD60" s="149"/>
      <c r="AE60">
        <f t="shared" si="5"/>
        <v>30</v>
      </c>
      <c r="AF60">
        <f t="shared" si="6"/>
        <v>0</v>
      </c>
      <c r="AG60">
        <f t="shared" si="7"/>
        <v>0</v>
      </c>
      <c r="AH60" t="str">
        <f t="shared" si="8"/>
        <v/>
      </c>
      <c r="AJ60" t="s">
        <v>1329</v>
      </c>
      <c r="AK60" t="s">
        <v>1470</v>
      </c>
    </row>
    <row r="61" spans="1:38" x14ac:dyDescent="0.25">
      <c r="A61" s="256" t="s">
        <v>99</v>
      </c>
      <c r="B61" s="257"/>
      <c r="C61" s="258"/>
      <c r="D61" s="258"/>
      <c r="E61" s="258"/>
      <c r="F61" s="258"/>
      <c r="G61" s="149">
        <v>35</v>
      </c>
      <c r="H61" s="259">
        <v>2</v>
      </c>
      <c r="I61" s="257" t="s">
        <v>32</v>
      </c>
      <c r="J61" s="258"/>
      <c r="K61" s="258" t="s">
        <v>32</v>
      </c>
      <c r="L61" s="258"/>
      <c r="M61" s="258"/>
      <c r="N61" s="149">
        <v>35</v>
      </c>
      <c r="O61" s="259">
        <v>3</v>
      </c>
      <c r="P61" s="258"/>
      <c r="Q61" s="258"/>
      <c r="R61" s="258"/>
      <c r="S61" s="258"/>
      <c r="T61" s="258"/>
      <c r="U61" s="149"/>
      <c r="V61" s="149"/>
      <c r="W61" s="257"/>
      <c r="X61" s="258"/>
      <c r="Y61" s="258"/>
      <c r="Z61" s="258"/>
      <c r="AA61" s="258"/>
      <c r="AB61" s="149"/>
      <c r="AC61" s="259"/>
      <c r="AD61" s="149" t="s">
        <v>955</v>
      </c>
      <c r="AE61">
        <f t="shared" si="5"/>
        <v>35</v>
      </c>
      <c r="AF61">
        <f t="shared" si="6"/>
        <v>35</v>
      </c>
      <c r="AG61">
        <f t="shared" si="7"/>
        <v>0</v>
      </c>
      <c r="AH61" t="str">
        <f t="shared" si="8"/>
        <v/>
      </c>
      <c r="AJ61" t="s">
        <v>1330</v>
      </c>
      <c r="AK61" t="s">
        <v>1471</v>
      </c>
      <c r="AL61" t="s">
        <v>1587</v>
      </c>
    </row>
    <row r="62" spans="1:38" x14ac:dyDescent="0.25">
      <c r="A62" s="256" t="s">
        <v>102</v>
      </c>
      <c r="B62" s="257" t="s">
        <v>32</v>
      </c>
      <c r="C62" s="258"/>
      <c r="D62" s="258" t="s">
        <v>32</v>
      </c>
      <c r="E62" s="258"/>
      <c r="F62" s="258"/>
      <c r="G62" s="149">
        <v>35</v>
      </c>
      <c r="H62" s="259">
        <v>2</v>
      </c>
      <c r="I62" s="257" t="s">
        <v>32</v>
      </c>
      <c r="J62" s="258"/>
      <c r="K62" s="258" t="s">
        <v>32</v>
      </c>
      <c r="L62" s="258"/>
      <c r="M62" s="258"/>
      <c r="N62" s="149">
        <v>35</v>
      </c>
      <c r="O62" s="259">
        <v>3</v>
      </c>
      <c r="P62" s="258"/>
      <c r="Q62" s="258"/>
      <c r="R62" s="258"/>
      <c r="S62" s="258"/>
      <c r="T62" s="258"/>
      <c r="U62" s="149"/>
      <c r="V62" s="149"/>
      <c r="W62" s="257"/>
      <c r="X62" s="258"/>
      <c r="Y62" s="258"/>
      <c r="Z62" s="258"/>
      <c r="AA62" s="258"/>
      <c r="AB62" s="149"/>
      <c r="AC62" s="259"/>
      <c r="AD62" s="149" t="s">
        <v>955</v>
      </c>
      <c r="AE62">
        <f t="shared" si="5"/>
        <v>35</v>
      </c>
      <c r="AF62">
        <f t="shared" si="6"/>
        <v>35</v>
      </c>
      <c r="AG62">
        <f t="shared" si="7"/>
        <v>0</v>
      </c>
      <c r="AH62" t="str">
        <f t="shared" si="8"/>
        <v/>
      </c>
      <c r="AJ62" t="s">
        <v>1331</v>
      </c>
      <c r="AK62" t="s">
        <v>1472</v>
      </c>
      <c r="AL62" t="s">
        <v>1582</v>
      </c>
    </row>
    <row r="63" spans="1:38" x14ac:dyDescent="0.25">
      <c r="A63" s="256" t="s">
        <v>105</v>
      </c>
      <c r="B63" s="257"/>
      <c r="C63" s="258"/>
      <c r="D63" s="258"/>
      <c r="E63" s="258"/>
      <c r="F63" s="258"/>
      <c r="G63" s="149"/>
      <c r="H63" s="259">
        <v>3</v>
      </c>
      <c r="I63" s="257"/>
      <c r="J63" s="258"/>
      <c r="K63" s="258"/>
      <c r="L63" s="258"/>
      <c r="M63" s="258"/>
      <c r="N63" s="149"/>
      <c r="O63" s="259"/>
      <c r="P63" s="258"/>
      <c r="Q63" s="258"/>
      <c r="R63" s="258"/>
      <c r="S63" s="258"/>
      <c r="T63" s="258"/>
      <c r="U63" s="149"/>
      <c r="V63" s="149"/>
      <c r="W63" s="257"/>
      <c r="X63" s="258"/>
      <c r="Y63" s="258"/>
      <c r="Z63" s="258"/>
      <c r="AA63" s="258"/>
      <c r="AB63" s="149"/>
      <c r="AC63" s="259"/>
      <c r="AD63" s="149"/>
      <c r="AE63">
        <f t="shared" si="1"/>
        <v>0</v>
      </c>
      <c r="AF63">
        <f t="shared" si="2"/>
        <v>0</v>
      </c>
      <c r="AG63">
        <f t="shared" si="3"/>
        <v>0</v>
      </c>
      <c r="AH63" t="str">
        <f t="shared" ref="AH63:AH121" si="9">IF(AB63="S",30,IF(AB63="M",45,IF(AB63="L",60,"")))</f>
        <v/>
      </c>
      <c r="AJ63" t="s">
        <v>1332</v>
      </c>
      <c r="AL63" t="s">
        <v>1583</v>
      </c>
    </row>
    <row r="64" spans="1:38" x14ac:dyDescent="0.25">
      <c r="A64" s="256" t="s">
        <v>1039</v>
      </c>
      <c r="B64" s="257"/>
      <c r="C64" s="258"/>
      <c r="D64" s="258"/>
      <c r="E64" s="258"/>
      <c r="F64" s="258"/>
      <c r="G64" s="149"/>
      <c r="H64" s="259"/>
      <c r="I64" s="257"/>
      <c r="J64" s="258"/>
      <c r="K64" s="258"/>
      <c r="L64" s="258"/>
      <c r="M64" s="258"/>
      <c r="N64" s="149"/>
      <c r="O64" s="259">
        <v>2</v>
      </c>
      <c r="P64" s="258"/>
      <c r="Q64" s="258"/>
      <c r="R64" s="258"/>
      <c r="S64" s="258"/>
      <c r="T64" s="258"/>
      <c r="U64" s="149"/>
      <c r="V64" s="149"/>
      <c r="W64" s="257"/>
      <c r="X64" s="258"/>
      <c r="Y64" s="258"/>
      <c r="Z64" s="258"/>
      <c r="AA64" s="258"/>
      <c r="AB64" s="149"/>
      <c r="AC64" s="259"/>
      <c r="AD64" s="149"/>
      <c r="AE64">
        <f t="shared" si="1"/>
        <v>0</v>
      </c>
      <c r="AF64">
        <f t="shared" si="2"/>
        <v>0</v>
      </c>
      <c r="AG64">
        <f t="shared" si="3"/>
        <v>0</v>
      </c>
      <c r="AJ64" t="s">
        <v>1333</v>
      </c>
      <c r="AL64" t="s">
        <v>1584</v>
      </c>
    </row>
    <row r="65" spans="1:38" x14ac:dyDescent="0.25">
      <c r="A65" s="256" t="s">
        <v>1799</v>
      </c>
      <c r="B65" s="257"/>
      <c r="C65" s="258"/>
      <c r="D65" s="258"/>
      <c r="E65" s="258"/>
      <c r="F65" s="258"/>
      <c r="G65" s="149"/>
      <c r="H65" s="259"/>
      <c r="I65" s="257"/>
      <c r="J65" s="258"/>
      <c r="K65" s="258"/>
      <c r="L65" s="258"/>
      <c r="M65" s="258"/>
      <c r="N65" s="149"/>
      <c r="O65" s="259">
        <v>2</v>
      </c>
      <c r="P65" s="258"/>
      <c r="Q65" s="258"/>
      <c r="R65" s="258"/>
      <c r="S65" s="258"/>
      <c r="T65" s="258"/>
      <c r="U65" s="149"/>
      <c r="V65" s="149">
        <v>1</v>
      </c>
      <c r="W65" s="257"/>
      <c r="X65" s="258"/>
      <c r="Y65" s="258"/>
      <c r="Z65" s="258"/>
      <c r="AA65" s="258"/>
      <c r="AB65" s="149"/>
      <c r="AC65" s="259"/>
      <c r="AD65" s="149"/>
    </row>
    <row r="66" spans="1:38" x14ac:dyDescent="0.25">
      <c r="A66" s="256" t="s">
        <v>1795</v>
      </c>
      <c r="B66" s="257"/>
      <c r="C66" s="258"/>
      <c r="D66" s="258"/>
      <c r="E66" s="258"/>
      <c r="F66" s="258"/>
      <c r="G66" s="149"/>
      <c r="H66" s="259"/>
      <c r="I66" s="257"/>
      <c r="J66" s="258"/>
      <c r="K66" s="258"/>
      <c r="L66" s="258"/>
      <c r="M66" s="258"/>
      <c r="N66" s="149"/>
      <c r="O66" s="259">
        <v>2</v>
      </c>
      <c r="P66" s="258"/>
      <c r="Q66" s="258"/>
      <c r="R66" s="258"/>
      <c r="S66" s="258"/>
      <c r="T66" s="258"/>
      <c r="U66" s="149"/>
      <c r="V66" s="149">
        <v>1</v>
      </c>
      <c r="W66" s="257"/>
      <c r="X66" s="258"/>
      <c r="Y66" s="258"/>
      <c r="Z66" s="258"/>
      <c r="AA66" s="258"/>
      <c r="AB66" s="149"/>
      <c r="AC66" s="259"/>
      <c r="AD66" s="149"/>
      <c r="AF66">
        <f t="shared" si="2"/>
        <v>0</v>
      </c>
    </row>
    <row r="67" spans="1:38" x14ac:dyDescent="0.25">
      <c r="A67" s="256" t="s">
        <v>107</v>
      </c>
      <c r="B67" s="257"/>
      <c r="C67" s="258"/>
      <c r="D67" s="258"/>
      <c r="E67" s="258"/>
      <c r="F67" s="258"/>
      <c r="G67" s="149"/>
      <c r="H67" s="259">
        <v>2</v>
      </c>
      <c r="I67" s="257"/>
      <c r="J67" s="258"/>
      <c r="K67" s="258"/>
      <c r="L67" s="258"/>
      <c r="M67" s="258"/>
      <c r="N67" s="149"/>
      <c r="O67" s="259">
        <v>2</v>
      </c>
      <c r="P67" s="258"/>
      <c r="Q67" s="258"/>
      <c r="R67" s="258"/>
      <c r="S67" s="258"/>
      <c r="T67" s="258"/>
      <c r="U67" s="149"/>
      <c r="V67" s="149">
        <v>1</v>
      </c>
      <c r="W67" s="257"/>
      <c r="X67" s="258"/>
      <c r="Y67" s="258"/>
      <c r="Z67" s="258"/>
      <c r="AA67" s="258"/>
      <c r="AB67" s="149"/>
      <c r="AC67" s="259"/>
      <c r="AD67" s="149" t="s">
        <v>955</v>
      </c>
      <c r="AE67">
        <f t="shared" si="1"/>
        <v>0</v>
      </c>
      <c r="AF67">
        <f t="shared" si="2"/>
        <v>0</v>
      </c>
      <c r="AG67">
        <f t="shared" si="3"/>
        <v>0</v>
      </c>
      <c r="AH67" t="str">
        <f t="shared" si="9"/>
        <v/>
      </c>
      <c r="AJ67" t="s">
        <v>1334</v>
      </c>
      <c r="AK67" t="s">
        <v>1473</v>
      </c>
      <c r="AL67" t="s">
        <v>1588</v>
      </c>
    </row>
    <row r="68" spans="1:38" x14ac:dyDescent="0.25">
      <c r="A68" s="256" t="s">
        <v>110</v>
      </c>
      <c r="B68" s="257"/>
      <c r="C68" s="258"/>
      <c r="D68" s="258"/>
      <c r="E68" s="258"/>
      <c r="F68" s="258"/>
      <c r="G68" s="149"/>
      <c r="H68" s="259">
        <v>1</v>
      </c>
      <c r="I68" s="257"/>
      <c r="J68" s="258"/>
      <c r="K68" s="258"/>
      <c r="L68" s="258"/>
      <c r="M68" s="258"/>
      <c r="N68" s="149"/>
      <c r="O68" s="259">
        <v>2</v>
      </c>
      <c r="P68" s="258"/>
      <c r="Q68" s="258"/>
      <c r="R68" s="258"/>
      <c r="S68" s="258"/>
      <c r="T68" s="258"/>
      <c r="U68" s="149"/>
      <c r="V68" s="149"/>
      <c r="W68" s="257"/>
      <c r="X68" s="258"/>
      <c r="Y68" s="258"/>
      <c r="Z68" s="258"/>
      <c r="AA68" s="258"/>
      <c r="AB68" s="149"/>
      <c r="AC68" s="259"/>
      <c r="AD68" s="149" t="s">
        <v>955</v>
      </c>
      <c r="AE68">
        <f t="shared" si="1"/>
        <v>0</v>
      </c>
      <c r="AF68">
        <f t="shared" si="2"/>
        <v>0</v>
      </c>
      <c r="AG68">
        <f t="shared" si="3"/>
        <v>0</v>
      </c>
      <c r="AH68" t="str">
        <f t="shared" si="9"/>
        <v/>
      </c>
      <c r="AJ68" t="s">
        <v>1335</v>
      </c>
      <c r="AK68" t="s">
        <v>1478</v>
      </c>
      <c r="AL68" t="s">
        <v>1585</v>
      </c>
    </row>
    <row r="69" spans="1:38" x14ac:dyDescent="0.25">
      <c r="A69" s="256" t="s">
        <v>113</v>
      </c>
      <c r="B69" s="257"/>
      <c r="C69" s="258"/>
      <c r="D69" s="258"/>
      <c r="E69" s="258"/>
      <c r="F69" s="258"/>
      <c r="G69" s="149"/>
      <c r="H69" s="259">
        <v>2</v>
      </c>
      <c r="I69" s="257"/>
      <c r="J69" s="258"/>
      <c r="K69" s="258"/>
      <c r="L69" s="258"/>
      <c r="M69" s="258"/>
      <c r="N69" s="149"/>
      <c r="O69" s="259">
        <v>2</v>
      </c>
      <c r="P69" s="258"/>
      <c r="Q69" s="258"/>
      <c r="R69" s="258"/>
      <c r="S69" s="258"/>
      <c r="T69" s="258"/>
      <c r="U69" s="149"/>
      <c r="V69" s="149"/>
      <c r="W69" s="257"/>
      <c r="X69" s="258"/>
      <c r="Y69" s="258"/>
      <c r="Z69" s="258"/>
      <c r="AA69" s="258"/>
      <c r="AB69" s="149"/>
      <c r="AC69" s="259"/>
      <c r="AD69" s="149" t="s">
        <v>955</v>
      </c>
      <c r="AE69">
        <f t="shared" si="1"/>
        <v>0</v>
      </c>
      <c r="AF69">
        <f t="shared" si="2"/>
        <v>0</v>
      </c>
      <c r="AG69">
        <f t="shared" si="3"/>
        <v>0</v>
      </c>
      <c r="AH69" t="str">
        <f t="shared" si="9"/>
        <v/>
      </c>
      <c r="AJ69" t="s">
        <v>1336</v>
      </c>
      <c r="AK69" t="s">
        <v>1474</v>
      </c>
    </row>
    <row r="70" spans="1:38" x14ac:dyDescent="0.25">
      <c r="A70" s="256" t="s">
        <v>1023</v>
      </c>
      <c r="B70" s="257"/>
      <c r="C70" s="258"/>
      <c r="D70" s="258"/>
      <c r="E70" s="258"/>
      <c r="F70" s="258"/>
      <c r="G70" s="149"/>
      <c r="H70" s="259">
        <v>1</v>
      </c>
      <c r="I70" s="257"/>
      <c r="J70" s="258"/>
      <c r="K70" s="258"/>
      <c r="L70" s="258"/>
      <c r="M70" s="258"/>
      <c r="N70" s="149"/>
      <c r="O70" s="259">
        <v>1</v>
      </c>
      <c r="P70" s="258"/>
      <c r="Q70" s="258"/>
      <c r="R70" s="258"/>
      <c r="S70" s="258"/>
      <c r="T70" s="258"/>
      <c r="U70" s="149"/>
      <c r="V70" s="149">
        <v>1</v>
      </c>
      <c r="W70" s="257"/>
      <c r="X70" s="258"/>
      <c r="Y70" s="258"/>
      <c r="Z70" s="258"/>
      <c r="AA70" s="258"/>
      <c r="AB70" s="149"/>
      <c r="AC70" s="259"/>
      <c r="AD70" s="149"/>
      <c r="AE70">
        <f t="shared" si="1"/>
        <v>0</v>
      </c>
      <c r="AF70">
        <f t="shared" si="2"/>
        <v>0</v>
      </c>
      <c r="AG70">
        <f t="shared" si="3"/>
        <v>0</v>
      </c>
      <c r="AH70" t="str">
        <f t="shared" si="9"/>
        <v/>
      </c>
      <c r="AJ70" t="s">
        <v>1337</v>
      </c>
      <c r="AK70" t="s">
        <v>1475</v>
      </c>
    </row>
    <row r="71" spans="1:38" x14ac:dyDescent="0.25">
      <c r="A71" s="256" t="s">
        <v>116</v>
      </c>
      <c r="B71" s="257"/>
      <c r="C71" s="258"/>
      <c r="D71" s="258"/>
      <c r="E71" s="258"/>
      <c r="F71" s="258"/>
      <c r="G71" s="149"/>
      <c r="H71" s="259">
        <v>2</v>
      </c>
      <c r="I71" s="257"/>
      <c r="J71" s="258"/>
      <c r="K71" s="258"/>
      <c r="L71" s="258"/>
      <c r="M71" s="258"/>
      <c r="N71" s="149"/>
      <c r="O71" s="259">
        <v>2</v>
      </c>
      <c r="P71" s="258"/>
      <c r="Q71" s="258"/>
      <c r="R71" s="258"/>
      <c r="S71" s="258"/>
      <c r="T71" s="258"/>
      <c r="U71" s="149"/>
      <c r="V71" s="149">
        <v>2</v>
      </c>
      <c r="W71" s="257"/>
      <c r="X71" s="258"/>
      <c r="Y71" s="258"/>
      <c r="Z71" s="258"/>
      <c r="AA71" s="258"/>
      <c r="AB71" s="149"/>
      <c r="AC71" s="259"/>
      <c r="AD71" s="149" t="s">
        <v>955</v>
      </c>
      <c r="AE71">
        <f t="shared" si="1"/>
        <v>0</v>
      </c>
      <c r="AF71">
        <f t="shared" si="2"/>
        <v>0</v>
      </c>
      <c r="AG71">
        <f t="shared" si="3"/>
        <v>0</v>
      </c>
      <c r="AH71" t="str">
        <f t="shared" si="9"/>
        <v/>
      </c>
      <c r="AJ71" t="s">
        <v>1338</v>
      </c>
      <c r="AK71" t="s">
        <v>1476</v>
      </c>
    </row>
    <row r="72" spans="1:38" x14ac:dyDescent="0.25">
      <c r="A72" s="256" t="s">
        <v>119</v>
      </c>
      <c r="B72" s="257"/>
      <c r="C72" s="258"/>
      <c r="D72" s="258"/>
      <c r="E72" s="258"/>
      <c r="F72" s="258"/>
      <c r="G72" s="149"/>
      <c r="H72" s="259">
        <v>1</v>
      </c>
      <c r="I72" s="257"/>
      <c r="J72" s="258"/>
      <c r="K72" s="258"/>
      <c r="L72" s="258"/>
      <c r="M72" s="258"/>
      <c r="N72" s="149"/>
      <c r="O72" s="259">
        <v>1</v>
      </c>
      <c r="P72" s="258"/>
      <c r="Q72" s="258"/>
      <c r="R72" s="258"/>
      <c r="S72" s="258"/>
      <c r="T72" s="258"/>
      <c r="U72" s="149"/>
      <c r="V72" s="149">
        <v>1</v>
      </c>
      <c r="W72" s="257"/>
      <c r="X72" s="258"/>
      <c r="Y72" s="258"/>
      <c r="Z72" s="258"/>
      <c r="AA72" s="258"/>
      <c r="AB72" s="149"/>
      <c r="AC72" s="259"/>
      <c r="AD72" s="149" t="s">
        <v>955</v>
      </c>
      <c r="AE72">
        <f t="shared" ref="AE72:AE141" si="10">G72</f>
        <v>0</v>
      </c>
      <c r="AF72">
        <f t="shared" ref="AF72:AF141" si="11">N72</f>
        <v>0</v>
      </c>
      <c r="AG72">
        <f t="shared" ref="AG72:AG141" si="12">U72</f>
        <v>0</v>
      </c>
      <c r="AH72" t="str">
        <f t="shared" si="9"/>
        <v/>
      </c>
      <c r="AJ72" t="s">
        <v>1339</v>
      </c>
      <c r="AK72" t="s">
        <v>1477</v>
      </c>
      <c r="AL72" t="s">
        <v>1586</v>
      </c>
    </row>
    <row r="73" spans="1:38" x14ac:dyDescent="0.25">
      <c r="A73" s="256" t="s">
        <v>1787</v>
      </c>
      <c r="B73" s="257"/>
      <c r="C73" s="258"/>
      <c r="D73" s="258"/>
      <c r="E73" s="258"/>
      <c r="F73" s="258"/>
      <c r="G73" s="149"/>
      <c r="H73" s="259">
        <v>1</v>
      </c>
      <c r="I73" s="257"/>
      <c r="J73" s="258"/>
      <c r="K73" s="258"/>
      <c r="L73" s="258"/>
      <c r="M73" s="258"/>
      <c r="N73" s="149"/>
      <c r="O73" s="259">
        <v>1</v>
      </c>
      <c r="P73" s="258"/>
      <c r="Q73" s="258"/>
      <c r="R73" s="258"/>
      <c r="S73" s="258"/>
      <c r="T73" s="258"/>
      <c r="U73" s="149"/>
      <c r="V73" s="149">
        <v>1</v>
      </c>
      <c r="W73" s="257"/>
      <c r="X73" s="258"/>
      <c r="Y73" s="258"/>
      <c r="Z73" s="258"/>
      <c r="AA73" s="258"/>
      <c r="AB73" s="149"/>
      <c r="AC73" s="259"/>
      <c r="AD73" s="149" t="s">
        <v>955</v>
      </c>
      <c r="AE73">
        <f t="shared" si="10"/>
        <v>0</v>
      </c>
      <c r="AF73">
        <f t="shared" si="11"/>
        <v>0</v>
      </c>
      <c r="AG73">
        <f t="shared" si="12"/>
        <v>0</v>
      </c>
    </row>
    <row r="74" spans="1:38" x14ac:dyDescent="0.25">
      <c r="A74" s="256" t="s">
        <v>1813</v>
      </c>
      <c r="B74" s="257"/>
      <c r="C74" s="258"/>
      <c r="D74" s="258"/>
      <c r="E74" s="258"/>
      <c r="F74" s="258"/>
      <c r="G74" s="149"/>
      <c r="H74" s="259"/>
      <c r="I74" s="257"/>
      <c r="J74" s="258"/>
      <c r="K74" s="258"/>
      <c r="L74" s="258"/>
      <c r="M74" s="258"/>
      <c r="N74" s="149"/>
      <c r="O74" s="259"/>
      <c r="P74" s="258"/>
      <c r="Q74" s="258"/>
      <c r="R74" s="258"/>
      <c r="S74" s="258"/>
      <c r="T74" s="258"/>
      <c r="U74" s="149"/>
      <c r="V74" s="149">
        <v>1</v>
      </c>
      <c r="W74" s="257"/>
      <c r="X74" s="258"/>
      <c r="Y74" s="258"/>
      <c r="Z74" s="258"/>
      <c r="AA74" s="258"/>
      <c r="AB74" s="149"/>
      <c r="AC74" s="259"/>
      <c r="AD74" s="149"/>
      <c r="AG74">
        <f t="shared" si="12"/>
        <v>0</v>
      </c>
    </row>
    <row r="75" spans="1:38" x14ac:dyDescent="0.25">
      <c r="A75" s="256" t="s">
        <v>555</v>
      </c>
      <c r="B75" s="260"/>
      <c r="C75" s="261"/>
      <c r="D75" s="261"/>
      <c r="E75" s="261"/>
      <c r="F75" s="261"/>
      <c r="G75" s="262"/>
      <c r="H75" s="263"/>
      <c r="I75" s="257"/>
      <c r="J75" s="258"/>
      <c r="K75" s="258"/>
      <c r="L75" s="258"/>
      <c r="M75" s="258"/>
      <c r="N75" s="149"/>
      <c r="O75" s="259">
        <v>2</v>
      </c>
      <c r="P75" s="258"/>
      <c r="Q75" s="258"/>
      <c r="R75" s="258"/>
      <c r="S75" s="258"/>
      <c r="T75" s="258"/>
      <c r="U75" s="149"/>
      <c r="V75" s="149">
        <v>1</v>
      </c>
      <c r="W75" s="257"/>
      <c r="X75" s="258"/>
      <c r="Y75" s="258"/>
      <c r="Z75" s="258"/>
      <c r="AA75" s="258"/>
      <c r="AB75" s="149"/>
      <c r="AC75" s="259"/>
      <c r="AD75" s="149"/>
      <c r="AE75">
        <f t="shared" si="10"/>
        <v>0</v>
      </c>
      <c r="AF75">
        <f t="shared" si="11"/>
        <v>0</v>
      </c>
      <c r="AG75">
        <f t="shared" si="12"/>
        <v>0</v>
      </c>
      <c r="AH75" t="str">
        <f t="shared" si="9"/>
        <v/>
      </c>
    </row>
    <row r="76" spans="1:38" x14ac:dyDescent="0.25">
      <c r="A76" s="256" t="s">
        <v>1815</v>
      </c>
      <c r="B76" s="260"/>
      <c r="C76" s="261"/>
      <c r="D76" s="261"/>
      <c r="E76" s="261"/>
      <c r="F76" s="261"/>
      <c r="G76" s="262"/>
      <c r="H76" s="263"/>
      <c r="I76" s="257"/>
      <c r="J76" s="258"/>
      <c r="K76" s="258"/>
      <c r="L76" s="258"/>
      <c r="M76" s="258"/>
      <c r="N76" s="149"/>
      <c r="O76" s="259"/>
      <c r="P76" s="258"/>
      <c r="Q76" s="258"/>
      <c r="R76" s="258"/>
      <c r="S76" s="258"/>
      <c r="T76" s="258"/>
      <c r="U76" s="149"/>
      <c r="V76" s="149">
        <v>1</v>
      </c>
      <c r="W76" s="257"/>
      <c r="X76" s="258"/>
      <c r="Y76" s="258"/>
      <c r="Z76" s="258"/>
      <c r="AA76" s="258"/>
      <c r="AB76" s="149"/>
      <c r="AC76" s="259"/>
      <c r="AD76" s="149"/>
      <c r="AG76">
        <f t="shared" si="12"/>
        <v>0</v>
      </c>
    </row>
    <row r="77" spans="1:38" x14ac:dyDescent="0.25">
      <c r="A77" s="256" t="s">
        <v>122</v>
      </c>
      <c r="B77" s="257"/>
      <c r="C77" s="258"/>
      <c r="D77" s="258"/>
      <c r="E77" s="258"/>
      <c r="F77" s="258"/>
      <c r="G77" s="149"/>
      <c r="H77" s="259">
        <v>2</v>
      </c>
      <c r="I77" s="257"/>
      <c r="J77" s="258"/>
      <c r="K77" s="258"/>
      <c r="L77" s="258"/>
      <c r="M77" s="258"/>
      <c r="N77" s="149"/>
      <c r="O77" s="259">
        <v>2</v>
      </c>
      <c r="P77" s="258"/>
      <c r="Q77" s="258"/>
      <c r="R77" s="258"/>
      <c r="S77" s="258"/>
      <c r="T77" s="258"/>
      <c r="U77" s="149"/>
      <c r="V77" s="149">
        <v>1</v>
      </c>
      <c r="W77" s="257"/>
      <c r="X77" s="258"/>
      <c r="Y77" s="258"/>
      <c r="Z77" s="258"/>
      <c r="AA77" s="258"/>
      <c r="AB77" s="149"/>
      <c r="AC77" s="259"/>
      <c r="AD77" s="149"/>
      <c r="AE77">
        <f t="shared" si="10"/>
        <v>0</v>
      </c>
      <c r="AF77">
        <f t="shared" si="11"/>
        <v>0</v>
      </c>
      <c r="AG77">
        <f t="shared" si="12"/>
        <v>0</v>
      </c>
      <c r="AH77" t="str">
        <f t="shared" si="9"/>
        <v/>
      </c>
      <c r="AJ77" t="s">
        <v>1340</v>
      </c>
    </row>
    <row r="78" spans="1:38" x14ac:dyDescent="0.25">
      <c r="A78" s="256" t="s">
        <v>560</v>
      </c>
      <c r="B78" s="260"/>
      <c r="C78" s="261"/>
      <c r="D78" s="261"/>
      <c r="E78" s="261"/>
      <c r="F78" s="261"/>
      <c r="G78" s="262"/>
      <c r="H78" s="263"/>
      <c r="I78" s="257"/>
      <c r="J78" s="258"/>
      <c r="K78" s="258"/>
      <c r="L78" s="258"/>
      <c r="M78" s="258"/>
      <c r="N78" s="149"/>
      <c r="O78" s="259">
        <v>2</v>
      </c>
      <c r="P78" s="258"/>
      <c r="Q78" s="258"/>
      <c r="R78" s="258"/>
      <c r="S78" s="258"/>
      <c r="T78" s="258"/>
      <c r="U78" s="149"/>
      <c r="V78" s="149">
        <v>1</v>
      </c>
      <c r="W78" s="257"/>
      <c r="X78" s="258"/>
      <c r="Y78" s="258"/>
      <c r="Z78" s="258"/>
      <c r="AA78" s="258"/>
      <c r="AB78" s="149"/>
      <c r="AC78" s="259"/>
      <c r="AD78" s="149"/>
      <c r="AE78">
        <f t="shared" si="10"/>
        <v>0</v>
      </c>
      <c r="AF78">
        <f t="shared" si="11"/>
        <v>0</v>
      </c>
      <c r="AG78">
        <f t="shared" si="12"/>
        <v>0</v>
      </c>
      <c r="AH78" t="str">
        <f t="shared" si="9"/>
        <v/>
      </c>
    </row>
    <row r="79" spans="1:38" x14ac:dyDescent="0.25">
      <c r="A79" s="256" t="s">
        <v>1814</v>
      </c>
      <c r="B79" s="260"/>
      <c r="C79" s="261"/>
      <c r="D79" s="261"/>
      <c r="E79" s="261"/>
      <c r="F79" s="261"/>
      <c r="G79" s="262"/>
      <c r="H79" s="263"/>
      <c r="I79" s="257"/>
      <c r="J79" s="258"/>
      <c r="K79" s="258"/>
      <c r="L79" s="258"/>
      <c r="M79" s="258"/>
      <c r="N79" s="149"/>
      <c r="O79" s="259"/>
      <c r="P79" s="258"/>
      <c r="Q79" s="258"/>
      <c r="R79" s="258"/>
      <c r="S79" s="258"/>
      <c r="T79" s="258"/>
      <c r="U79" s="149"/>
      <c r="V79" s="149"/>
      <c r="W79" s="257"/>
      <c r="X79" s="258"/>
      <c r="Y79" s="258"/>
      <c r="Z79" s="258"/>
      <c r="AA79" s="258"/>
      <c r="AB79" s="149"/>
      <c r="AC79" s="259"/>
      <c r="AD79" s="149"/>
      <c r="AG79">
        <f t="shared" si="12"/>
        <v>0</v>
      </c>
    </row>
    <row r="80" spans="1:38" x14ac:dyDescent="0.25">
      <c r="A80" s="256" t="s">
        <v>125</v>
      </c>
      <c r="B80" s="257"/>
      <c r="C80" s="258"/>
      <c r="D80" s="258" t="s">
        <v>32</v>
      </c>
      <c r="E80" s="258"/>
      <c r="F80" s="258"/>
      <c r="G80" s="149">
        <v>30</v>
      </c>
      <c r="H80" s="259">
        <v>1</v>
      </c>
      <c r="I80" s="257"/>
      <c r="J80" s="258"/>
      <c r="K80" s="258"/>
      <c r="L80" s="258"/>
      <c r="M80" s="258"/>
      <c r="N80" s="149"/>
      <c r="O80" s="259">
        <v>1</v>
      </c>
      <c r="P80" s="258" t="s">
        <v>32</v>
      </c>
      <c r="Q80" s="258"/>
      <c r="R80" s="258" t="s">
        <v>32</v>
      </c>
      <c r="S80" s="258"/>
      <c r="T80" s="258"/>
      <c r="U80" s="149">
        <v>45</v>
      </c>
      <c r="V80" s="149">
        <v>1</v>
      </c>
      <c r="W80" s="257"/>
      <c r="X80" s="258"/>
      <c r="Y80" s="258"/>
      <c r="Z80" s="258"/>
      <c r="AA80" s="258"/>
      <c r="AB80" s="149"/>
      <c r="AC80" s="259"/>
      <c r="AD80" s="149" t="s">
        <v>955</v>
      </c>
      <c r="AE80">
        <f t="shared" si="10"/>
        <v>30</v>
      </c>
      <c r="AF80">
        <f t="shared" si="11"/>
        <v>0</v>
      </c>
      <c r="AG80">
        <f t="shared" si="12"/>
        <v>45</v>
      </c>
      <c r="AH80" t="str">
        <f t="shared" si="9"/>
        <v/>
      </c>
      <c r="AJ80" t="s">
        <v>1341</v>
      </c>
      <c r="AK80" t="s">
        <v>1479</v>
      </c>
      <c r="AL80" t="s">
        <v>1589</v>
      </c>
    </row>
    <row r="81" spans="1:38" x14ac:dyDescent="0.25">
      <c r="A81" s="256" t="s">
        <v>128</v>
      </c>
      <c r="B81" s="257"/>
      <c r="C81" s="258"/>
      <c r="D81" s="258"/>
      <c r="E81" s="258"/>
      <c r="F81" s="258"/>
      <c r="G81" s="149"/>
      <c r="H81" s="259">
        <v>2</v>
      </c>
      <c r="I81" s="257"/>
      <c r="J81" s="258"/>
      <c r="K81" s="258"/>
      <c r="L81" s="258"/>
      <c r="M81" s="258"/>
      <c r="N81" s="149"/>
      <c r="O81" s="259"/>
      <c r="P81" s="258"/>
      <c r="Q81" s="258"/>
      <c r="R81" s="258"/>
      <c r="S81" s="258"/>
      <c r="T81" s="258"/>
      <c r="U81" s="149"/>
      <c r="V81" s="149"/>
      <c r="W81" s="257"/>
      <c r="X81" s="258"/>
      <c r="Y81" s="258"/>
      <c r="Z81" s="258"/>
      <c r="AA81" s="258"/>
      <c r="AB81" s="149"/>
      <c r="AC81" s="259"/>
      <c r="AD81" s="149" t="s">
        <v>955</v>
      </c>
      <c r="AE81">
        <f t="shared" si="10"/>
        <v>0</v>
      </c>
      <c r="AF81">
        <f t="shared" si="11"/>
        <v>0</v>
      </c>
      <c r="AG81">
        <f t="shared" si="12"/>
        <v>0</v>
      </c>
      <c r="AH81" t="str">
        <f t="shared" si="9"/>
        <v/>
      </c>
      <c r="AJ81" t="s">
        <v>1342</v>
      </c>
      <c r="AK81" t="s">
        <v>1480</v>
      </c>
    </row>
    <row r="82" spans="1:38" x14ac:dyDescent="0.25">
      <c r="A82" s="256" t="s">
        <v>131</v>
      </c>
      <c r="B82" s="257"/>
      <c r="C82" s="258"/>
      <c r="D82" s="258"/>
      <c r="E82" s="258"/>
      <c r="F82" s="258"/>
      <c r="G82" s="149">
        <v>30</v>
      </c>
      <c r="H82" s="259">
        <v>2</v>
      </c>
      <c r="I82" s="257"/>
      <c r="J82" s="258"/>
      <c r="K82" s="258"/>
      <c r="L82" s="258"/>
      <c r="M82" s="258"/>
      <c r="N82" s="149"/>
      <c r="O82" s="259">
        <v>2</v>
      </c>
      <c r="P82" s="258"/>
      <c r="Q82" s="258"/>
      <c r="R82" s="258"/>
      <c r="S82" s="258"/>
      <c r="T82" s="258"/>
      <c r="U82" s="149"/>
      <c r="V82" s="149"/>
      <c r="W82" s="257"/>
      <c r="X82" s="258"/>
      <c r="Y82" s="258"/>
      <c r="Z82" s="258"/>
      <c r="AA82" s="258"/>
      <c r="AB82" s="149"/>
      <c r="AC82" s="259"/>
      <c r="AD82" s="149" t="s">
        <v>955</v>
      </c>
      <c r="AE82">
        <f t="shared" si="10"/>
        <v>30</v>
      </c>
      <c r="AF82">
        <f t="shared" si="11"/>
        <v>0</v>
      </c>
      <c r="AG82">
        <f t="shared" si="12"/>
        <v>0</v>
      </c>
      <c r="AH82" t="str">
        <f t="shared" si="9"/>
        <v/>
      </c>
      <c r="AJ82" t="s">
        <v>1343</v>
      </c>
      <c r="AK82" t="s">
        <v>1481</v>
      </c>
    </row>
    <row r="83" spans="1:38" x14ac:dyDescent="0.25">
      <c r="A83" s="256" t="s">
        <v>134</v>
      </c>
      <c r="B83" s="257"/>
      <c r="C83" s="258"/>
      <c r="D83" s="258"/>
      <c r="E83" s="258"/>
      <c r="F83" s="258"/>
      <c r="G83" s="149"/>
      <c r="H83" s="259">
        <v>3</v>
      </c>
      <c r="I83" s="257"/>
      <c r="J83" s="258"/>
      <c r="K83" s="258"/>
      <c r="L83" s="258"/>
      <c r="M83" s="258"/>
      <c r="N83" s="149"/>
      <c r="O83" s="259">
        <v>3</v>
      </c>
      <c r="P83" s="258"/>
      <c r="Q83" s="258"/>
      <c r="R83" s="258"/>
      <c r="S83" s="258"/>
      <c r="T83" s="258"/>
      <c r="U83" s="149"/>
      <c r="V83" s="149"/>
      <c r="W83" s="257"/>
      <c r="X83" s="258"/>
      <c r="Y83" s="258"/>
      <c r="Z83" s="258"/>
      <c r="AA83" s="258"/>
      <c r="AB83" s="149"/>
      <c r="AC83" s="259"/>
      <c r="AD83" s="149" t="s">
        <v>955</v>
      </c>
      <c r="AE83">
        <f t="shared" si="10"/>
        <v>0</v>
      </c>
      <c r="AF83">
        <f t="shared" si="11"/>
        <v>0</v>
      </c>
      <c r="AG83">
        <f t="shared" si="12"/>
        <v>0</v>
      </c>
      <c r="AH83" t="str">
        <f t="shared" si="9"/>
        <v/>
      </c>
      <c r="AJ83" t="s">
        <v>1344</v>
      </c>
      <c r="AL83" t="s">
        <v>1590</v>
      </c>
    </row>
    <row r="84" spans="1:38" x14ac:dyDescent="0.25">
      <c r="A84" s="256" t="s">
        <v>137</v>
      </c>
      <c r="B84" s="257"/>
      <c r="C84" s="258"/>
      <c r="D84" s="258"/>
      <c r="E84" s="258"/>
      <c r="F84" s="258"/>
      <c r="G84" s="149"/>
      <c r="H84" s="259">
        <v>2</v>
      </c>
      <c r="I84" s="257"/>
      <c r="J84" s="258"/>
      <c r="K84" s="258"/>
      <c r="L84" s="258"/>
      <c r="M84" s="258"/>
      <c r="N84" s="149"/>
      <c r="O84" s="259">
        <v>2</v>
      </c>
      <c r="P84" s="258"/>
      <c r="Q84" s="258"/>
      <c r="R84" s="258"/>
      <c r="S84" s="258"/>
      <c r="T84" s="258"/>
      <c r="U84" s="149"/>
      <c r="V84" s="149"/>
      <c r="W84" s="257"/>
      <c r="X84" s="258"/>
      <c r="Y84" s="258"/>
      <c r="Z84" s="258"/>
      <c r="AA84" s="258"/>
      <c r="AB84" s="149"/>
      <c r="AC84" s="259"/>
      <c r="AD84" s="149" t="s">
        <v>955</v>
      </c>
      <c r="AE84">
        <f t="shared" si="10"/>
        <v>0</v>
      </c>
      <c r="AF84">
        <f t="shared" si="11"/>
        <v>0</v>
      </c>
      <c r="AG84">
        <f t="shared" si="12"/>
        <v>0</v>
      </c>
      <c r="AH84" t="str">
        <f t="shared" si="9"/>
        <v/>
      </c>
      <c r="AJ84" t="s">
        <v>1345</v>
      </c>
      <c r="AK84" t="s">
        <v>1482</v>
      </c>
    </row>
    <row r="85" spans="1:38" x14ac:dyDescent="0.25">
      <c r="A85" s="256" t="s">
        <v>140</v>
      </c>
      <c r="B85" s="257"/>
      <c r="C85" s="258"/>
      <c r="D85" s="258"/>
      <c r="E85" s="258"/>
      <c r="F85" s="258"/>
      <c r="G85" s="149"/>
      <c r="H85" s="259">
        <v>2</v>
      </c>
      <c r="I85" s="257"/>
      <c r="J85" s="258"/>
      <c r="K85" s="258"/>
      <c r="L85" s="258"/>
      <c r="M85" s="258"/>
      <c r="N85" s="149"/>
      <c r="O85" s="259">
        <v>2</v>
      </c>
      <c r="P85" s="258"/>
      <c r="Q85" s="258"/>
      <c r="R85" s="258"/>
      <c r="S85" s="258"/>
      <c r="T85" s="258"/>
      <c r="U85" s="149"/>
      <c r="V85" s="149"/>
      <c r="W85" s="257"/>
      <c r="X85" s="258"/>
      <c r="Y85" s="258"/>
      <c r="Z85" s="258"/>
      <c r="AA85" s="258"/>
      <c r="AB85" s="149"/>
      <c r="AC85" s="259"/>
      <c r="AD85" s="149" t="s">
        <v>955</v>
      </c>
      <c r="AE85">
        <f t="shared" si="10"/>
        <v>0</v>
      </c>
      <c r="AF85">
        <f t="shared" si="11"/>
        <v>0</v>
      </c>
      <c r="AG85">
        <f t="shared" si="12"/>
        <v>0</v>
      </c>
      <c r="AH85" t="str">
        <f t="shared" si="9"/>
        <v/>
      </c>
      <c r="AJ85" t="s">
        <v>1346</v>
      </c>
      <c r="AL85" t="s">
        <v>1591</v>
      </c>
    </row>
    <row r="86" spans="1:38" x14ac:dyDescent="0.25">
      <c r="A86" s="256" t="s">
        <v>143</v>
      </c>
      <c r="B86" s="257"/>
      <c r="C86" s="258"/>
      <c r="D86" s="258"/>
      <c r="E86" s="258"/>
      <c r="F86" s="258"/>
      <c r="G86" s="149"/>
      <c r="H86" s="259">
        <v>1</v>
      </c>
      <c r="I86" s="257"/>
      <c r="J86" s="258"/>
      <c r="K86" s="258"/>
      <c r="L86" s="258"/>
      <c r="M86" s="258"/>
      <c r="N86" s="149"/>
      <c r="O86" s="259"/>
      <c r="P86" s="258"/>
      <c r="Q86" s="258"/>
      <c r="R86" s="258"/>
      <c r="S86" s="258"/>
      <c r="T86" s="258"/>
      <c r="U86" s="149"/>
      <c r="V86" s="149"/>
      <c r="W86" s="257"/>
      <c r="X86" s="258"/>
      <c r="Y86" s="258"/>
      <c r="Z86" s="258"/>
      <c r="AA86" s="258"/>
      <c r="AB86" s="149"/>
      <c r="AC86" s="259"/>
      <c r="AD86" s="149" t="s">
        <v>955</v>
      </c>
      <c r="AE86">
        <f t="shared" si="10"/>
        <v>0</v>
      </c>
      <c r="AF86">
        <f t="shared" si="11"/>
        <v>0</v>
      </c>
      <c r="AG86">
        <f t="shared" si="12"/>
        <v>0</v>
      </c>
      <c r="AH86" t="str">
        <f t="shared" si="9"/>
        <v/>
      </c>
    </row>
    <row r="87" spans="1:38" x14ac:dyDescent="0.25">
      <c r="A87" s="256" t="s">
        <v>146</v>
      </c>
      <c r="B87" s="257"/>
      <c r="C87" s="258"/>
      <c r="D87" s="258"/>
      <c r="E87" s="258"/>
      <c r="F87" s="258"/>
      <c r="G87" s="149">
        <v>30</v>
      </c>
      <c r="H87" s="259">
        <v>2</v>
      </c>
      <c r="I87" s="257"/>
      <c r="J87" s="258"/>
      <c r="K87" s="258"/>
      <c r="L87" s="258"/>
      <c r="M87" s="258"/>
      <c r="N87" s="149"/>
      <c r="O87" s="259">
        <v>1</v>
      </c>
      <c r="P87" s="258"/>
      <c r="Q87" s="258"/>
      <c r="R87" s="258"/>
      <c r="S87" s="258"/>
      <c r="T87" s="258"/>
      <c r="U87" s="149"/>
      <c r="V87" s="149"/>
      <c r="W87" s="257"/>
      <c r="X87" s="258"/>
      <c r="Y87" s="258"/>
      <c r="Z87" s="258"/>
      <c r="AA87" s="258"/>
      <c r="AB87" s="149"/>
      <c r="AC87" s="259"/>
      <c r="AD87" s="149" t="s">
        <v>955</v>
      </c>
      <c r="AE87">
        <f t="shared" si="10"/>
        <v>30</v>
      </c>
      <c r="AF87">
        <f t="shared" si="11"/>
        <v>0</v>
      </c>
      <c r="AG87">
        <f t="shared" si="12"/>
        <v>0</v>
      </c>
      <c r="AH87" t="str">
        <f t="shared" si="9"/>
        <v/>
      </c>
      <c r="AK87" t="s">
        <v>1483</v>
      </c>
    </row>
    <row r="88" spans="1:38" x14ac:dyDescent="0.25">
      <c r="A88" s="256" t="s">
        <v>149</v>
      </c>
      <c r="B88" s="257" t="s">
        <v>32</v>
      </c>
      <c r="C88" s="258"/>
      <c r="D88" s="258" t="s">
        <v>32</v>
      </c>
      <c r="E88" s="258"/>
      <c r="F88" s="258"/>
      <c r="G88" s="149">
        <v>30</v>
      </c>
      <c r="H88" s="259">
        <v>3</v>
      </c>
      <c r="I88" s="257"/>
      <c r="J88" s="258"/>
      <c r="K88" s="258"/>
      <c r="L88" s="258"/>
      <c r="M88" s="258"/>
      <c r="N88" s="149"/>
      <c r="O88" s="259">
        <v>3</v>
      </c>
      <c r="P88" s="258"/>
      <c r="Q88" s="258"/>
      <c r="R88" s="258"/>
      <c r="S88" s="258"/>
      <c r="T88" s="258"/>
      <c r="U88" s="149"/>
      <c r="V88" s="149"/>
      <c r="W88" s="257"/>
      <c r="X88" s="258"/>
      <c r="Y88" s="258"/>
      <c r="Z88" s="258"/>
      <c r="AA88" s="258"/>
      <c r="AB88" s="149"/>
      <c r="AC88" s="259"/>
      <c r="AD88" s="149" t="s">
        <v>955</v>
      </c>
      <c r="AE88">
        <f t="shared" si="10"/>
        <v>30</v>
      </c>
      <c r="AF88">
        <f t="shared" si="11"/>
        <v>0</v>
      </c>
      <c r="AG88">
        <f t="shared" si="12"/>
        <v>0</v>
      </c>
      <c r="AH88" t="str">
        <f t="shared" si="9"/>
        <v/>
      </c>
      <c r="AK88" t="s">
        <v>1484</v>
      </c>
    </row>
    <row r="89" spans="1:38" x14ac:dyDescent="0.25">
      <c r="A89" s="256" t="s">
        <v>152</v>
      </c>
      <c r="B89" s="257"/>
      <c r="C89" s="258"/>
      <c r="D89" s="258"/>
      <c r="E89" s="258"/>
      <c r="F89" s="258"/>
      <c r="G89" s="149">
        <v>30</v>
      </c>
      <c r="H89" s="259">
        <v>2</v>
      </c>
      <c r="I89" s="257"/>
      <c r="J89" s="258"/>
      <c r="K89" s="258"/>
      <c r="L89" s="258"/>
      <c r="M89" s="258"/>
      <c r="N89" s="149"/>
      <c r="O89" s="259">
        <v>2</v>
      </c>
      <c r="P89" s="258"/>
      <c r="Q89" s="258"/>
      <c r="R89" s="258"/>
      <c r="S89" s="258"/>
      <c r="T89" s="258"/>
      <c r="U89" s="149"/>
      <c r="V89" s="149"/>
      <c r="W89" s="257"/>
      <c r="X89" s="258"/>
      <c r="Y89" s="258"/>
      <c r="Z89" s="258"/>
      <c r="AA89" s="258"/>
      <c r="AB89" s="149"/>
      <c r="AC89" s="259"/>
      <c r="AD89" s="149" t="s">
        <v>955</v>
      </c>
      <c r="AE89">
        <f t="shared" si="10"/>
        <v>30</v>
      </c>
      <c r="AF89">
        <f t="shared" si="11"/>
        <v>0</v>
      </c>
      <c r="AG89">
        <f t="shared" si="12"/>
        <v>0</v>
      </c>
      <c r="AH89" t="str">
        <f t="shared" si="9"/>
        <v/>
      </c>
      <c r="AK89" t="s">
        <v>1485</v>
      </c>
      <c r="AL89" t="s">
        <v>1592</v>
      </c>
    </row>
    <row r="90" spans="1:38" x14ac:dyDescent="0.25">
      <c r="A90" s="256" t="s">
        <v>155</v>
      </c>
      <c r="B90" s="257"/>
      <c r="C90" s="258"/>
      <c r="D90" s="258"/>
      <c r="E90" s="258"/>
      <c r="F90" s="258"/>
      <c r="G90" s="149"/>
      <c r="H90" s="259">
        <v>2</v>
      </c>
      <c r="I90" s="257"/>
      <c r="J90" s="258"/>
      <c r="K90" s="258"/>
      <c r="L90" s="258"/>
      <c r="M90" s="258"/>
      <c r="N90" s="149"/>
      <c r="O90" s="259"/>
      <c r="P90" s="258"/>
      <c r="Q90" s="258"/>
      <c r="R90" s="258"/>
      <c r="S90" s="258"/>
      <c r="T90" s="258"/>
      <c r="U90" s="149"/>
      <c r="V90" s="149">
        <v>2</v>
      </c>
      <c r="W90" s="257"/>
      <c r="X90" s="258"/>
      <c r="Y90" s="258"/>
      <c r="Z90" s="258"/>
      <c r="AA90" s="258"/>
      <c r="AB90" s="149"/>
      <c r="AC90" s="259"/>
      <c r="AD90" s="149" t="s">
        <v>955</v>
      </c>
      <c r="AE90">
        <f t="shared" si="10"/>
        <v>0</v>
      </c>
      <c r="AF90">
        <f t="shared" si="11"/>
        <v>0</v>
      </c>
      <c r="AG90">
        <f t="shared" si="12"/>
        <v>0</v>
      </c>
      <c r="AH90" t="str">
        <f t="shared" si="9"/>
        <v/>
      </c>
    </row>
    <row r="91" spans="1:38" x14ac:dyDescent="0.25">
      <c r="A91" s="256" t="s">
        <v>158</v>
      </c>
      <c r="B91" s="257"/>
      <c r="C91" s="258"/>
      <c r="D91" s="258"/>
      <c r="E91" s="258"/>
      <c r="F91" s="258"/>
      <c r="G91" s="149"/>
      <c r="H91" s="259">
        <v>1</v>
      </c>
      <c r="I91" s="257"/>
      <c r="J91" s="258"/>
      <c r="K91" s="258"/>
      <c r="L91" s="258"/>
      <c r="M91" s="258"/>
      <c r="N91" s="149"/>
      <c r="O91" s="259">
        <v>1</v>
      </c>
      <c r="P91" s="258"/>
      <c r="Q91" s="258"/>
      <c r="R91" s="258"/>
      <c r="S91" s="258"/>
      <c r="T91" s="258"/>
      <c r="U91" s="149"/>
      <c r="V91" s="149"/>
      <c r="W91" s="257"/>
      <c r="X91" s="258"/>
      <c r="Y91" s="258"/>
      <c r="Z91" s="258"/>
      <c r="AA91" s="258"/>
      <c r="AB91" s="149"/>
      <c r="AC91" s="259"/>
      <c r="AD91" s="149" t="s">
        <v>955</v>
      </c>
      <c r="AE91">
        <f t="shared" si="10"/>
        <v>0</v>
      </c>
      <c r="AF91">
        <f t="shared" si="11"/>
        <v>0</v>
      </c>
      <c r="AG91">
        <f t="shared" si="12"/>
        <v>0</v>
      </c>
      <c r="AH91" t="str">
        <f t="shared" si="9"/>
        <v/>
      </c>
      <c r="AK91" t="s">
        <v>1486</v>
      </c>
      <c r="AL91" t="s">
        <v>1593</v>
      </c>
    </row>
    <row r="92" spans="1:38" x14ac:dyDescent="0.25">
      <c r="A92" s="256" t="s">
        <v>563</v>
      </c>
      <c r="B92" s="260"/>
      <c r="C92" s="261"/>
      <c r="D92" s="261"/>
      <c r="E92" s="261"/>
      <c r="F92" s="261"/>
      <c r="G92" s="262"/>
      <c r="H92" s="263"/>
      <c r="I92" s="257"/>
      <c r="J92" s="258"/>
      <c r="K92" s="258"/>
      <c r="L92" s="258"/>
      <c r="M92" s="258"/>
      <c r="N92" s="149"/>
      <c r="O92" s="259">
        <v>2</v>
      </c>
      <c r="P92" s="258"/>
      <c r="Q92" s="258"/>
      <c r="R92" s="258"/>
      <c r="S92" s="258"/>
      <c r="T92" s="258"/>
      <c r="U92" s="149"/>
      <c r="V92" s="149"/>
      <c r="W92" s="257"/>
      <c r="X92" s="258"/>
      <c r="Y92" s="258"/>
      <c r="Z92" s="258"/>
      <c r="AA92" s="258"/>
      <c r="AB92" s="149"/>
      <c r="AC92" s="259"/>
      <c r="AD92" s="149"/>
      <c r="AE92">
        <f t="shared" si="10"/>
        <v>0</v>
      </c>
      <c r="AF92">
        <f t="shared" si="11"/>
        <v>0</v>
      </c>
      <c r="AG92">
        <f t="shared" si="12"/>
        <v>0</v>
      </c>
      <c r="AH92" t="str">
        <f t="shared" si="9"/>
        <v/>
      </c>
    </row>
    <row r="93" spans="1:38" x14ac:dyDescent="0.25">
      <c r="A93" s="256" t="s">
        <v>159</v>
      </c>
      <c r="B93" s="257"/>
      <c r="C93" s="258"/>
      <c r="D93" s="258"/>
      <c r="E93" s="258"/>
      <c r="F93" s="258"/>
      <c r="G93" s="149"/>
      <c r="H93" s="259">
        <v>3</v>
      </c>
      <c r="I93" s="257"/>
      <c r="J93" s="258"/>
      <c r="K93" s="258"/>
      <c r="L93" s="258"/>
      <c r="M93" s="258"/>
      <c r="N93" s="149"/>
      <c r="O93" s="259">
        <v>2</v>
      </c>
      <c r="P93" s="258"/>
      <c r="Q93" s="258"/>
      <c r="R93" s="258"/>
      <c r="S93" s="258"/>
      <c r="T93" s="258"/>
      <c r="U93" s="149"/>
      <c r="V93" s="149">
        <v>2</v>
      </c>
      <c r="W93" s="257"/>
      <c r="X93" s="258"/>
      <c r="Y93" s="258"/>
      <c r="Z93" s="258"/>
      <c r="AA93" s="258"/>
      <c r="AB93" s="149"/>
      <c r="AC93" s="259"/>
      <c r="AD93" s="149" t="s">
        <v>955</v>
      </c>
      <c r="AE93">
        <f t="shared" si="10"/>
        <v>0</v>
      </c>
      <c r="AF93">
        <f t="shared" si="11"/>
        <v>0</v>
      </c>
      <c r="AG93">
        <f t="shared" si="12"/>
        <v>0</v>
      </c>
      <c r="AH93" t="str">
        <f t="shared" si="9"/>
        <v/>
      </c>
      <c r="AJ93" t="s">
        <v>1347</v>
      </c>
      <c r="AK93" t="s">
        <v>1487</v>
      </c>
      <c r="AL93" t="s">
        <v>1595</v>
      </c>
    </row>
    <row r="94" spans="1:38" x14ac:dyDescent="0.25">
      <c r="A94" s="256" t="s">
        <v>566</v>
      </c>
      <c r="B94" s="260"/>
      <c r="C94" s="261"/>
      <c r="D94" s="261"/>
      <c r="E94" s="261"/>
      <c r="F94" s="261"/>
      <c r="G94" s="262"/>
      <c r="H94" s="263"/>
      <c r="I94" s="257"/>
      <c r="J94" s="258"/>
      <c r="K94" s="258"/>
      <c r="L94" s="258"/>
      <c r="M94" s="258"/>
      <c r="N94" s="149"/>
      <c r="O94" s="259">
        <v>2</v>
      </c>
      <c r="P94" s="258"/>
      <c r="Q94" s="258"/>
      <c r="R94" s="258"/>
      <c r="S94" s="258"/>
      <c r="T94" s="258"/>
      <c r="U94" s="149"/>
      <c r="V94" s="149"/>
      <c r="W94" s="257"/>
      <c r="X94" s="258"/>
      <c r="Y94" s="258"/>
      <c r="Z94" s="258"/>
      <c r="AA94" s="258"/>
      <c r="AB94" s="149"/>
      <c r="AC94" s="259"/>
      <c r="AD94" s="149"/>
      <c r="AE94">
        <f t="shared" si="10"/>
        <v>0</v>
      </c>
      <c r="AF94">
        <f t="shared" si="11"/>
        <v>0</v>
      </c>
      <c r="AG94">
        <f t="shared" si="12"/>
        <v>0</v>
      </c>
      <c r="AH94" t="str">
        <f t="shared" si="9"/>
        <v/>
      </c>
    </row>
    <row r="95" spans="1:38" x14ac:dyDescent="0.25">
      <c r="A95" s="256" t="s">
        <v>568</v>
      </c>
      <c r="B95" s="260"/>
      <c r="C95" s="261"/>
      <c r="D95" s="261"/>
      <c r="E95" s="261"/>
      <c r="F95" s="261"/>
      <c r="G95" s="262"/>
      <c r="H95" s="263"/>
      <c r="I95" s="257"/>
      <c r="J95" s="258"/>
      <c r="K95" s="258"/>
      <c r="L95" s="258"/>
      <c r="M95" s="258"/>
      <c r="N95" s="149"/>
      <c r="O95" s="259">
        <v>2</v>
      </c>
      <c r="P95" s="258"/>
      <c r="Q95" s="258"/>
      <c r="R95" s="258"/>
      <c r="S95" s="258"/>
      <c r="T95" s="258"/>
      <c r="U95" s="149"/>
      <c r="V95" s="149"/>
      <c r="W95" s="257"/>
      <c r="X95" s="258"/>
      <c r="Y95" s="258"/>
      <c r="Z95" s="258"/>
      <c r="AA95" s="258"/>
      <c r="AB95" s="149"/>
      <c r="AC95" s="259"/>
      <c r="AD95" s="149"/>
      <c r="AE95">
        <f t="shared" si="10"/>
        <v>0</v>
      </c>
      <c r="AF95">
        <f t="shared" si="11"/>
        <v>0</v>
      </c>
      <c r="AG95">
        <f t="shared" si="12"/>
        <v>0</v>
      </c>
      <c r="AH95" t="str">
        <f t="shared" si="9"/>
        <v/>
      </c>
    </row>
    <row r="96" spans="1:38" x14ac:dyDescent="0.25">
      <c r="A96" s="256" t="s">
        <v>570</v>
      </c>
      <c r="B96" s="260"/>
      <c r="C96" s="261"/>
      <c r="D96" s="261"/>
      <c r="E96" s="261"/>
      <c r="F96" s="261"/>
      <c r="G96" s="262"/>
      <c r="H96" s="263"/>
      <c r="I96" s="257"/>
      <c r="J96" s="258"/>
      <c r="K96" s="258"/>
      <c r="L96" s="258"/>
      <c r="M96" s="258"/>
      <c r="N96" s="149"/>
      <c r="O96" s="259">
        <v>2</v>
      </c>
      <c r="P96" s="258"/>
      <c r="Q96" s="258"/>
      <c r="R96" s="258"/>
      <c r="S96" s="258"/>
      <c r="T96" s="258"/>
      <c r="U96" s="149"/>
      <c r="V96" s="149"/>
      <c r="W96" s="257"/>
      <c r="X96" s="258"/>
      <c r="Y96" s="258"/>
      <c r="Z96" s="258"/>
      <c r="AA96" s="258"/>
      <c r="AB96" s="149"/>
      <c r="AC96" s="259"/>
      <c r="AD96" s="149"/>
      <c r="AE96">
        <f t="shared" si="10"/>
        <v>0</v>
      </c>
      <c r="AF96">
        <f t="shared" si="11"/>
        <v>0</v>
      </c>
      <c r="AG96">
        <f t="shared" si="12"/>
        <v>0</v>
      </c>
      <c r="AH96" t="str">
        <f t="shared" si="9"/>
        <v/>
      </c>
    </row>
    <row r="97" spans="1:38" x14ac:dyDescent="0.25">
      <c r="A97" s="256" t="s">
        <v>572</v>
      </c>
      <c r="B97" s="260"/>
      <c r="C97" s="261"/>
      <c r="D97" s="261"/>
      <c r="E97" s="261"/>
      <c r="F97" s="261"/>
      <c r="G97" s="262"/>
      <c r="H97" s="263"/>
      <c r="I97" s="257"/>
      <c r="J97" s="258"/>
      <c r="K97" s="258"/>
      <c r="L97" s="258"/>
      <c r="M97" s="258"/>
      <c r="N97" s="149"/>
      <c r="O97" s="259">
        <v>2</v>
      </c>
      <c r="P97" s="258"/>
      <c r="Q97" s="258"/>
      <c r="R97" s="258"/>
      <c r="S97" s="258"/>
      <c r="T97" s="258"/>
      <c r="U97" s="149"/>
      <c r="V97" s="149"/>
      <c r="W97" s="257"/>
      <c r="X97" s="258"/>
      <c r="Y97" s="258"/>
      <c r="Z97" s="258"/>
      <c r="AA97" s="258"/>
      <c r="AB97" s="149"/>
      <c r="AC97" s="259"/>
      <c r="AD97" s="149"/>
      <c r="AE97">
        <f t="shared" si="10"/>
        <v>0</v>
      </c>
      <c r="AF97">
        <f t="shared" si="11"/>
        <v>0</v>
      </c>
      <c r="AG97">
        <f t="shared" si="12"/>
        <v>0</v>
      </c>
      <c r="AH97" t="str">
        <f t="shared" si="9"/>
        <v/>
      </c>
    </row>
    <row r="98" spans="1:38" x14ac:dyDescent="0.25">
      <c r="A98" s="256" t="s">
        <v>574</v>
      </c>
      <c r="B98" s="260"/>
      <c r="C98" s="261"/>
      <c r="D98" s="261"/>
      <c r="E98" s="261"/>
      <c r="F98" s="261"/>
      <c r="G98" s="262"/>
      <c r="H98" s="263"/>
      <c r="I98" s="257"/>
      <c r="J98" s="258"/>
      <c r="K98" s="258"/>
      <c r="L98" s="258"/>
      <c r="M98" s="258"/>
      <c r="N98" s="149"/>
      <c r="O98" s="259">
        <v>2</v>
      </c>
      <c r="P98" s="258"/>
      <c r="Q98" s="258"/>
      <c r="R98" s="258"/>
      <c r="S98" s="258"/>
      <c r="T98" s="258"/>
      <c r="U98" s="149"/>
      <c r="V98" s="149"/>
      <c r="W98" s="257"/>
      <c r="X98" s="258"/>
      <c r="Y98" s="258"/>
      <c r="Z98" s="258"/>
      <c r="AA98" s="258"/>
      <c r="AB98" s="149"/>
      <c r="AC98" s="259"/>
      <c r="AD98" s="149"/>
      <c r="AE98">
        <f t="shared" si="10"/>
        <v>0</v>
      </c>
      <c r="AF98">
        <f t="shared" si="11"/>
        <v>0</v>
      </c>
      <c r="AG98">
        <f t="shared" si="12"/>
        <v>0</v>
      </c>
      <c r="AH98" t="str">
        <f t="shared" si="9"/>
        <v/>
      </c>
    </row>
    <row r="99" spans="1:38" x14ac:dyDescent="0.25">
      <c r="A99" s="256" t="s">
        <v>576</v>
      </c>
      <c r="B99" s="260"/>
      <c r="C99" s="261"/>
      <c r="D99" s="261"/>
      <c r="E99" s="261"/>
      <c r="F99" s="261"/>
      <c r="G99" s="262"/>
      <c r="H99" s="263"/>
      <c r="I99" s="257"/>
      <c r="J99" s="258"/>
      <c r="K99" s="258"/>
      <c r="L99" s="258"/>
      <c r="M99" s="258"/>
      <c r="N99" s="149"/>
      <c r="O99" s="259">
        <v>2</v>
      </c>
      <c r="P99" s="258"/>
      <c r="Q99" s="258"/>
      <c r="R99" s="258"/>
      <c r="S99" s="258"/>
      <c r="T99" s="258"/>
      <c r="U99" s="149"/>
      <c r="V99" s="149"/>
      <c r="W99" s="257"/>
      <c r="X99" s="258"/>
      <c r="Y99" s="258"/>
      <c r="Z99" s="258"/>
      <c r="AA99" s="258"/>
      <c r="AB99" s="149"/>
      <c r="AC99" s="259"/>
      <c r="AD99" s="149"/>
      <c r="AE99">
        <f t="shared" si="10"/>
        <v>0</v>
      </c>
      <c r="AF99">
        <f t="shared" si="11"/>
        <v>0</v>
      </c>
      <c r="AG99">
        <f t="shared" si="12"/>
        <v>0</v>
      </c>
      <c r="AH99" t="str">
        <f t="shared" si="9"/>
        <v/>
      </c>
    </row>
    <row r="100" spans="1:38" x14ac:dyDescent="0.25">
      <c r="A100" s="256" t="s">
        <v>578</v>
      </c>
      <c r="B100" s="260"/>
      <c r="C100" s="261"/>
      <c r="D100" s="261"/>
      <c r="E100" s="261"/>
      <c r="F100" s="261"/>
      <c r="G100" s="262"/>
      <c r="H100" s="263"/>
      <c r="I100" s="257"/>
      <c r="J100" s="258"/>
      <c r="K100" s="258"/>
      <c r="L100" s="258"/>
      <c r="M100" s="258"/>
      <c r="N100" s="149"/>
      <c r="O100" s="259">
        <v>2</v>
      </c>
      <c r="P100" s="258"/>
      <c r="Q100" s="258"/>
      <c r="R100" s="258"/>
      <c r="S100" s="258"/>
      <c r="T100" s="258"/>
      <c r="U100" s="149"/>
      <c r="V100" s="149"/>
      <c r="W100" s="257"/>
      <c r="X100" s="258"/>
      <c r="Y100" s="258"/>
      <c r="Z100" s="258"/>
      <c r="AA100" s="258"/>
      <c r="AB100" s="149"/>
      <c r="AC100" s="259"/>
      <c r="AD100" s="149"/>
      <c r="AE100">
        <f t="shared" si="10"/>
        <v>0</v>
      </c>
      <c r="AF100">
        <f t="shared" si="11"/>
        <v>0</v>
      </c>
      <c r="AG100">
        <f t="shared" si="12"/>
        <v>0</v>
      </c>
      <c r="AH100" t="str">
        <f t="shared" si="9"/>
        <v/>
      </c>
    </row>
    <row r="101" spans="1:38" x14ac:dyDescent="0.25">
      <c r="A101" s="256" t="s">
        <v>580</v>
      </c>
      <c r="B101" s="260"/>
      <c r="C101" s="261"/>
      <c r="D101" s="261"/>
      <c r="E101" s="261"/>
      <c r="F101" s="261"/>
      <c r="G101" s="262"/>
      <c r="H101" s="263"/>
      <c r="I101" s="257"/>
      <c r="J101" s="258"/>
      <c r="K101" s="258"/>
      <c r="L101" s="258"/>
      <c r="M101" s="258"/>
      <c r="N101" s="149"/>
      <c r="O101" s="259">
        <v>2</v>
      </c>
      <c r="P101" s="258"/>
      <c r="Q101" s="258"/>
      <c r="R101" s="258"/>
      <c r="S101" s="258"/>
      <c r="T101" s="258"/>
      <c r="U101" s="149"/>
      <c r="V101" s="149"/>
      <c r="W101" s="257"/>
      <c r="X101" s="258"/>
      <c r="Y101" s="258"/>
      <c r="Z101" s="258"/>
      <c r="AA101" s="258"/>
      <c r="AB101" s="149"/>
      <c r="AC101" s="259"/>
      <c r="AD101" s="149"/>
      <c r="AE101">
        <f t="shared" si="10"/>
        <v>0</v>
      </c>
      <c r="AF101">
        <f t="shared" si="11"/>
        <v>0</v>
      </c>
      <c r="AG101">
        <f t="shared" si="12"/>
        <v>0</v>
      </c>
      <c r="AH101" t="str">
        <f t="shared" si="9"/>
        <v/>
      </c>
    </row>
    <row r="102" spans="1:38" x14ac:dyDescent="0.25">
      <c r="A102" s="256" t="s">
        <v>582</v>
      </c>
      <c r="B102" s="260"/>
      <c r="C102" s="261"/>
      <c r="D102" s="261"/>
      <c r="E102" s="261"/>
      <c r="F102" s="261"/>
      <c r="G102" s="262"/>
      <c r="H102" s="263"/>
      <c r="I102" s="257"/>
      <c r="J102" s="258"/>
      <c r="K102" s="258"/>
      <c r="L102" s="258"/>
      <c r="M102" s="258"/>
      <c r="N102" s="149"/>
      <c r="O102" s="259">
        <v>2</v>
      </c>
      <c r="P102" s="258"/>
      <c r="Q102" s="258"/>
      <c r="R102" s="258"/>
      <c r="S102" s="258"/>
      <c r="T102" s="258"/>
      <c r="U102" s="149"/>
      <c r="V102" s="149"/>
      <c r="W102" s="257"/>
      <c r="X102" s="258"/>
      <c r="Y102" s="258"/>
      <c r="Z102" s="258"/>
      <c r="AA102" s="258"/>
      <c r="AB102" s="149"/>
      <c r="AC102" s="259"/>
      <c r="AD102" s="149"/>
      <c r="AE102">
        <f t="shared" si="10"/>
        <v>0</v>
      </c>
      <c r="AF102">
        <f t="shared" si="11"/>
        <v>0</v>
      </c>
      <c r="AG102">
        <f t="shared" si="12"/>
        <v>0</v>
      </c>
      <c r="AH102" t="str">
        <f t="shared" si="9"/>
        <v/>
      </c>
    </row>
    <row r="103" spans="1:38" x14ac:dyDescent="0.25">
      <c r="A103" s="256" t="s">
        <v>584</v>
      </c>
      <c r="B103" s="260"/>
      <c r="C103" s="261"/>
      <c r="D103" s="261"/>
      <c r="E103" s="261"/>
      <c r="F103" s="261"/>
      <c r="G103" s="262"/>
      <c r="H103" s="263"/>
      <c r="I103" s="257"/>
      <c r="J103" s="258"/>
      <c r="K103" s="258"/>
      <c r="L103" s="258"/>
      <c r="M103" s="258"/>
      <c r="N103" s="149"/>
      <c r="O103" s="259">
        <v>2</v>
      </c>
      <c r="P103" s="258"/>
      <c r="Q103" s="258"/>
      <c r="R103" s="258"/>
      <c r="S103" s="258"/>
      <c r="T103" s="258"/>
      <c r="U103" s="149"/>
      <c r="V103" s="149"/>
      <c r="W103" s="257"/>
      <c r="X103" s="258"/>
      <c r="Y103" s="258"/>
      <c r="Z103" s="258"/>
      <c r="AA103" s="258"/>
      <c r="AB103" s="149"/>
      <c r="AC103" s="259"/>
      <c r="AD103" s="149"/>
      <c r="AE103">
        <f t="shared" si="10"/>
        <v>0</v>
      </c>
      <c r="AF103">
        <f t="shared" si="11"/>
        <v>0</v>
      </c>
      <c r="AG103">
        <f t="shared" si="12"/>
        <v>0</v>
      </c>
      <c r="AH103" t="str">
        <f t="shared" si="9"/>
        <v/>
      </c>
    </row>
    <row r="104" spans="1:38" x14ac:dyDescent="0.25">
      <c r="A104" s="256" t="s">
        <v>586</v>
      </c>
      <c r="B104" s="260"/>
      <c r="C104" s="261"/>
      <c r="D104" s="261"/>
      <c r="E104" s="261"/>
      <c r="F104" s="261"/>
      <c r="G104" s="262"/>
      <c r="H104" s="263"/>
      <c r="I104" s="257"/>
      <c r="J104" s="258"/>
      <c r="K104" s="258"/>
      <c r="L104" s="258"/>
      <c r="M104" s="258"/>
      <c r="N104" s="149"/>
      <c r="O104" s="259">
        <v>2</v>
      </c>
      <c r="P104" s="258"/>
      <c r="Q104" s="258"/>
      <c r="R104" s="258"/>
      <c r="S104" s="258"/>
      <c r="T104" s="258"/>
      <c r="U104" s="149"/>
      <c r="V104" s="149"/>
      <c r="W104" s="257"/>
      <c r="X104" s="258"/>
      <c r="Y104" s="258"/>
      <c r="Z104" s="258"/>
      <c r="AA104" s="258"/>
      <c r="AB104" s="149"/>
      <c r="AC104" s="259"/>
      <c r="AD104" s="149"/>
      <c r="AE104">
        <f t="shared" si="10"/>
        <v>0</v>
      </c>
      <c r="AF104">
        <f t="shared" si="11"/>
        <v>0</v>
      </c>
      <c r="AG104">
        <f t="shared" si="12"/>
        <v>0</v>
      </c>
      <c r="AH104" t="str">
        <f t="shared" si="9"/>
        <v/>
      </c>
    </row>
    <row r="105" spans="1:38" x14ac:dyDescent="0.25">
      <c r="A105" s="256" t="s">
        <v>588</v>
      </c>
      <c r="B105" s="260"/>
      <c r="C105" s="261"/>
      <c r="D105" s="261"/>
      <c r="E105" s="261"/>
      <c r="F105" s="261"/>
      <c r="G105" s="262"/>
      <c r="H105" s="263"/>
      <c r="I105" s="257"/>
      <c r="J105" s="258"/>
      <c r="K105" s="258"/>
      <c r="L105" s="258"/>
      <c r="M105" s="258"/>
      <c r="N105" s="149"/>
      <c r="O105" s="259">
        <v>2</v>
      </c>
      <c r="P105" s="258"/>
      <c r="Q105" s="258"/>
      <c r="R105" s="258"/>
      <c r="S105" s="258"/>
      <c r="T105" s="258"/>
      <c r="U105" s="149"/>
      <c r="V105" s="149"/>
      <c r="W105" s="257"/>
      <c r="X105" s="258"/>
      <c r="Y105" s="258"/>
      <c r="Z105" s="258"/>
      <c r="AA105" s="258"/>
      <c r="AB105" s="149"/>
      <c r="AC105" s="259"/>
      <c r="AD105" s="149"/>
      <c r="AE105">
        <f t="shared" si="10"/>
        <v>0</v>
      </c>
      <c r="AF105">
        <f t="shared" si="11"/>
        <v>0</v>
      </c>
      <c r="AG105">
        <f t="shared" si="12"/>
        <v>0</v>
      </c>
      <c r="AH105" t="str">
        <f t="shared" si="9"/>
        <v/>
      </c>
    </row>
    <row r="106" spans="1:38" x14ac:dyDescent="0.25">
      <c r="A106" s="256" t="s">
        <v>590</v>
      </c>
      <c r="B106" s="260"/>
      <c r="C106" s="261"/>
      <c r="D106" s="261"/>
      <c r="E106" s="261"/>
      <c r="F106" s="261"/>
      <c r="G106" s="262"/>
      <c r="H106" s="263"/>
      <c r="I106" s="257"/>
      <c r="J106" s="258"/>
      <c r="K106" s="258"/>
      <c r="L106" s="258"/>
      <c r="M106" s="258"/>
      <c r="N106" s="149"/>
      <c r="O106" s="259">
        <v>2</v>
      </c>
      <c r="P106" s="258"/>
      <c r="Q106" s="258"/>
      <c r="R106" s="258"/>
      <c r="S106" s="258"/>
      <c r="T106" s="258"/>
      <c r="U106" s="149"/>
      <c r="V106" s="149"/>
      <c r="W106" s="257"/>
      <c r="X106" s="258"/>
      <c r="Y106" s="258"/>
      <c r="Z106" s="258"/>
      <c r="AA106" s="258"/>
      <c r="AB106" s="149"/>
      <c r="AC106" s="259"/>
      <c r="AD106" s="149"/>
      <c r="AE106">
        <f t="shared" si="10"/>
        <v>0</v>
      </c>
      <c r="AF106">
        <f t="shared" si="11"/>
        <v>0</v>
      </c>
      <c r="AG106">
        <f t="shared" si="12"/>
        <v>0</v>
      </c>
      <c r="AH106" t="str">
        <f t="shared" si="9"/>
        <v/>
      </c>
    </row>
    <row r="107" spans="1:38" x14ac:dyDescent="0.25">
      <c r="A107" s="256" t="s">
        <v>592</v>
      </c>
      <c r="B107" s="260"/>
      <c r="C107" s="261"/>
      <c r="D107" s="261"/>
      <c r="E107" s="261"/>
      <c r="F107" s="261"/>
      <c r="G107" s="262"/>
      <c r="H107" s="263"/>
      <c r="I107" s="257"/>
      <c r="J107" s="258"/>
      <c r="K107" s="258"/>
      <c r="L107" s="258"/>
      <c r="M107" s="258"/>
      <c r="N107" s="149"/>
      <c r="O107" s="259">
        <v>2</v>
      </c>
      <c r="P107" s="258"/>
      <c r="Q107" s="258"/>
      <c r="R107" s="258"/>
      <c r="S107" s="258"/>
      <c r="T107" s="258"/>
      <c r="U107" s="149"/>
      <c r="V107" s="149"/>
      <c r="W107" s="257"/>
      <c r="X107" s="258"/>
      <c r="Y107" s="258"/>
      <c r="Z107" s="258"/>
      <c r="AA107" s="258"/>
      <c r="AB107" s="149"/>
      <c r="AC107" s="259"/>
      <c r="AD107" s="149"/>
      <c r="AE107">
        <f t="shared" si="10"/>
        <v>0</v>
      </c>
      <c r="AF107">
        <f t="shared" si="11"/>
        <v>0</v>
      </c>
      <c r="AG107">
        <f t="shared" si="12"/>
        <v>0</v>
      </c>
      <c r="AH107" t="str">
        <f t="shared" si="9"/>
        <v/>
      </c>
    </row>
    <row r="108" spans="1:38" x14ac:dyDescent="0.25">
      <c r="A108" s="256" t="s">
        <v>594</v>
      </c>
      <c r="B108" s="260"/>
      <c r="C108" s="261"/>
      <c r="D108" s="261"/>
      <c r="E108" s="261"/>
      <c r="F108" s="261"/>
      <c r="G108" s="262"/>
      <c r="H108" s="263"/>
      <c r="I108" s="257"/>
      <c r="J108" s="258"/>
      <c r="K108" s="258"/>
      <c r="L108" s="258"/>
      <c r="M108" s="258"/>
      <c r="N108" s="149"/>
      <c r="O108" s="259">
        <v>2</v>
      </c>
      <c r="P108" s="258"/>
      <c r="Q108" s="258"/>
      <c r="R108" s="258"/>
      <c r="S108" s="258"/>
      <c r="T108" s="258"/>
      <c r="U108" s="149"/>
      <c r="V108" s="149"/>
      <c r="W108" s="257"/>
      <c r="X108" s="258"/>
      <c r="Y108" s="258"/>
      <c r="Z108" s="258"/>
      <c r="AA108" s="258"/>
      <c r="AB108" s="149"/>
      <c r="AC108" s="259"/>
      <c r="AD108" s="149"/>
      <c r="AE108">
        <f t="shared" si="10"/>
        <v>0</v>
      </c>
      <c r="AF108">
        <f t="shared" si="11"/>
        <v>0</v>
      </c>
      <c r="AG108">
        <f t="shared" si="12"/>
        <v>0</v>
      </c>
      <c r="AH108" t="str">
        <f t="shared" si="9"/>
        <v/>
      </c>
    </row>
    <row r="109" spans="1:38" x14ac:dyDescent="0.25">
      <c r="A109" s="256" t="s">
        <v>596</v>
      </c>
      <c r="B109" s="260"/>
      <c r="C109" s="261"/>
      <c r="D109" s="261"/>
      <c r="E109" s="261"/>
      <c r="F109" s="261"/>
      <c r="G109" s="262"/>
      <c r="H109" s="263"/>
      <c r="I109" s="257"/>
      <c r="J109" s="258"/>
      <c r="K109" s="258"/>
      <c r="L109" s="258"/>
      <c r="M109" s="258"/>
      <c r="N109" s="149"/>
      <c r="O109" s="259">
        <v>2</v>
      </c>
      <c r="P109" s="258"/>
      <c r="Q109" s="258"/>
      <c r="R109" s="258"/>
      <c r="S109" s="258"/>
      <c r="T109" s="258"/>
      <c r="U109" s="149"/>
      <c r="V109" s="149"/>
      <c r="W109" s="257"/>
      <c r="X109" s="258"/>
      <c r="Y109" s="258"/>
      <c r="Z109" s="258"/>
      <c r="AA109" s="258"/>
      <c r="AB109" s="149"/>
      <c r="AC109" s="259"/>
      <c r="AD109" s="149"/>
      <c r="AE109">
        <f t="shared" si="10"/>
        <v>0</v>
      </c>
      <c r="AF109">
        <f t="shared" si="11"/>
        <v>0</v>
      </c>
      <c r="AG109">
        <f t="shared" si="12"/>
        <v>0</v>
      </c>
      <c r="AH109" t="str">
        <f t="shared" si="9"/>
        <v/>
      </c>
    </row>
    <row r="110" spans="1:38" x14ac:dyDescent="0.25">
      <c r="A110" s="256" t="s">
        <v>162</v>
      </c>
      <c r="B110" s="257" t="s">
        <v>32</v>
      </c>
      <c r="C110" s="258" t="s">
        <v>32</v>
      </c>
      <c r="D110" s="258" t="s">
        <v>32</v>
      </c>
      <c r="E110" s="258" t="s">
        <v>32</v>
      </c>
      <c r="F110" s="258"/>
      <c r="G110" s="149">
        <v>25</v>
      </c>
      <c r="H110" s="259">
        <v>1</v>
      </c>
      <c r="I110" s="257"/>
      <c r="J110" s="258"/>
      <c r="K110" s="258"/>
      <c r="L110" s="258"/>
      <c r="M110" s="258"/>
      <c r="N110" s="149"/>
      <c r="O110" s="259">
        <v>2</v>
      </c>
      <c r="P110" s="258"/>
      <c r="Q110" s="258"/>
      <c r="R110" s="258"/>
      <c r="S110" s="258"/>
      <c r="T110" s="258"/>
      <c r="U110" s="149"/>
      <c r="V110" s="149">
        <v>1</v>
      </c>
      <c r="W110" s="257"/>
      <c r="X110" s="258"/>
      <c r="Y110" s="258"/>
      <c r="Z110" s="258"/>
      <c r="AA110" s="258"/>
      <c r="AB110" s="149"/>
      <c r="AC110" s="259"/>
      <c r="AD110" s="149" t="s">
        <v>955</v>
      </c>
      <c r="AE110">
        <f t="shared" si="10"/>
        <v>25</v>
      </c>
      <c r="AF110">
        <f t="shared" si="11"/>
        <v>0</v>
      </c>
      <c r="AG110">
        <f t="shared" si="12"/>
        <v>0</v>
      </c>
      <c r="AH110" t="str">
        <f t="shared" si="9"/>
        <v/>
      </c>
      <c r="AJ110" t="s">
        <v>1348</v>
      </c>
      <c r="AL110" t="s">
        <v>1594</v>
      </c>
    </row>
    <row r="111" spans="1:38" x14ac:dyDescent="0.25">
      <c r="A111" s="256" t="s">
        <v>165</v>
      </c>
      <c r="B111" s="257"/>
      <c r="C111" s="258"/>
      <c r="D111" s="258"/>
      <c r="E111" s="258"/>
      <c r="F111" s="258"/>
      <c r="G111" s="149"/>
      <c r="H111" s="259">
        <v>1</v>
      </c>
      <c r="I111" s="257"/>
      <c r="J111" s="258"/>
      <c r="K111" s="258"/>
      <c r="L111" s="258"/>
      <c r="M111" s="258"/>
      <c r="N111" s="149"/>
      <c r="O111" s="259">
        <v>1</v>
      </c>
      <c r="P111" s="258"/>
      <c r="Q111" s="258"/>
      <c r="R111" s="258"/>
      <c r="S111" s="258"/>
      <c r="T111" s="258"/>
      <c r="U111" s="149"/>
      <c r="V111" s="149"/>
      <c r="W111" s="257"/>
      <c r="X111" s="258"/>
      <c r="Y111" s="258"/>
      <c r="Z111" s="258"/>
      <c r="AA111" s="258"/>
      <c r="AB111" s="149"/>
      <c r="AC111" s="259"/>
      <c r="AD111" s="149" t="s">
        <v>955</v>
      </c>
      <c r="AE111">
        <f t="shared" si="10"/>
        <v>0</v>
      </c>
      <c r="AF111">
        <f t="shared" si="11"/>
        <v>0</v>
      </c>
      <c r="AG111">
        <f t="shared" si="12"/>
        <v>0</v>
      </c>
      <c r="AH111" t="str">
        <f t="shared" si="9"/>
        <v/>
      </c>
      <c r="AJ111" t="s">
        <v>1349</v>
      </c>
      <c r="AL111" t="s">
        <v>1596</v>
      </c>
    </row>
    <row r="112" spans="1:38" x14ac:dyDescent="0.25">
      <c r="A112" s="256" t="s">
        <v>1209</v>
      </c>
      <c r="B112" s="257"/>
      <c r="C112" s="258"/>
      <c r="D112" s="258"/>
      <c r="E112" s="258"/>
      <c r="F112" s="258"/>
      <c r="G112" s="149"/>
      <c r="H112" s="259"/>
      <c r="I112" s="257"/>
      <c r="J112" s="258"/>
      <c r="K112" s="258"/>
      <c r="L112" s="258"/>
      <c r="M112" s="258"/>
      <c r="N112" s="149"/>
      <c r="O112" s="259">
        <v>1</v>
      </c>
      <c r="P112" s="258"/>
      <c r="Q112" s="258"/>
      <c r="R112" s="258"/>
      <c r="S112" s="258"/>
      <c r="T112" s="258"/>
      <c r="U112" s="149"/>
      <c r="V112" s="149"/>
      <c r="W112" s="257"/>
      <c r="X112" s="258"/>
      <c r="Y112" s="258"/>
      <c r="Z112" s="258"/>
      <c r="AA112" s="258"/>
      <c r="AB112" s="149"/>
      <c r="AC112" s="259"/>
      <c r="AD112" s="149"/>
      <c r="AE112">
        <f>G112</f>
        <v>0</v>
      </c>
      <c r="AF112">
        <f>N112</f>
        <v>0</v>
      </c>
      <c r="AG112">
        <f>U112</f>
        <v>0</v>
      </c>
      <c r="AJ112" t="s">
        <v>1350</v>
      </c>
      <c r="AK112" t="s">
        <v>1488</v>
      </c>
    </row>
    <row r="113" spans="1:38" x14ac:dyDescent="0.25">
      <c r="A113" s="256" t="s">
        <v>167</v>
      </c>
      <c r="B113" s="257"/>
      <c r="C113" s="258"/>
      <c r="D113" s="258"/>
      <c r="E113" s="258"/>
      <c r="F113" s="258"/>
      <c r="G113" s="149"/>
      <c r="H113" s="259">
        <v>1</v>
      </c>
      <c r="I113" s="257"/>
      <c r="J113" s="258"/>
      <c r="K113" s="258"/>
      <c r="L113" s="258"/>
      <c r="M113" s="258"/>
      <c r="N113" s="149"/>
      <c r="O113" s="259">
        <v>1</v>
      </c>
      <c r="P113" s="258"/>
      <c r="Q113" s="258"/>
      <c r="R113" s="258"/>
      <c r="S113" s="258"/>
      <c r="T113" s="258"/>
      <c r="U113" s="149"/>
      <c r="V113" s="149">
        <v>1</v>
      </c>
      <c r="W113" s="257"/>
      <c r="X113" s="258"/>
      <c r="Y113" s="258"/>
      <c r="Z113" s="258"/>
      <c r="AA113" s="258"/>
      <c r="AB113" s="149"/>
      <c r="AC113" s="259"/>
      <c r="AD113" s="149" t="s">
        <v>955</v>
      </c>
      <c r="AE113">
        <f t="shared" si="10"/>
        <v>0</v>
      </c>
      <c r="AF113">
        <f>N113</f>
        <v>0</v>
      </c>
      <c r="AG113">
        <f t="shared" si="12"/>
        <v>0</v>
      </c>
      <c r="AH113" t="str">
        <f t="shared" si="9"/>
        <v/>
      </c>
      <c r="AJ113" t="s">
        <v>1351</v>
      </c>
      <c r="AK113" t="s">
        <v>1489</v>
      </c>
      <c r="AL113" t="s">
        <v>1597</v>
      </c>
    </row>
    <row r="114" spans="1:38" x14ac:dyDescent="0.25">
      <c r="A114" s="256" t="s">
        <v>169</v>
      </c>
      <c r="B114" s="257"/>
      <c r="C114" s="258"/>
      <c r="D114" s="258"/>
      <c r="E114" s="258"/>
      <c r="F114" s="258"/>
      <c r="G114" s="149"/>
      <c r="H114" s="259">
        <v>1</v>
      </c>
      <c r="I114" s="257"/>
      <c r="J114" s="258"/>
      <c r="K114" s="258"/>
      <c r="L114" s="258"/>
      <c r="M114" s="258"/>
      <c r="N114" s="149"/>
      <c r="O114" s="259">
        <v>2</v>
      </c>
      <c r="P114" s="258"/>
      <c r="Q114" s="258"/>
      <c r="R114" s="258"/>
      <c r="S114" s="258"/>
      <c r="T114" s="258"/>
      <c r="U114" s="149"/>
      <c r="V114" s="149">
        <v>1</v>
      </c>
      <c r="W114" s="257"/>
      <c r="X114" s="258"/>
      <c r="Y114" s="258"/>
      <c r="Z114" s="258"/>
      <c r="AA114" s="258"/>
      <c r="AB114" s="149"/>
      <c r="AC114" s="259"/>
      <c r="AD114" s="149" t="s">
        <v>955</v>
      </c>
      <c r="AE114">
        <f t="shared" si="10"/>
        <v>0</v>
      </c>
      <c r="AF114">
        <f t="shared" si="11"/>
        <v>0</v>
      </c>
      <c r="AG114">
        <f t="shared" si="12"/>
        <v>0</v>
      </c>
      <c r="AH114" t="str">
        <f t="shared" si="9"/>
        <v/>
      </c>
      <c r="AJ114" t="s">
        <v>1352</v>
      </c>
      <c r="AK114" t="s">
        <v>1490</v>
      </c>
      <c r="AL114" t="s">
        <v>1598</v>
      </c>
    </row>
    <row r="115" spans="1:38" x14ac:dyDescent="0.25">
      <c r="A115" s="256" t="s">
        <v>172</v>
      </c>
      <c r="B115" s="257"/>
      <c r="C115" s="258"/>
      <c r="D115" s="258"/>
      <c r="E115" s="258"/>
      <c r="F115" s="258"/>
      <c r="G115" s="149"/>
      <c r="H115" s="259">
        <v>2</v>
      </c>
      <c r="I115" s="257"/>
      <c r="J115" s="258"/>
      <c r="K115" s="258"/>
      <c r="L115" s="258"/>
      <c r="M115" s="258"/>
      <c r="N115" s="149"/>
      <c r="O115" s="259">
        <v>1</v>
      </c>
      <c r="P115" s="258"/>
      <c r="Q115" s="258"/>
      <c r="R115" s="258"/>
      <c r="S115" s="258"/>
      <c r="T115" s="258"/>
      <c r="U115" s="149"/>
      <c r="V115" s="149"/>
      <c r="W115" s="257"/>
      <c r="X115" s="258"/>
      <c r="Y115" s="258"/>
      <c r="Z115" s="258"/>
      <c r="AA115" s="258"/>
      <c r="AB115" s="149"/>
      <c r="AC115" s="259"/>
      <c r="AD115" s="149" t="s">
        <v>955</v>
      </c>
      <c r="AE115">
        <f t="shared" si="10"/>
        <v>0</v>
      </c>
      <c r="AF115">
        <f t="shared" si="11"/>
        <v>0</v>
      </c>
      <c r="AG115">
        <f t="shared" si="12"/>
        <v>0</v>
      </c>
      <c r="AH115" t="str">
        <f t="shared" si="9"/>
        <v/>
      </c>
      <c r="AJ115" t="s">
        <v>1353</v>
      </c>
    </row>
    <row r="116" spans="1:38" x14ac:dyDescent="0.25">
      <c r="A116" s="256" t="s">
        <v>175</v>
      </c>
      <c r="B116" s="257" t="s">
        <v>32</v>
      </c>
      <c r="C116" s="258"/>
      <c r="D116" s="258" t="s">
        <v>32</v>
      </c>
      <c r="E116" s="258"/>
      <c r="F116" s="258"/>
      <c r="G116" s="149">
        <v>30</v>
      </c>
      <c r="H116" s="259">
        <v>2</v>
      </c>
      <c r="I116" s="257"/>
      <c r="J116" s="258"/>
      <c r="K116" s="258"/>
      <c r="L116" s="258"/>
      <c r="M116" s="258"/>
      <c r="N116" s="149"/>
      <c r="O116" s="259">
        <v>1</v>
      </c>
      <c r="P116" s="258"/>
      <c r="Q116" s="258"/>
      <c r="R116" s="258"/>
      <c r="S116" s="258"/>
      <c r="T116" s="258"/>
      <c r="U116" s="149"/>
      <c r="V116" s="149">
        <v>1</v>
      </c>
      <c r="W116" s="257"/>
      <c r="X116" s="258"/>
      <c r="Y116" s="258"/>
      <c r="Z116" s="258"/>
      <c r="AA116" s="258"/>
      <c r="AB116" s="149"/>
      <c r="AC116" s="259"/>
      <c r="AD116" s="149" t="s">
        <v>955</v>
      </c>
      <c r="AE116">
        <f t="shared" si="10"/>
        <v>30</v>
      </c>
      <c r="AF116">
        <f t="shared" si="11"/>
        <v>0</v>
      </c>
      <c r="AG116">
        <f t="shared" si="12"/>
        <v>0</v>
      </c>
      <c r="AH116" t="str">
        <f t="shared" si="9"/>
        <v/>
      </c>
      <c r="AJ116" t="s">
        <v>1354</v>
      </c>
      <c r="AK116" t="s">
        <v>1491</v>
      </c>
      <c r="AL116" t="s">
        <v>1599</v>
      </c>
    </row>
    <row r="117" spans="1:38" x14ac:dyDescent="0.25">
      <c r="A117" s="256" t="s">
        <v>178</v>
      </c>
      <c r="B117" s="257"/>
      <c r="C117" s="258"/>
      <c r="D117" s="258"/>
      <c r="E117" s="258"/>
      <c r="F117" s="258"/>
      <c r="G117" s="149"/>
      <c r="H117" s="259"/>
      <c r="I117" s="257"/>
      <c r="J117" s="258"/>
      <c r="K117" s="258"/>
      <c r="L117" s="258"/>
      <c r="M117" s="258"/>
      <c r="N117" s="149"/>
      <c r="O117" s="259">
        <v>1</v>
      </c>
      <c r="P117" s="258"/>
      <c r="Q117" s="258"/>
      <c r="R117" s="258"/>
      <c r="S117" s="258"/>
      <c r="T117" s="258"/>
      <c r="U117" s="149"/>
      <c r="V117" s="149"/>
      <c r="W117" s="257"/>
      <c r="X117" s="258"/>
      <c r="Y117" s="258"/>
      <c r="Z117" s="258"/>
      <c r="AA117" s="258"/>
      <c r="AB117" s="149"/>
      <c r="AC117" s="259"/>
      <c r="AD117" s="149" t="s">
        <v>955</v>
      </c>
      <c r="AE117">
        <f t="shared" si="10"/>
        <v>0</v>
      </c>
      <c r="AF117">
        <f t="shared" si="11"/>
        <v>0</v>
      </c>
      <c r="AG117">
        <f t="shared" si="12"/>
        <v>0</v>
      </c>
      <c r="AH117" t="str">
        <f t="shared" si="9"/>
        <v/>
      </c>
    </row>
    <row r="118" spans="1:38" x14ac:dyDescent="0.25">
      <c r="A118" s="256" t="s">
        <v>711</v>
      </c>
      <c r="B118" s="257"/>
      <c r="C118" s="258"/>
      <c r="D118" s="258"/>
      <c r="E118" s="258"/>
      <c r="F118" s="258"/>
      <c r="G118" s="149"/>
      <c r="H118" s="259"/>
      <c r="I118" s="257"/>
      <c r="J118" s="258"/>
      <c r="K118" s="258"/>
      <c r="L118" s="258"/>
      <c r="M118" s="258"/>
      <c r="N118" s="149"/>
      <c r="O118" s="259"/>
      <c r="P118" s="258"/>
      <c r="Q118" s="258"/>
      <c r="R118" s="258"/>
      <c r="S118" s="258"/>
      <c r="T118" s="258"/>
      <c r="U118" s="149"/>
      <c r="V118" s="149"/>
      <c r="W118" s="257"/>
      <c r="X118" s="258"/>
      <c r="Y118" s="258"/>
      <c r="Z118" s="258"/>
      <c r="AA118" s="258"/>
      <c r="AB118" s="149"/>
      <c r="AC118" s="259"/>
      <c r="AD118" s="149"/>
      <c r="AE118">
        <f t="shared" si="10"/>
        <v>0</v>
      </c>
      <c r="AF118">
        <f t="shared" si="11"/>
        <v>0</v>
      </c>
      <c r="AG118">
        <f t="shared" si="12"/>
        <v>0</v>
      </c>
      <c r="AH118" t="str">
        <f t="shared" si="9"/>
        <v/>
      </c>
      <c r="AJ118" t="s">
        <v>1355</v>
      </c>
      <c r="AK118" t="s">
        <v>1492</v>
      </c>
      <c r="AL118" t="s">
        <v>1600</v>
      </c>
    </row>
    <row r="119" spans="1:38" x14ac:dyDescent="0.25">
      <c r="A119" s="256" t="s">
        <v>179</v>
      </c>
      <c r="B119" s="257"/>
      <c r="C119" s="258"/>
      <c r="D119" s="258"/>
      <c r="E119" s="258"/>
      <c r="F119" s="258"/>
      <c r="G119" s="149"/>
      <c r="H119" s="259">
        <v>1</v>
      </c>
      <c r="I119" s="257"/>
      <c r="J119" s="258"/>
      <c r="K119" s="258"/>
      <c r="L119" s="258"/>
      <c r="M119" s="258"/>
      <c r="N119" s="149"/>
      <c r="O119" s="259">
        <v>1</v>
      </c>
      <c r="P119" s="258"/>
      <c r="Q119" s="258"/>
      <c r="R119" s="258"/>
      <c r="S119" s="258"/>
      <c r="T119" s="258"/>
      <c r="U119" s="149"/>
      <c r="V119" s="149"/>
      <c r="W119" s="257"/>
      <c r="X119" s="258"/>
      <c r="Y119" s="258"/>
      <c r="Z119" s="258"/>
      <c r="AA119" s="258"/>
      <c r="AB119" s="149"/>
      <c r="AC119" s="259"/>
      <c r="AD119" s="149" t="s">
        <v>955</v>
      </c>
      <c r="AE119">
        <f t="shared" si="10"/>
        <v>0</v>
      </c>
      <c r="AF119">
        <f t="shared" si="11"/>
        <v>0</v>
      </c>
      <c r="AG119">
        <f t="shared" si="12"/>
        <v>0</v>
      </c>
      <c r="AH119" t="str">
        <f t="shared" si="9"/>
        <v/>
      </c>
    </row>
    <row r="120" spans="1:38" x14ac:dyDescent="0.25">
      <c r="A120" s="256" t="s">
        <v>1053</v>
      </c>
      <c r="B120" s="257"/>
      <c r="C120" s="258"/>
      <c r="D120" s="258"/>
      <c r="E120" s="258"/>
      <c r="F120" s="258"/>
      <c r="G120" s="149"/>
      <c r="H120" s="259">
        <v>1</v>
      </c>
      <c r="I120" s="257"/>
      <c r="J120" s="258"/>
      <c r="K120" s="258"/>
      <c r="L120" s="258"/>
      <c r="M120" s="258"/>
      <c r="N120" s="149"/>
      <c r="O120" s="259"/>
      <c r="P120" s="258"/>
      <c r="Q120" s="258"/>
      <c r="R120" s="258"/>
      <c r="S120" s="258"/>
      <c r="T120" s="258"/>
      <c r="U120" s="149"/>
      <c r="V120" s="149"/>
      <c r="W120" s="257"/>
      <c r="X120" s="258"/>
      <c r="Y120" s="258"/>
      <c r="Z120" s="258"/>
      <c r="AA120" s="258"/>
      <c r="AB120" s="149"/>
      <c r="AC120" s="259"/>
      <c r="AD120" s="149"/>
      <c r="AE120">
        <f t="shared" si="10"/>
        <v>0</v>
      </c>
      <c r="AF120">
        <f t="shared" si="11"/>
        <v>0</v>
      </c>
      <c r="AG120">
        <f t="shared" si="12"/>
        <v>0</v>
      </c>
      <c r="AJ120" t="s">
        <v>1356</v>
      </c>
      <c r="AK120" t="s">
        <v>1493</v>
      </c>
    </row>
    <row r="121" spans="1:38" x14ac:dyDescent="0.25">
      <c r="A121" s="256" t="s">
        <v>180</v>
      </c>
      <c r="B121" s="257"/>
      <c r="C121" s="258"/>
      <c r="D121" s="258"/>
      <c r="E121" s="258"/>
      <c r="F121" s="258"/>
      <c r="G121" s="149"/>
      <c r="H121" s="259">
        <v>1</v>
      </c>
      <c r="I121" s="257"/>
      <c r="J121" s="258"/>
      <c r="K121" s="258"/>
      <c r="L121" s="258"/>
      <c r="M121" s="258"/>
      <c r="N121" s="149"/>
      <c r="O121" s="259">
        <v>1</v>
      </c>
      <c r="P121" s="258"/>
      <c r="Q121" s="258"/>
      <c r="R121" s="258"/>
      <c r="S121" s="258"/>
      <c r="T121" s="258"/>
      <c r="U121" s="149"/>
      <c r="V121" s="149"/>
      <c r="W121" s="257"/>
      <c r="X121" s="258"/>
      <c r="Y121" s="258"/>
      <c r="Z121" s="258"/>
      <c r="AA121" s="258"/>
      <c r="AB121" s="149"/>
      <c r="AC121" s="259"/>
      <c r="AD121" s="149" t="s">
        <v>955</v>
      </c>
      <c r="AE121">
        <f t="shared" si="10"/>
        <v>0</v>
      </c>
      <c r="AF121">
        <f t="shared" si="11"/>
        <v>0</v>
      </c>
      <c r="AG121">
        <f t="shared" si="12"/>
        <v>0</v>
      </c>
      <c r="AH121" t="str">
        <f t="shared" si="9"/>
        <v/>
      </c>
      <c r="AJ121" t="s">
        <v>1357</v>
      </c>
      <c r="AK121" t="s">
        <v>1494</v>
      </c>
    </row>
    <row r="122" spans="1:38" x14ac:dyDescent="0.25">
      <c r="A122" s="256" t="s">
        <v>181</v>
      </c>
      <c r="B122" s="257" t="s">
        <v>32</v>
      </c>
      <c r="C122" s="258"/>
      <c r="D122" s="258" t="s">
        <v>32</v>
      </c>
      <c r="E122" s="258"/>
      <c r="F122" s="258"/>
      <c r="G122" s="149">
        <v>35</v>
      </c>
      <c r="H122" s="259">
        <v>1</v>
      </c>
      <c r="I122" s="257"/>
      <c r="J122" s="258"/>
      <c r="K122" s="258"/>
      <c r="L122" s="258"/>
      <c r="M122" s="258"/>
      <c r="N122" s="149"/>
      <c r="O122" s="259">
        <v>1</v>
      </c>
      <c r="P122" s="258" t="s">
        <v>32</v>
      </c>
      <c r="Q122" s="258"/>
      <c r="R122" s="258" t="s">
        <v>32</v>
      </c>
      <c r="S122" s="258" t="s">
        <v>32</v>
      </c>
      <c r="T122" s="258"/>
      <c r="U122" s="149">
        <v>45</v>
      </c>
      <c r="V122" s="149">
        <v>2</v>
      </c>
      <c r="W122" s="257"/>
      <c r="X122" s="258"/>
      <c r="Y122" s="258"/>
      <c r="Z122" s="258"/>
      <c r="AA122" s="258"/>
      <c r="AB122" s="149"/>
      <c r="AC122" s="259"/>
      <c r="AD122" s="149" t="s">
        <v>955</v>
      </c>
      <c r="AE122">
        <f t="shared" si="10"/>
        <v>35</v>
      </c>
      <c r="AF122">
        <f t="shared" si="11"/>
        <v>0</v>
      </c>
      <c r="AG122">
        <f t="shared" si="12"/>
        <v>45</v>
      </c>
      <c r="AH122" t="str">
        <f t="shared" ref="AH122:AH190" si="13">IF(AB122="S",30,IF(AB122="M",45,IF(AB122="L",60,"")))</f>
        <v/>
      </c>
      <c r="AJ122" t="s">
        <v>1358</v>
      </c>
      <c r="AK122" t="s">
        <v>1495</v>
      </c>
      <c r="AL122" t="s">
        <v>1601</v>
      </c>
    </row>
    <row r="123" spans="1:38" x14ac:dyDescent="0.25">
      <c r="A123" s="256" t="s">
        <v>645</v>
      </c>
      <c r="B123" s="257"/>
      <c r="C123" s="258"/>
      <c r="D123" s="258"/>
      <c r="E123" s="258"/>
      <c r="F123" s="258"/>
      <c r="G123" s="149"/>
      <c r="H123" s="259"/>
      <c r="I123" s="257"/>
      <c r="J123" s="258"/>
      <c r="K123" s="258"/>
      <c r="L123" s="258"/>
      <c r="M123" s="258"/>
      <c r="N123" s="149"/>
      <c r="O123" s="259"/>
      <c r="P123" s="258"/>
      <c r="Q123" s="258"/>
      <c r="R123" s="258"/>
      <c r="S123" s="258"/>
      <c r="T123" s="258"/>
      <c r="U123" s="149"/>
      <c r="V123" s="149"/>
      <c r="W123" s="257"/>
      <c r="X123" s="258"/>
      <c r="Y123" s="258"/>
      <c r="Z123" s="258"/>
      <c r="AA123" s="258"/>
      <c r="AB123" s="149"/>
      <c r="AC123" s="259"/>
      <c r="AD123" s="149"/>
      <c r="AE123">
        <f t="shared" si="10"/>
        <v>0</v>
      </c>
      <c r="AF123">
        <f t="shared" si="11"/>
        <v>0</v>
      </c>
      <c r="AG123">
        <f t="shared" si="12"/>
        <v>0</v>
      </c>
      <c r="AH123" t="str">
        <f t="shared" si="13"/>
        <v/>
      </c>
    </row>
    <row r="124" spans="1:38" x14ac:dyDescent="0.25">
      <c r="A124" s="256" t="s">
        <v>184</v>
      </c>
      <c r="B124" s="257"/>
      <c r="C124" s="258"/>
      <c r="D124" s="258"/>
      <c r="E124" s="258"/>
      <c r="F124" s="258"/>
      <c r="G124" s="149"/>
      <c r="H124" s="259">
        <v>1</v>
      </c>
      <c r="I124" s="257"/>
      <c r="J124" s="258"/>
      <c r="K124" s="258"/>
      <c r="L124" s="258"/>
      <c r="M124" s="258"/>
      <c r="N124" s="149"/>
      <c r="O124" s="259">
        <v>2</v>
      </c>
      <c r="P124" s="258"/>
      <c r="Q124" s="258"/>
      <c r="R124" s="258"/>
      <c r="S124" s="258"/>
      <c r="T124" s="258"/>
      <c r="U124" s="149"/>
      <c r="V124" s="149"/>
      <c r="W124" s="257"/>
      <c r="X124" s="258"/>
      <c r="Y124" s="258"/>
      <c r="Z124" s="258"/>
      <c r="AA124" s="258"/>
      <c r="AB124" s="149"/>
      <c r="AC124" s="259"/>
      <c r="AD124" s="149" t="s">
        <v>955</v>
      </c>
      <c r="AE124">
        <f t="shared" si="10"/>
        <v>0</v>
      </c>
      <c r="AF124">
        <f t="shared" si="11"/>
        <v>0</v>
      </c>
      <c r="AG124">
        <f t="shared" si="12"/>
        <v>0</v>
      </c>
      <c r="AH124" t="str">
        <f t="shared" si="13"/>
        <v/>
      </c>
      <c r="AJ124" t="s">
        <v>1359</v>
      </c>
      <c r="AK124" t="s">
        <v>1496</v>
      </c>
    </row>
    <row r="125" spans="1:38" x14ac:dyDescent="0.25">
      <c r="A125" s="256" t="s">
        <v>186</v>
      </c>
      <c r="B125" s="257" t="s">
        <v>32</v>
      </c>
      <c r="C125" s="258"/>
      <c r="D125" s="258" t="s">
        <v>32</v>
      </c>
      <c r="E125" s="258"/>
      <c r="F125" s="258"/>
      <c r="G125" s="149">
        <v>35</v>
      </c>
      <c r="H125" s="259">
        <v>2</v>
      </c>
      <c r="I125" s="257"/>
      <c r="J125" s="258"/>
      <c r="K125" s="258"/>
      <c r="L125" s="258"/>
      <c r="M125" s="258"/>
      <c r="N125" s="149"/>
      <c r="O125" s="259">
        <v>1</v>
      </c>
      <c r="P125" s="258"/>
      <c r="Q125" s="258"/>
      <c r="R125" s="258"/>
      <c r="S125" s="258"/>
      <c r="T125" s="258"/>
      <c r="U125" s="149"/>
      <c r="V125" s="149"/>
      <c r="W125" s="257"/>
      <c r="X125" s="258"/>
      <c r="Y125" s="258"/>
      <c r="Z125" s="258"/>
      <c r="AA125" s="258"/>
      <c r="AB125" s="149"/>
      <c r="AC125" s="259"/>
      <c r="AD125" s="149" t="s">
        <v>955</v>
      </c>
      <c r="AE125">
        <f t="shared" si="10"/>
        <v>35</v>
      </c>
      <c r="AF125">
        <f t="shared" si="11"/>
        <v>0</v>
      </c>
      <c r="AG125">
        <f t="shared" si="12"/>
        <v>0</v>
      </c>
      <c r="AH125" t="str">
        <f t="shared" si="13"/>
        <v/>
      </c>
      <c r="AJ125" t="s">
        <v>1360</v>
      </c>
      <c r="AK125" t="s">
        <v>1497</v>
      </c>
    </row>
    <row r="126" spans="1:38" x14ac:dyDescent="0.25">
      <c r="A126" s="754" t="s">
        <v>1770</v>
      </c>
      <c r="B126" s="257"/>
      <c r="C126" s="258"/>
      <c r="D126" s="258"/>
      <c r="E126" s="258"/>
      <c r="F126" s="258"/>
      <c r="G126" s="149"/>
      <c r="H126" s="259">
        <v>1</v>
      </c>
      <c r="I126" s="257"/>
      <c r="J126" s="258"/>
      <c r="K126" s="258"/>
      <c r="L126" s="258"/>
      <c r="M126" s="258"/>
      <c r="N126" s="149"/>
      <c r="O126" s="259">
        <v>2</v>
      </c>
      <c r="P126" s="258"/>
      <c r="Q126" s="258"/>
      <c r="R126" s="258"/>
      <c r="S126" s="258"/>
      <c r="T126" s="258"/>
      <c r="U126" s="149"/>
      <c r="V126" s="149"/>
      <c r="W126" s="257"/>
      <c r="X126" s="258"/>
      <c r="Y126" s="258"/>
      <c r="Z126" s="258"/>
      <c r="AA126" s="258"/>
      <c r="AB126" s="149"/>
      <c r="AC126" s="259"/>
      <c r="AD126" s="149"/>
      <c r="AE126">
        <f>G126</f>
        <v>0</v>
      </c>
      <c r="AF126">
        <f>N126</f>
        <v>0</v>
      </c>
    </row>
    <row r="127" spans="1:38" x14ac:dyDescent="0.25">
      <c r="A127" s="256" t="s">
        <v>188</v>
      </c>
      <c r="B127" s="257"/>
      <c r="C127" s="258"/>
      <c r="D127" s="258"/>
      <c r="E127" s="258"/>
      <c r="F127" s="258"/>
      <c r="G127" s="149"/>
      <c r="H127" s="259">
        <v>1</v>
      </c>
      <c r="I127" s="257"/>
      <c r="J127" s="258"/>
      <c r="K127" s="258"/>
      <c r="L127" s="258"/>
      <c r="M127" s="258"/>
      <c r="N127" s="149"/>
      <c r="O127" s="259">
        <v>1</v>
      </c>
      <c r="P127" s="258"/>
      <c r="Q127" s="258"/>
      <c r="R127" s="258"/>
      <c r="S127" s="258"/>
      <c r="T127" s="258"/>
      <c r="U127" s="149"/>
      <c r="V127" s="149"/>
      <c r="W127" s="257"/>
      <c r="X127" s="258"/>
      <c r="Y127" s="258"/>
      <c r="Z127" s="258"/>
      <c r="AA127" s="258"/>
      <c r="AB127" s="149"/>
      <c r="AC127" s="259"/>
      <c r="AD127" s="149" t="s">
        <v>955</v>
      </c>
      <c r="AE127">
        <f t="shared" si="10"/>
        <v>0</v>
      </c>
      <c r="AF127">
        <f t="shared" si="11"/>
        <v>0</v>
      </c>
      <c r="AG127">
        <f t="shared" si="12"/>
        <v>0</v>
      </c>
      <c r="AH127" t="str">
        <f t="shared" si="13"/>
        <v/>
      </c>
      <c r="AJ127" t="s">
        <v>1358</v>
      </c>
      <c r="AK127" t="s">
        <v>1495</v>
      </c>
      <c r="AL127" t="s">
        <v>1601</v>
      </c>
    </row>
    <row r="128" spans="1:38" x14ac:dyDescent="0.25">
      <c r="A128" s="256" t="s">
        <v>191</v>
      </c>
      <c r="B128" s="257"/>
      <c r="C128" s="258"/>
      <c r="D128" s="258"/>
      <c r="E128" s="258"/>
      <c r="F128" s="258"/>
      <c r="G128" s="149"/>
      <c r="H128" s="259">
        <v>1</v>
      </c>
      <c r="I128" s="257"/>
      <c r="J128" s="258"/>
      <c r="K128" s="258"/>
      <c r="L128" s="258"/>
      <c r="M128" s="258"/>
      <c r="N128" s="149"/>
      <c r="O128" s="259">
        <v>1</v>
      </c>
      <c r="P128" s="258"/>
      <c r="Q128" s="258"/>
      <c r="R128" s="258"/>
      <c r="S128" s="258"/>
      <c r="T128" s="258"/>
      <c r="U128" s="149"/>
      <c r="V128" s="149">
        <v>2</v>
      </c>
      <c r="W128" s="257"/>
      <c r="X128" s="258"/>
      <c r="Y128" s="258"/>
      <c r="Z128" s="258"/>
      <c r="AA128" s="258"/>
      <c r="AB128" s="149"/>
      <c r="AC128" s="259"/>
      <c r="AD128" s="149" t="s">
        <v>955</v>
      </c>
      <c r="AE128">
        <f t="shared" si="10"/>
        <v>0</v>
      </c>
      <c r="AF128">
        <f t="shared" si="11"/>
        <v>0</v>
      </c>
      <c r="AG128">
        <f t="shared" si="12"/>
        <v>0</v>
      </c>
      <c r="AH128" t="str">
        <f t="shared" si="13"/>
        <v/>
      </c>
    </row>
    <row r="129" spans="1:38" x14ac:dyDescent="0.25">
      <c r="A129" s="256" t="s">
        <v>648</v>
      </c>
      <c r="B129" s="257"/>
      <c r="C129" s="258"/>
      <c r="D129" s="258"/>
      <c r="E129" s="258"/>
      <c r="F129" s="258"/>
      <c r="G129" s="149"/>
      <c r="H129" s="259"/>
      <c r="I129" s="257"/>
      <c r="J129" s="258"/>
      <c r="K129" s="258"/>
      <c r="L129" s="258"/>
      <c r="M129" s="258"/>
      <c r="N129" s="149"/>
      <c r="O129" s="259"/>
      <c r="P129" s="258"/>
      <c r="Q129" s="258"/>
      <c r="R129" s="258"/>
      <c r="S129" s="258"/>
      <c r="T129" s="258"/>
      <c r="U129" s="149"/>
      <c r="V129" s="149"/>
      <c r="W129" s="257"/>
      <c r="X129" s="258"/>
      <c r="Y129" s="258"/>
      <c r="Z129" s="258"/>
      <c r="AA129" s="258"/>
      <c r="AB129" s="149"/>
      <c r="AC129" s="259"/>
      <c r="AD129" s="149"/>
      <c r="AE129">
        <f t="shared" si="10"/>
        <v>0</v>
      </c>
      <c r="AF129">
        <f t="shared" si="11"/>
        <v>0</v>
      </c>
      <c r="AG129">
        <f t="shared" si="12"/>
        <v>0</v>
      </c>
      <c r="AH129" t="str">
        <f t="shared" si="13"/>
        <v/>
      </c>
    </row>
    <row r="130" spans="1:38" x14ac:dyDescent="0.25">
      <c r="A130" s="256" t="s">
        <v>193</v>
      </c>
      <c r="B130" s="257" t="s">
        <v>32</v>
      </c>
      <c r="C130" s="258"/>
      <c r="D130" s="258" t="s">
        <v>32</v>
      </c>
      <c r="E130" s="258"/>
      <c r="F130" s="258"/>
      <c r="G130" s="149">
        <v>30</v>
      </c>
      <c r="H130" s="259">
        <v>1</v>
      </c>
      <c r="I130" s="257" t="s">
        <v>32</v>
      </c>
      <c r="J130" s="258"/>
      <c r="K130" s="258" t="s">
        <v>32</v>
      </c>
      <c r="L130" s="258"/>
      <c r="M130" s="258"/>
      <c r="N130" s="149">
        <v>35</v>
      </c>
      <c r="O130" s="259">
        <v>1</v>
      </c>
      <c r="P130" s="258" t="s">
        <v>32</v>
      </c>
      <c r="Q130" s="258"/>
      <c r="R130" s="258" t="s">
        <v>32</v>
      </c>
      <c r="S130" s="258"/>
      <c r="T130" s="258"/>
      <c r="U130" s="149">
        <v>45</v>
      </c>
      <c r="V130" s="149">
        <v>1</v>
      </c>
      <c r="W130" s="257"/>
      <c r="X130" s="258"/>
      <c r="Y130" s="258"/>
      <c r="Z130" s="258"/>
      <c r="AA130" s="258"/>
      <c r="AB130" s="149" t="s">
        <v>954</v>
      </c>
      <c r="AC130" s="259">
        <v>1</v>
      </c>
      <c r="AD130" s="149" t="s">
        <v>955</v>
      </c>
      <c r="AE130">
        <f t="shared" si="10"/>
        <v>30</v>
      </c>
      <c r="AF130">
        <f t="shared" si="11"/>
        <v>35</v>
      </c>
      <c r="AG130">
        <f t="shared" si="12"/>
        <v>45</v>
      </c>
      <c r="AH130">
        <f t="shared" si="13"/>
        <v>45</v>
      </c>
      <c r="AJ130" t="s">
        <v>1361</v>
      </c>
      <c r="AK130" t="s">
        <v>1499</v>
      </c>
      <c r="AL130" t="s">
        <v>1602</v>
      </c>
    </row>
    <row r="131" spans="1:38" x14ac:dyDescent="0.25">
      <c r="A131" s="256" t="s">
        <v>650</v>
      </c>
      <c r="B131" s="257"/>
      <c r="C131" s="258"/>
      <c r="D131" s="258"/>
      <c r="E131" s="258"/>
      <c r="F131" s="258"/>
      <c r="G131" s="149"/>
      <c r="H131" s="259"/>
      <c r="I131" s="257"/>
      <c r="J131" s="258"/>
      <c r="K131" s="258"/>
      <c r="L131" s="258"/>
      <c r="M131" s="258"/>
      <c r="N131" s="149"/>
      <c r="O131" s="259"/>
      <c r="P131" s="258"/>
      <c r="Q131" s="258"/>
      <c r="R131" s="258"/>
      <c r="S131" s="258"/>
      <c r="T131" s="258"/>
      <c r="U131" s="149"/>
      <c r="V131" s="149"/>
      <c r="W131" s="257"/>
      <c r="X131" s="258"/>
      <c r="Y131" s="258"/>
      <c r="Z131" s="258"/>
      <c r="AA131" s="258"/>
      <c r="AB131" s="149"/>
      <c r="AC131" s="259"/>
      <c r="AD131" s="149"/>
      <c r="AE131">
        <f t="shared" si="10"/>
        <v>0</v>
      </c>
      <c r="AF131">
        <f t="shared" si="11"/>
        <v>0</v>
      </c>
      <c r="AG131">
        <f t="shared" si="12"/>
        <v>0</v>
      </c>
      <c r="AH131" t="str">
        <f t="shared" si="13"/>
        <v/>
      </c>
    </row>
    <row r="132" spans="1:38" x14ac:dyDescent="0.25">
      <c r="A132" s="256" t="s">
        <v>653</v>
      </c>
      <c r="B132" s="257"/>
      <c r="C132" s="258"/>
      <c r="D132" s="258"/>
      <c r="E132" s="258"/>
      <c r="F132" s="258"/>
      <c r="G132" s="149"/>
      <c r="H132" s="259"/>
      <c r="I132" s="257"/>
      <c r="J132" s="258"/>
      <c r="K132" s="258"/>
      <c r="L132" s="258"/>
      <c r="M132" s="258"/>
      <c r="N132" s="149"/>
      <c r="O132" s="259"/>
      <c r="P132" s="258"/>
      <c r="Q132" s="258"/>
      <c r="R132" s="258"/>
      <c r="S132" s="258"/>
      <c r="T132" s="258"/>
      <c r="U132" s="149"/>
      <c r="V132" s="149"/>
      <c r="W132" s="257"/>
      <c r="X132" s="258"/>
      <c r="Y132" s="258"/>
      <c r="Z132" s="258"/>
      <c r="AA132" s="258"/>
      <c r="AB132" s="149"/>
      <c r="AC132" s="259"/>
      <c r="AD132" s="149"/>
      <c r="AE132">
        <f t="shared" si="10"/>
        <v>0</v>
      </c>
      <c r="AF132">
        <f t="shared" si="11"/>
        <v>0</v>
      </c>
      <c r="AG132">
        <f t="shared" si="12"/>
        <v>0</v>
      </c>
      <c r="AH132" t="str">
        <f t="shared" si="13"/>
        <v/>
      </c>
    </row>
    <row r="133" spans="1:38" x14ac:dyDescent="0.25">
      <c r="A133" s="256" t="s">
        <v>656</v>
      </c>
      <c r="B133" s="257"/>
      <c r="C133" s="258"/>
      <c r="D133" s="258"/>
      <c r="E133" s="258"/>
      <c r="F133" s="258"/>
      <c r="G133" s="149"/>
      <c r="H133" s="259"/>
      <c r="I133" s="257"/>
      <c r="J133" s="258"/>
      <c r="K133" s="258"/>
      <c r="L133" s="258"/>
      <c r="M133" s="258"/>
      <c r="N133" s="149"/>
      <c r="O133" s="259"/>
      <c r="P133" s="258"/>
      <c r="Q133" s="258"/>
      <c r="R133" s="258"/>
      <c r="S133" s="258"/>
      <c r="T133" s="258"/>
      <c r="U133" s="149"/>
      <c r="V133" s="149"/>
      <c r="W133" s="257"/>
      <c r="X133" s="258"/>
      <c r="Y133" s="258"/>
      <c r="Z133" s="258"/>
      <c r="AA133" s="258"/>
      <c r="AB133" s="149"/>
      <c r="AC133" s="259"/>
      <c r="AD133" s="149"/>
      <c r="AE133">
        <f t="shared" si="10"/>
        <v>0</v>
      </c>
      <c r="AF133">
        <f t="shared" si="11"/>
        <v>0</v>
      </c>
      <c r="AG133">
        <f t="shared" si="12"/>
        <v>0</v>
      </c>
      <c r="AH133" t="str">
        <f t="shared" si="13"/>
        <v/>
      </c>
    </row>
    <row r="134" spans="1:38" x14ac:dyDescent="0.25">
      <c r="A134" s="256" t="s">
        <v>196</v>
      </c>
      <c r="B134" s="257"/>
      <c r="C134" s="258"/>
      <c r="D134" s="258"/>
      <c r="E134" s="258"/>
      <c r="F134" s="258"/>
      <c r="G134" s="149"/>
      <c r="H134" s="259">
        <v>1</v>
      </c>
      <c r="I134" s="257"/>
      <c r="J134" s="258" t="s">
        <v>32</v>
      </c>
      <c r="K134" s="258"/>
      <c r="L134" s="258"/>
      <c r="M134" s="258"/>
      <c r="N134" s="149">
        <v>35</v>
      </c>
      <c r="O134" s="259">
        <v>2</v>
      </c>
      <c r="P134" s="258"/>
      <c r="Q134" s="258"/>
      <c r="R134" s="258"/>
      <c r="S134" s="258"/>
      <c r="T134" s="258"/>
      <c r="U134" s="149"/>
      <c r="V134" s="149">
        <v>1</v>
      </c>
      <c r="W134" s="257"/>
      <c r="X134" s="258"/>
      <c r="Y134" s="258"/>
      <c r="Z134" s="258"/>
      <c r="AA134" s="258"/>
      <c r="AB134" s="149"/>
      <c r="AC134" s="259"/>
      <c r="AD134" s="149" t="s">
        <v>955</v>
      </c>
      <c r="AE134">
        <f t="shared" si="10"/>
        <v>0</v>
      </c>
      <c r="AF134">
        <f t="shared" si="11"/>
        <v>35</v>
      </c>
      <c r="AG134">
        <f t="shared" si="12"/>
        <v>0</v>
      </c>
      <c r="AH134" t="str">
        <f t="shared" si="13"/>
        <v/>
      </c>
      <c r="AJ134" t="s">
        <v>1362</v>
      </c>
      <c r="AK134" t="s">
        <v>1500</v>
      </c>
    </row>
    <row r="135" spans="1:38" x14ac:dyDescent="0.25">
      <c r="A135" s="256" t="s">
        <v>199</v>
      </c>
      <c r="B135" s="257"/>
      <c r="C135" s="258"/>
      <c r="D135" s="258"/>
      <c r="E135" s="258"/>
      <c r="F135" s="258"/>
      <c r="G135" s="149"/>
      <c r="H135" s="259"/>
      <c r="I135" s="257"/>
      <c r="J135" s="258"/>
      <c r="K135" s="258"/>
      <c r="L135" s="258"/>
      <c r="M135" s="258"/>
      <c r="N135" s="149"/>
      <c r="O135" s="259">
        <v>1</v>
      </c>
      <c r="P135" s="258"/>
      <c r="Q135" s="258"/>
      <c r="R135" s="258"/>
      <c r="S135" s="258"/>
      <c r="T135" s="258"/>
      <c r="U135" s="149"/>
      <c r="V135" s="149"/>
      <c r="W135" s="257"/>
      <c r="X135" s="258"/>
      <c r="Y135" s="258"/>
      <c r="Z135" s="258"/>
      <c r="AA135" s="258"/>
      <c r="AB135" s="149"/>
      <c r="AC135" s="259"/>
      <c r="AD135" s="149" t="s">
        <v>955</v>
      </c>
      <c r="AE135">
        <f t="shared" si="10"/>
        <v>0</v>
      </c>
      <c r="AF135">
        <f t="shared" si="11"/>
        <v>0</v>
      </c>
      <c r="AG135">
        <f t="shared" si="12"/>
        <v>0</v>
      </c>
      <c r="AH135" t="str">
        <f t="shared" si="13"/>
        <v/>
      </c>
      <c r="AJ135" t="s">
        <v>1363</v>
      </c>
      <c r="AK135" t="s">
        <v>1501</v>
      </c>
    </row>
    <row r="136" spans="1:38" x14ac:dyDescent="0.25">
      <c r="A136" s="256" t="s">
        <v>200</v>
      </c>
      <c r="B136" s="257"/>
      <c r="C136" s="258"/>
      <c r="D136" s="258"/>
      <c r="E136" s="258"/>
      <c r="F136" s="258"/>
      <c r="G136" s="149"/>
      <c r="H136" s="259">
        <v>1</v>
      </c>
      <c r="I136" s="257"/>
      <c r="J136" s="258"/>
      <c r="K136" s="258"/>
      <c r="L136" s="258"/>
      <c r="M136" s="258"/>
      <c r="N136" s="149"/>
      <c r="O136" s="259"/>
      <c r="P136" s="258"/>
      <c r="Q136" s="258"/>
      <c r="R136" s="258"/>
      <c r="S136" s="258"/>
      <c r="T136" s="258"/>
      <c r="U136" s="149"/>
      <c r="V136" s="149"/>
      <c r="W136" s="257"/>
      <c r="X136" s="258"/>
      <c r="Y136" s="258"/>
      <c r="Z136" s="258"/>
      <c r="AA136" s="258"/>
      <c r="AB136" s="149"/>
      <c r="AC136" s="259"/>
      <c r="AD136" s="149" t="s">
        <v>955</v>
      </c>
      <c r="AE136">
        <f t="shared" si="10"/>
        <v>0</v>
      </c>
      <c r="AF136">
        <f t="shared" si="11"/>
        <v>0</v>
      </c>
      <c r="AG136">
        <f t="shared" si="12"/>
        <v>0</v>
      </c>
      <c r="AH136" t="str">
        <f t="shared" si="13"/>
        <v/>
      </c>
      <c r="AJ136" t="s">
        <v>1364</v>
      </c>
    </row>
    <row r="137" spans="1:38" x14ac:dyDescent="0.25">
      <c r="A137" s="256" t="s">
        <v>203</v>
      </c>
      <c r="B137" s="257"/>
      <c r="C137" s="258"/>
      <c r="D137" s="258" t="s">
        <v>32</v>
      </c>
      <c r="E137" s="258"/>
      <c r="F137" s="258"/>
      <c r="G137" s="149">
        <v>35</v>
      </c>
      <c r="H137" s="259">
        <v>3</v>
      </c>
      <c r="I137" s="257"/>
      <c r="J137" s="258"/>
      <c r="K137" s="258"/>
      <c r="L137" s="258"/>
      <c r="M137" s="258"/>
      <c r="N137" s="149"/>
      <c r="O137" s="259">
        <v>2</v>
      </c>
      <c r="P137" s="258"/>
      <c r="Q137" s="258"/>
      <c r="R137" s="258"/>
      <c r="S137" s="258"/>
      <c r="T137" s="258"/>
      <c r="U137" s="149"/>
      <c r="V137" s="149"/>
      <c r="W137" s="257"/>
      <c r="X137" s="258"/>
      <c r="Y137" s="258"/>
      <c r="Z137" s="258"/>
      <c r="AA137" s="258"/>
      <c r="AB137" s="149"/>
      <c r="AC137" s="259"/>
      <c r="AD137" s="149" t="s">
        <v>955</v>
      </c>
      <c r="AE137">
        <f t="shared" si="10"/>
        <v>35</v>
      </c>
      <c r="AF137">
        <f t="shared" si="11"/>
        <v>0</v>
      </c>
      <c r="AG137">
        <f t="shared" si="12"/>
        <v>0</v>
      </c>
      <c r="AH137" t="str">
        <f t="shared" si="13"/>
        <v/>
      </c>
      <c r="AJ137" t="s">
        <v>1365</v>
      </c>
    </row>
    <row r="138" spans="1:38" x14ac:dyDescent="0.25">
      <c r="A138" s="256" t="s">
        <v>959</v>
      </c>
      <c r="B138" s="257"/>
      <c r="C138" s="258"/>
      <c r="D138" s="258"/>
      <c r="E138" s="258"/>
      <c r="F138" s="258"/>
      <c r="G138" s="149"/>
      <c r="H138" s="259"/>
      <c r="I138" s="257"/>
      <c r="J138" s="258"/>
      <c r="K138" s="258"/>
      <c r="L138" s="258"/>
      <c r="M138" s="258"/>
      <c r="N138" s="149"/>
      <c r="O138" s="259"/>
      <c r="P138" s="258"/>
      <c r="Q138" s="258"/>
      <c r="R138" s="258"/>
      <c r="S138" s="258"/>
      <c r="T138" s="258"/>
      <c r="U138" s="149"/>
      <c r="V138" s="149"/>
      <c r="W138" s="257"/>
      <c r="X138" s="258"/>
      <c r="Y138" s="258"/>
      <c r="Z138" s="258"/>
      <c r="AA138" s="258"/>
      <c r="AB138" s="149"/>
      <c r="AC138" s="259"/>
      <c r="AD138" s="149"/>
      <c r="AE138">
        <f t="shared" si="10"/>
        <v>0</v>
      </c>
      <c r="AF138">
        <f t="shared" si="11"/>
        <v>0</v>
      </c>
      <c r="AG138">
        <f t="shared" si="12"/>
        <v>0</v>
      </c>
      <c r="AH138" t="str">
        <f t="shared" si="13"/>
        <v/>
      </c>
      <c r="AJ138" t="s">
        <v>1366</v>
      </c>
      <c r="AK138" t="s">
        <v>1502</v>
      </c>
    </row>
    <row r="139" spans="1:38" x14ac:dyDescent="0.25">
      <c r="A139" s="256" t="s">
        <v>206</v>
      </c>
      <c r="B139" s="257"/>
      <c r="C139" s="258"/>
      <c r="D139" s="258"/>
      <c r="E139" s="258"/>
      <c r="F139" s="258"/>
      <c r="G139" s="149"/>
      <c r="H139" s="259">
        <v>2</v>
      </c>
      <c r="I139" s="257"/>
      <c r="J139" s="258"/>
      <c r="K139" s="258"/>
      <c r="L139" s="258"/>
      <c r="M139" s="258"/>
      <c r="N139" s="149"/>
      <c r="O139" s="259"/>
      <c r="P139" s="258"/>
      <c r="Q139" s="258"/>
      <c r="R139" s="258"/>
      <c r="S139" s="258"/>
      <c r="T139" s="258"/>
      <c r="U139" s="149"/>
      <c r="V139" s="149"/>
      <c r="W139" s="257"/>
      <c r="X139" s="258"/>
      <c r="Y139" s="258"/>
      <c r="Z139" s="258"/>
      <c r="AA139" s="258"/>
      <c r="AB139" s="149"/>
      <c r="AC139" s="259"/>
      <c r="AD139" s="149" t="s">
        <v>955</v>
      </c>
      <c r="AE139">
        <f t="shared" si="10"/>
        <v>0</v>
      </c>
      <c r="AF139">
        <f t="shared" si="11"/>
        <v>0</v>
      </c>
      <c r="AG139">
        <f t="shared" si="12"/>
        <v>0</v>
      </c>
      <c r="AH139" t="str">
        <f t="shared" si="13"/>
        <v/>
      </c>
      <c r="AK139" t="s">
        <v>1503</v>
      </c>
    </row>
    <row r="140" spans="1:38" x14ac:dyDescent="0.25">
      <c r="A140" s="256" t="s">
        <v>208</v>
      </c>
      <c r="B140" s="257"/>
      <c r="C140" s="258"/>
      <c r="D140" s="258"/>
      <c r="E140" s="258"/>
      <c r="F140" s="258"/>
      <c r="G140" s="149"/>
      <c r="H140" s="259">
        <v>2</v>
      </c>
      <c r="I140" s="257"/>
      <c r="J140" s="258"/>
      <c r="K140" s="258"/>
      <c r="L140" s="258"/>
      <c r="M140" s="258"/>
      <c r="N140" s="149"/>
      <c r="O140" s="259"/>
      <c r="P140" s="258"/>
      <c r="Q140" s="258"/>
      <c r="R140" s="258"/>
      <c r="S140" s="258"/>
      <c r="T140" s="258"/>
      <c r="U140" s="149"/>
      <c r="V140" s="149"/>
      <c r="W140" s="257"/>
      <c r="X140" s="258"/>
      <c r="Y140" s="258"/>
      <c r="Z140" s="258"/>
      <c r="AA140" s="258"/>
      <c r="AB140" s="149"/>
      <c r="AC140" s="259"/>
      <c r="AD140" s="149" t="s">
        <v>955</v>
      </c>
      <c r="AE140">
        <f t="shared" si="10"/>
        <v>0</v>
      </c>
      <c r="AF140">
        <f t="shared" si="11"/>
        <v>0</v>
      </c>
      <c r="AG140">
        <f t="shared" si="12"/>
        <v>0</v>
      </c>
      <c r="AH140" t="str">
        <f t="shared" si="13"/>
        <v/>
      </c>
    </row>
    <row r="141" spans="1:38" x14ac:dyDescent="0.25">
      <c r="A141" s="256" t="s">
        <v>210</v>
      </c>
      <c r="B141" s="257"/>
      <c r="C141" s="258"/>
      <c r="D141" s="258"/>
      <c r="E141" s="258"/>
      <c r="F141" s="258"/>
      <c r="G141" s="149"/>
      <c r="H141" s="259"/>
      <c r="I141" s="257"/>
      <c r="J141" s="258"/>
      <c r="K141" s="258"/>
      <c r="L141" s="258"/>
      <c r="M141" s="258"/>
      <c r="N141" s="149"/>
      <c r="O141" s="259"/>
      <c r="P141" s="258"/>
      <c r="Q141" s="258"/>
      <c r="R141" s="258"/>
      <c r="S141" s="258"/>
      <c r="T141" s="258"/>
      <c r="U141" s="149"/>
      <c r="V141" s="149">
        <v>1</v>
      </c>
      <c r="W141" s="257"/>
      <c r="X141" s="258"/>
      <c r="Y141" s="258"/>
      <c r="Z141" s="258"/>
      <c r="AA141" s="258"/>
      <c r="AB141" s="149"/>
      <c r="AC141" s="259"/>
      <c r="AD141" s="149" t="s">
        <v>955</v>
      </c>
      <c r="AE141">
        <f t="shared" si="10"/>
        <v>0</v>
      </c>
      <c r="AF141">
        <f t="shared" si="11"/>
        <v>0</v>
      </c>
      <c r="AG141">
        <f t="shared" si="12"/>
        <v>0</v>
      </c>
      <c r="AH141" t="str">
        <f t="shared" si="13"/>
        <v/>
      </c>
    </row>
    <row r="142" spans="1:38" x14ac:dyDescent="0.25">
      <c r="A142" s="256" t="s">
        <v>600</v>
      </c>
      <c r="B142" s="257"/>
      <c r="C142" s="258"/>
      <c r="D142" s="258"/>
      <c r="E142" s="258"/>
      <c r="F142" s="258"/>
      <c r="G142" s="149"/>
      <c r="H142" s="259"/>
      <c r="I142" s="257"/>
      <c r="J142" s="258"/>
      <c r="K142" s="258"/>
      <c r="L142" s="258"/>
      <c r="M142" s="258"/>
      <c r="N142" s="149"/>
      <c r="O142" s="259"/>
      <c r="P142" s="258"/>
      <c r="Q142" s="258"/>
      <c r="R142" s="258"/>
      <c r="S142" s="258"/>
      <c r="T142" s="258"/>
      <c r="U142" s="149"/>
      <c r="V142" s="149"/>
      <c r="W142" s="257"/>
      <c r="X142" s="258"/>
      <c r="Y142" s="258"/>
      <c r="Z142" s="258"/>
      <c r="AA142" s="258"/>
      <c r="AB142" s="149"/>
      <c r="AC142" s="259"/>
      <c r="AD142" s="149"/>
      <c r="AE142">
        <f t="shared" ref="AE142:AE210" si="14">G142</f>
        <v>0</v>
      </c>
      <c r="AF142">
        <f t="shared" ref="AF142:AF210" si="15">N142</f>
        <v>0</v>
      </c>
      <c r="AG142">
        <f t="shared" ref="AG142:AG211" si="16">U142</f>
        <v>0</v>
      </c>
      <c r="AH142" t="str">
        <f t="shared" si="13"/>
        <v/>
      </c>
    </row>
    <row r="143" spans="1:38" x14ac:dyDescent="0.25">
      <c r="A143" s="256" t="s">
        <v>211</v>
      </c>
      <c r="B143" s="257"/>
      <c r="C143" s="258"/>
      <c r="D143" s="258"/>
      <c r="E143" s="258"/>
      <c r="F143" s="258"/>
      <c r="G143" s="149"/>
      <c r="H143" s="259">
        <v>2</v>
      </c>
      <c r="I143" s="257"/>
      <c r="J143" s="258"/>
      <c r="K143" s="258"/>
      <c r="L143" s="258"/>
      <c r="M143" s="258"/>
      <c r="N143" s="149"/>
      <c r="O143" s="259"/>
      <c r="P143" s="258"/>
      <c r="Q143" s="258"/>
      <c r="R143" s="258"/>
      <c r="S143" s="258"/>
      <c r="T143" s="258"/>
      <c r="U143" s="149"/>
      <c r="V143" s="149">
        <v>1</v>
      </c>
      <c r="W143" s="257"/>
      <c r="X143" s="258"/>
      <c r="Y143" s="258"/>
      <c r="Z143" s="258"/>
      <c r="AA143" s="258"/>
      <c r="AB143" s="149"/>
      <c r="AC143" s="259"/>
      <c r="AD143" s="149" t="s">
        <v>955</v>
      </c>
      <c r="AE143">
        <f t="shared" si="14"/>
        <v>0</v>
      </c>
      <c r="AF143">
        <f t="shared" si="15"/>
        <v>0</v>
      </c>
      <c r="AG143">
        <f t="shared" si="16"/>
        <v>0</v>
      </c>
      <c r="AH143" t="str">
        <f t="shared" si="13"/>
        <v/>
      </c>
    </row>
    <row r="144" spans="1:38" x14ac:dyDescent="0.25">
      <c r="A144" s="256" t="s">
        <v>213</v>
      </c>
      <c r="B144" s="257"/>
      <c r="C144" s="258"/>
      <c r="D144" s="258"/>
      <c r="E144" s="258"/>
      <c r="F144" s="258"/>
      <c r="G144" s="149"/>
      <c r="H144" s="259">
        <v>2</v>
      </c>
      <c r="I144" s="257"/>
      <c r="J144" s="258"/>
      <c r="K144" s="258"/>
      <c r="L144" s="258"/>
      <c r="M144" s="258"/>
      <c r="N144" s="149"/>
      <c r="O144" s="259"/>
      <c r="P144" s="258"/>
      <c r="Q144" s="258"/>
      <c r="R144" s="258"/>
      <c r="S144" s="258"/>
      <c r="T144" s="258"/>
      <c r="U144" s="149"/>
      <c r="V144" s="149">
        <v>1</v>
      </c>
      <c r="W144" s="257"/>
      <c r="X144" s="258"/>
      <c r="Y144" s="258"/>
      <c r="Z144" s="258"/>
      <c r="AA144" s="258"/>
      <c r="AB144" s="149"/>
      <c r="AC144" s="259"/>
      <c r="AD144" s="149" t="s">
        <v>955</v>
      </c>
      <c r="AE144">
        <f t="shared" si="14"/>
        <v>0</v>
      </c>
      <c r="AF144">
        <f t="shared" si="15"/>
        <v>0</v>
      </c>
      <c r="AG144">
        <f t="shared" si="16"/>
        <v>0</v>
      </c>
      <c r="AH144" t="str">
        <f t="shared" si="13"/>
        <v/>
      </c>
    </row>
    <row r="145" spans="1:38" x14ac:dyDescent="0.25">
      <c r="A145" s="256" t="s">
        <v>602</v>
      </c>
      <c r="B145" s="257"/>
      <c r="C145" s="258"/>
      <c r="D145" s="258"/>
      <c r="E145" s="258"/>
      <c r="F145" s="258"/>
      <c r="G145" s="149"/>
      <c r="H145" s="259"/>
      <c r="I145" s="257"/>
      <c r="J145" s="258"/>
      <c r="K145" s="258"/>
      <c r="L145" s="258"/>
      <c r="M145" s="258"/>
      <c r="N145" s="149"/>
      <c r="O145" s="259"/>
      <c r="P145" s="258"/>
      <c r="Q145" s="258"/>
      <c r="R145" s="258"/>
      <c r="S145" s="258"/>
      <c r="T145" s="258"/>
      <c r="U145" s="149"/>
      <c r="V145" s="149"/>
      <c r="W145" s="257"/>
      <c r="X145" s="258"/>
      <c r="Y145" s="258"/>
      <c r="Z145" s="258"/>
      <c r="AA145" s="258"/>
      <c r="AB145" s="149"/>
      <c r="AC145" s="259"/>
      <c r="AD145" s="149"/>
      <c r="AE145">
        <f t="shared" si="14"/>
        <v>0</v>
      </c>
      <c r="AF145">
        <f t="shared" si="15"/>
        <v>0</v>
      </c>
      <c r="AG145">
        <f t="shared" si="16"/>
        <v>0</v>
      </c>
      <c r="AH145" t="str">
        <f t="shared" si="13"/>
        <v/>
      </c>
    </row>
    <row r="146" spans="1:38" x14ac:dyDescent="0.25">
      <c r="A146" s="256" t="s">
        <v>215</v>
      </c>
      <c r="B146" s="257"/>
      <c r="C146" s="258"/>
      <c r="D146" s="258"/>
      <c r="E146" s="258"/>
      <c r="F146" s="258"/>
      <c r="G146" s="149"/>
      <c r="H146" s="259">
        <v>2</v>
      </c>
      <c r="I146" s="257"/>
      <c r="J146" s="258"/>
      <c r="K146" s="258"/>
      <c r="L146" s="258"/>
      <c r="M146" s="258"/>
      <c r="N146" s="149"/>
      <c r="O146" s="259"/>
      <c r="P146" s="258"/>
      <c r="Q146" s="258"/>
      <c r="R146" s="258"/>
      <c r="S146" s="258"/>
      <c r="T146" s="258"/>
      <c r="U146" s="149"/>
      <c r="V146" s="149"/>
      <c r="W146" s="257"/>
      <c r="X146" s="258"/>
      <c r="Y146" s="258"/>
      <c r="Z146" s="258"/>
      <c r="AA146" s="258"/>
      <c r="AB146" s="149"/>
      <c r="AC146" s="259"/>
      <c r="AD146" s="149" t="s">
        <v>955</v>
      </c>
      <c r="AE146">
        <f t="shared" si="14"/>
        <v>0</v>
      </c>
      <c r="AF146">
        <f t="shared" si="15"/>
        <v>0</v>
      </c>
      <c r="AG146">
        <f t="shared" si="16"/>
        <v>0</v>
      </c>
      <c r="AH146" t="str">
        <f t="shared" si="13"/>
        <v/>
      </c>
    </row>
    <row r="147" spans="1:38" x14ac:dyDescent="0.25">
      <c r="A147" s="256" t="s">
        <v>604</v>
      </c>
      <c r="B147" s="257" t="s">
        <v>32</v>
      </c>
      <c r="C147" s="258"/>
      <c r="D147" s="258" t="s">
        <v>32</v>
      </c>
      <c r="E147" s="258"/>
      <c r="F147" s="258"/>
      <c r="G147" s="149">
        <v>35</v>
      </c>
      <c r="H147" s="259">
        <v>2</v>
      </c>
      <c r="I147" s="257"/>
      <c r="J147" s="258"/>
      <c r="K147" s="258"/>
      <c r="L147" s="258"/>
      <c r="M147" s="258"/>
      <c r="N147" s="149"/>
      <c r="O147" s="259"/>
      <c r="P147" s="258"/>
      <c r="Q147" s="258"/>
      <c r="R147" s="258"/>
      <c r="S147" s="258"/>
      <c r="T147" s="258"/>
      <c r="U147" s="149"/>
      <c r="V147" s="149">
        <v>1</v>
      </c>
      <c r="W147" s="257"/>
      <c r="X147" s="258"/>
      <c r="Y147" s="258"/>
      <c r="Z147" s="258"/>
      <c r="AA147" s="258"/>
      <c r="AB147" s="149"/>
      <c r="AC147" s="259"/>
      <c r="AD147" s="149"/>
      <c r="AE147">
        <f t="shared" si="14"/>
        <v>35</v>
      </c>
      <c r="AF147">
        <f t="shared" si="15"/>
        <v>0</v>
      </c>
      <c r="AG147">
        <f t="shared" si="16"/>
        <v>0</v>
      </c>
      <c r="AH147" t="str">
        <f t="shared" si="13"/>
        <v/>
      </c>
      <c r="AJ147" t="s">
        <v>1367</v>
      </c>
      <c r="AK147" t="s">
        <v>1504</v>
      </c>
    </row>
    <row r="148" spans="1:38" x14ac:dyDescent="0.25">
      <c r="A148" s="256" t="s">
        <v>217</v>
      </c>
      <c r="B148" s="257"/>
      <c r="C148" s="258"/>
      <c r="D148" s="258"/>
      <c r="E148" s="258"/>
      <c r="F148" s="258"/>
      <c r="G148" s="149"/>
      <c r="H148" s="259">
        <v>2</v>
      </c>
      <c r="I148" s="257"/>
      <c r="J148" s="258"/>
      <c r="K148" s="258"/>
      <c r="L148" s="258"/>
      <c r="M148" s="258"/>
      <c r="N148" s="149"/>
      <c r="O148" s="259"/>
      <c r="P148" s="258"/>
      <c r="Q148" s="258"/>
      <c r="R148" s="258"/>
      <c r="S148" s="258"/>
      <c r="T148" s="258"/>
      <c r="U148" s="149"/>
      <c r="V148" s="149"/>
      <c r="W148" s="257"/>
      <c r="X148" s="258"/>
      <c r="Y148" s="258"/>
      <c r="Z148" s="258"/>
      <c r="AA148" s="258"/>
      <c r="AB148" s="149"/>
      <c r="AC148" s="259"/>
      <c r="AD148" s="149" t="s">
        <v>955</v>
      </c>
      <c r="AE148">
        <f t="shared" si="14"/>
        <v>0</v>
      </c>
      <c r="AF148">
        <f t="shared" si="15"/>
        <v>0</v>
      </c>
      <c r="AG148">
        <f t="shared" si="16"/>
        <v>0</v>
      </c>
      <c r="AH148" t="str">
        <f t="shared" si="13"/>
        <v/>
      </c>
    </row>
    <row r="149" spans="1:38" x14ac:dyDescent="0.25">
      <c r="A149" s="256" t="s">
        <v>219</v>
      </c>
      <c r="B149" s="257"/>
      <c r="C149" s="258"/>
      <c r="D149" s="258"/>
      <c r="E149" s="258"/>
      <c r="F149" s="258"/>
      <c r="G149" s="149"/>
      <c r="H149" s="259">
        <v>2</v>
      </c>
      <c r="I149" s="257"/>
      <c r="J149" s="258"/>
      <c r="K149" s="258"/>
      <c r="L149" s="258"/>
      <c r="M149" s="258"/>
      <c r="N149" s="149"/>
      <c r="O149" s="259"/>
      <c r="P149" s="258"/>
      <c r="Q149" s="258"/>
      <c r="R149" s="258"/>
      <c r="S149" s="258"/>
      <c r="T149" s="258"/>
      <c r="U149" s="149"/>
      <c r="V149" s="149">
        <v>1</v>
      </c>
      <c r="W149" s="257"/>
      <c r="X149" s="258"/>
      <c r="Y149" s="258"/>
      <c r="Z149" s="258"/>
      <c r="AA149" s="258"/>
      <c r="AB149" s="149"/>
      <c r="AC149" s="259"/>
      <c r="AD149" s="149" t="s">
        <v>955</v>
      </c>
      <c r="AE149">
        <f t="shared" si="14"/>
        <v>0</v>
      </c>
      <c r="AF149">
        <f t="shared" si="15"/>
        <v>0</v>
      </c>
      <c r="AG149">
        <f t="shared" si="16"/>
        <v>0</v>
      </c>
      <c r="AH149" t="str">
        <f t="shared" si="13"/>
        <v/>
      </c>
    </row>
    <row r="150" spans="1:38" x14ac:dyDescent="0.25">
      <c r="A150" s="256" t="s">
        <v>220</v>
      </c>
      <c r="B150" s="257"/>
      <c r="C150" s="258"/>
      <c r="D150" s="258"/>
      <c r="E150" s="258"/>
      <c r="F150" s="258"/>
      <c r="G150" s="149"/>
      <c r="H150" s="259"/>
      <c r="I150" s="257"/>
      <c r="J150" s="258"/>
      <c r="K150" s="258"/>
      <c r="L150" s="258"/>
      <c r="M150" s="258"/>
      <c r="N150" s="149"/>
      <c r="O150" s="259"/>
      <c r="P150" s="258"/>
      <c r="Q150" s="258"/>
      <c r="R150" s="258"/>
      <c r="S150" s="258"/>
      <c r="T150" s="258"/>
      <c r="U150" s="149"/>
      <c r="V150" s="149"/>
      <c r="W150" s="257"/>
      <c r="X150" s="258"/>
      <c r="Y150" s="258"/>
      <c r="Z150" s="258"/>
      <c r="AA150" s="258"/>
      <c r="AB150" s="149"/>
      <c r="AC150" s="259"/>
      <c r="AD150" s="149" t="s">
        <v>955</v>
      </c>
      <c r="AE150">
        <f t="shared" si="14"/>
        <v>0</v>
      </c>
      <c r="AF150">
        <f t="shared" si="15"/>
        <v>0</v>
      </c>
      <c r="AG150">
        <f t="shared" si="16"/>
        <v>0</v>
      </c>
      <c r="AH150" t="str">
        <f t="shared" si="13"/>
        <v/>
      </c>
      <c r="AK150" t="s">
        <v>1505</v>
      </c>
    </row>
    <row r="151" spans="1:38" x14ac:dyDescent="0.25">
      <c r="A151" s="256" t="s">
        <v>223</v>
      </c>
      <c r="B151" s="257" t="s">
        <v>32</v>
      </c>
      <c r="C151" s="258"/>
      <c r="D151" s="258" t="s">
        <v>32</v>
      </c>
      <c r="E151" s="258"/>
      <c r="F151" s="258"/>
      <c r="G151" s="149">
        <v>30</v>
      </c>
      <c r="H151" s="259">
        <v>1</v>
      </c>
      <c r="I151" s="257" t="s">
        <v>32</v>
      </c>
      <c r="J151" s="258"/>
      <c r="K151" s="258" t="s">
        <v>32</v>
      </c>
      <c r="L151" s="258"/>
      <c r="M151" s="258"/>
      <c r="N151" s="149">
        <v>35</v>
      </c>
      <c r="O151" s="259">
        <v>1</v>
      </c>
      <c r="P151" s="258" t="s">
        <v>32</v>
      </c>
      <c r="Q151" s="258"/>
      <c r="R151" s="258" t="s">
        <v>32</v>
      </c>
      <c r="S151" s="258"/>
      <c r="T151" s="258"/>
      <c r="U151" s="149">
        <v>45</v>
      </c>
      <c r="V151" s="149">
        <v>1</v>
      </c>
      <c r="W151" s="257"/>
      <c r="X151" s="258"/>
      <c r="Y151" s="258"/>
      <c r="Z151" s="258"/>
      <c r="AA151" s="258"/>
      <c r="AB151" s="149"/>
      <c r="AC151" s="259"/>
      <c r="AD151" s="149" t="s">
        <v>955</v>
      </c>
      <c r="AE151">
        <f t="shared" si="14"/>
        <v>30</v>
      </c>
      <c r="AF151">
        <f t="shared" si="15"/>
        <v>35</v>
      </c>
      <c r="AG151">
        <f t="shared" si="16"/>
        <v>45</v>
      </c>
      <c r="AH151" t="str">
        <f t="shared" si="13"/>
        <v/>
      </c>
      <c r="AJ151" t="s">
        <v>1368</v>
      </c>
      <c r="AK151" t="s">
        <v>1506</v>
      </c>
      <c r="AL151" t="s">
        <v>1603</v>
      </c>
    </row>
    <row r="152" spans="1:38" x14ac:dyDescent="0.25">
      <c r="A152" s="256" t="s">
        <v>661</v>
      </c>
      <c r="B152" s="257"/>
      <c r="C152" s="258"/>
      <c r="D152" s="258"/>
      <c r="E152" s="258"/>
      <c r="F152" s="258"/>
      <c r="G152" s="149"/>
      <c r="H152" s="259"/>
      <c r="I152" s="257"/>
      <c r="J152" s="258"/>
      <c r="K152" s="258"/>
      <c r="L152" s="258"/>
      <c r="M152" s="258"/>
      <c r="N152" s="149"/>
      <c r="O152" s="259"/>
      <c r="P152" s="258"/>
      <c r="Q152" s="258"/>
      <c r="R152" s="258"/>
      <c r="S152" s="258"/>
      <c r="T152" s="258"/>
      <c r="U152" s="149"/>
      <c r="V152" s="149"/>
      <c r="W152" s="257"/>
      <c r="X152" s="258"/>
      <c r="Y152" s="258"/>
      <c r="Z152" s="258"/>
      <c r="AA152" s="258"/>
      <c r="AB152" s="149"/>
      <c r="AC152" s="259"/>
      <c r="AD152" s="149"/>
      <c r="AE152">
        <f t="shared" si="14"/>
        <v>0</v>
      </c>
      <c r="AF152">
        <f t="shared" si="15"/>
        <v>0</v>
      </c>
      <c r="AG152">
        <f t="shared" si="16"/>
        <v>0</v>
      </c>
      <c r="AH152" t="str">
        <f t="shared" si="13"/>
        <v/>
      </c>
      <c r="AJ152" t="s">
        <v>1369</v>
      </c>
      <c r="AK152" t="s">
        <v>1507</v>
      </c>
      <c r="AL152" t="s">
        <v>1604</v>
      </c>
    </row>
    <row r="153" spans="1:38" x14ac:dyDescent="0.25">
      <c r="A153" s="256" t="s">
        <v>225</v>
      </c>
      <c r="B153" s="257"/>
      <c r="C153" s="258"/>
      <c r="D153" s="258"/>
      <c r="E153" s="258"/>
      <c r="F153" s="258"/>
      <c r="G153" s="149"/>
      <c r="H153" s="259">
        <v>1</v>
      </c>
      <c r="I153" s="257"/>
      <c r="J153" s="258"/>
      <c r="K153" s="258"/>
      <c r="L153" s="258"/>
      <c r="M153" s="258"/>
      <c r="N153" s="149"/>
      <c r="O153" s="259">
        <v>1</v>
      </c>
      <c r="P153" s="258"/>
      <c r="Q153" s="258"/>
      <c r="R153" s="258"/>
      <c r="S153" s="258"/>
      <c r="T153" s="258"/>
      <c r="U153" s="149"/>
      <c r="V153" s="149"/>
      <c r="W153" s="257"/>
      <c r="X153" s="258"/>
      <c r="Y153" s="258"/>
      <c r="Z153" s="258"/>
      <c r="AA153" s="258"/>
      <c r="AB153" s="149"/>
      <c r="AC153" s="259"/>
      <c r="AD153" s="149" t="s">
        <v>955</v>
      </c>
      <c r="AE153">
        <f t="shared" si="14"/>
        <v>0</v>
      </c>
      <c r="AF153">
        <f t="shared" si="15"/>
        <v>0</v>
      </c>
      <c r="AG153">
        <f t="shared" si="16"/>
        <v>0</v>
      </c>
      <c r="AH153" t="str">
        <f t="shared" si="13"/>
        <v/>
      </c>
      <c r="AJ153" t="s">
        <v>1370</v>
      </c>
      <c r="AK153" t="s">
        <v>1508</v>
      </c>
      <c r="AL153" t="s">
        <v>1605</v>
      </c>
    </row>
    <row r="154" spans="1:38" x14ac:dyDescent="0.25">
      <c r="A154" s="256" t="s">
        <v>227</v>
      </c>
      <c r="B154" s="257"/>
      <c r="C154" s="258"/>
      <c r="D154" s="258"/>
      <c r="E154" s="258"/>
      <c r="F154" s="258"/>
      <c r="G154" s="149"/>
      <c r="H154" s="259">
        <v>1</v>
      </c>
      <c r="I154" s="257"/>
      <c r="J154" s="258"/>
      <c r="K154" s="258"/>
      <c r="L154" s="258"/>
      <c r="M154" s="258"/>
      <c r="N154" s="149"/>
      <c r="O154" s="259"/>
      <c r="P154" s="258"/>
      <c r="Q154" s="258"/>
      <c r="R154" s="258"/>
      <c r="S154" s="258"/>
      <c r="T154" s="258"/>
      <c r="U154" s="149"/>
      <c r="V154" s="149"/>
      <c r="W154" s="257"/>
      <c r="X154" s="258"/>
      <c r="Y154" s="258"/>
      <c r="Z154" s="258"/>
      <c r="AA154" s="258"/>
      <c r="AB154" s="149"/>
      <c r="AC154" s="259"/>
      <c r="AD154" s="149" t="s">
        <v>955</v>
      </c>
      <c r="AE154">
        <f t="shared" si="14"/>
        <v>0</v>
      </c>
      <c r="AF154">
        <f t="shared" si="15"/>
        <v>0</v>
      </c>
      <c r="AG154">
        <f t="shared" si="16"/>
        <v>0</v>
      </c>
      <c r="AH154" t="str">
        <f t="shared" si="13"/>
        <v/>
      </c>
    </row>
    <row r="155" spans="1:38" x14ac:dyDescent="0.25">
      <c r="A155" s="256" t="s">
        <v>1015</v>
      </c>
      <c r="B155" s="257"/>
      <c r="C155" s="258"/>
      <c r="D155" s="258"/>
      <c r="E155" s="258"/>
      <c r="F155" s="258"/>
      <c r="G155" s="149"/>
      <c r="H155" s="259"/>
      <c r="I155" s="257"/>
      <c r="J155" s="258"/>
      <c r="K155" s="258"/>
      <c r="L155" s="258"/>
      <c r="M155" s="258"/>
      <c r="N155" s="149"/>
      <c r="O155" s="259">
        <v>2</v>
      </c>
      <c r="P155" s="258"/>
      <c r="Q155" s="258"/>
      <c r="R155" s="258"/>
      <c r="S155" s="258"/>
      <c r="T155" s="258"/>
      <c r="U155" s="149"/>
      <c r="V155" s="149"/>
      <c r="W155" s="257"/>
      <c r="X155" s="258"/>
      <c r="Y155" s="258"/>
      <c r="Z155" s="258"/>
      <c r="AA155" s="258"/>
      <c r="AB155" s="149"/>
      <c r="AC155" s="259"/>
      <c r="AD155" s="149" t="s">
        <v>955</v>
      </c>
      <c r="AE155">
        <f t="shared" si="14"/>
        <v>0</v>
      </c>
      <c r="AF155">
        <f t="shared" si="15"/>
        <v>0</v>
      </c>
      <c r="AG155">
        <f t="shared" si="16"/>
        <v>0</v>
      </c>
      <c r="AH155" t="str">
        <f t="shared" si="13"/>
        <v/>
      </c>
      <c r="AK155" t="s">
        <v>1509</v>
      </c>
    </row>
    <row r="156" spans="1:38" x14ac:dyDescent="0.25">
      <c r="A156" s="256" t="s">
        <v>229</v>
      </c>
      <c r="B156" s="257"/>
      <c r="C156" s="258"/>
      <c r="D156" s="258"/>
      <c r="E156" s="258"/>
      <c r="F156" s="258"/>
      <c r="G156" s="149">
        <v>35</v>
      </c>
      <c r="H156" s="259">
        <v>2</v>
      </c>
      <c r="I156" s="257" t="s">
        <v>32</v>
      </c>
      <c r="J156" s="258"/>
      <c r="K156" s="258" t="s">
        <v>32</v>
      </c>
      <c r="L156" s="258"/>
      <c r="M156" s="258"/>
      <c r="N156" s="149">
        <v>40</v>
      </c>
      <c r="O156" s="259">
        <v>3</v>
      </c>
      <c r="P156" s="258"/>
      <c r="Q156" s="258"/>
      <c r="R156" s="258"/>
      <c r="S156" s="258"/>
      <c r="T156" s="258"/>
      <c r="U156" s="149"/>
      <c r="V156" s="149"/>
      <c r="W156" s="257"/>
      <c r="X156" s="258"/>
      <c r="Y156" s="258"/>
      <c r="Z156" s="258"/>
      <c r="AA156" s="258"/>
      <c r="AB156" s="149"/>
      <c r="AC156" s="259"/>
      <c r="AD156" s="149" t="s">
        <v>955</v>
      </c>
      <c r="AE156">
        <f t="shared" si="14"/>
        <v>35</v>
      </c>
      <c r="AF156">
        <f t="shared" si="15"/>
        <v>40</v>
      </c>
      <c r="AG156">
        <f t="shared" si="16"/>
        <v>0</v>
      </c>
      <c r="AH156" t="str">
        <f t="shared" si="13"/>
        <v/>
      </c>
      <c r="AJ156" t="s">
        <v>1371</v>
      </c>
      <c r="AK156" t="s">
        <v>1510</v>
      </c>
      <c r="AL156" t="s">
        <v>1606</v>
      </c>
    </row>
    <row r="157" spans="1:38" x14ac:dyDescent="0.25">
      <c r="A157" s="256" t="s">
        <v>232</v>
      </c>
      <c r="B157" s="257" t="s">
        <v>32</v>
      </c>
      <c r="C157" s="258"/>
      <c r="D157" s="258" t="s">
        <v>32</v>
      </c>
      <c r="E157" s="258"/>
      <c r="F157" s="258"/>
      <c r="G157" s="149">
        <v>35</v>
      </c>
      <c r="H157" s="259">
        <v>1</v>
      </c>
      <c r="I157" s="257"/>
      <c r="J157" s="258"/>
      <c r="K157" s="258"/>
      <c r="L157" s="258"/>
      <c r="M157" s="258"/>
      <c r="N157" s="149"/>
      <c r="O157" s="259">
        <v>1</v>
      </c>
      <c r="P157" s="258"/>
      <c r="Q157" s="258"/>
      <c r="R157" s="258"/>
      <c r="S157" s="258"/>
      <c r="T157" s="258"/>
      <c r="U157" s="149"/>
      <c r="V157" s="149"/>
      <c r="W157" s="257"/>
      <c r="X157" s="258"/>
      <c r="Y157" s="258"/>
      <c r="Z157" s="258"/>
      <c r="AA157" s="258"/>
      <c r="AB157" s="149"/>
      <c r="AC157" s="259"/>
      <c r="AD157" s="149" t="s">
        <v>955</v>
      </c>
      <c r="AE157">
        <f t="shared" si="14"/>
        <v>35</v>
      </c>
      <c r="AF157">
        <f t="shared" si="15"/>
        <v>0</v>
      </c>
      <c r="AG157">
        <f t="shared" si="16"/>
        <v>0</v>
      </c>
      <c r="AH157" t="str">
        <f t="shared" si="13"/>
        <v/>
      </c>
      <c r="AJ157" t="s">
        <v>1372</v>
      </c>
      <c r="AK157" t="s">
        <v>1511</v>
      </c>
      <c r="AL157" t="s">
        <v>1607</v>
      </c>
    </row>
    <row r="158" spans="1:38" x14ac:dyDescent="0.25">
      <c r="A158" s="256" t="s">
        <v>235</v>
      </c>
      <c r="B158" s="257"/>
      <c r="C158" s="258"/>
      <c r="D158" s="258"/>
      <c r="E158" s="258"/>
      <c r="F158" s="258"/>
      <c r="G158" s="149"/>
      <c r="H158" s="259">
        <v>3</v>
      </c>
      <c r="I158" s="257"/>
      <c r="J158" s="258"/>
      <c r="K158" s="258"/>
      <c r="L158" s="258"/>
      <c r="M158" s="258"/>
      <c r="N158" s="149"/>
      <c r="O158" s="259">
        <v>3</v>
      </c>
      <c r="P158" s="258"/>
      <c r="Q158" s="258"/>
      <c r="R158" s="258"/>
      <c r="S158" s="258"/>
      <c r="T158" s="258"/>
      <c r="U158" s="149"/>
      <c r="V158" s="149"/>
      <c r="W158" s="257"/>
      <c r="X158" s="258"/>
      <c r="Y158" s="258"/>
      <c r="Z158" s="258"/>
      <c r="AA158" s="258"/>
      <c r="AB158" s="149"/>
      <c r="AC158" s="259"/>
      <c r="AD158" s="149" t="s">
        <v>955</v>
      </c>
      <c r="AE158">
        <f t="shared" si="14"/>
        <v>0</v>
      </c>
      <c r="AF158">
        <f t="shared" si="15"/>
        <v>0</v>
      </c>
      <c r="AG158">
        <f t="shared" si="16"/>
        <v>0</v>
      </c>
      <c r="AH158" t="str">
        <f t="shared" si="13"/>
        <v/>
      </c>
      <c r="AJ158" t="s">
        <v>1373</v>
      </c>
    </row>
    <row r="159" spans="1:38" x14ac:dyDescent="0.25">
      <c r="A159" s="256" t="s">
        <v>238</v>
      </c>
      <c r="B159" s="257"/>
      <c r="C159" s="258"/>
      <c r="D159" s="258"/>
      <c r="E159" s="258"/>
      <c r="F159" s="258"/>
      <c r="G159" s="149">
        <v>35</v>
      </c>
      <c r="H159" s="259">
        <v>2</v>
      </c>
      <c r="I159" s="257" t="s">
        <v>32</v>
      </c>
      <c r="J159" s="258"/>
      <c r="K159" s="258" t="s">
        <v>32</v>
      </c>
      <c r="L159" s="258"/>
      <c r="M159" s="258"/>
      <c r="N159" s="149">
        <v>40</v>
      </c>
      <c r="O159" s="259">
        <v>3</v>
      </c>
      <c r="P159" s="258"/>
      <c r="Q159" s="258"/>
      <c r="R159" s="258"/>
      <c r="S159" s="258"/>
      <c r="T159" s="258"/>
      <c r="U159" s="149"/>
      <c r="V159" s="149"/>
      <c r="W159" s="257"/>
      <c r="X159" s="258"/>
      <c r="Y159" s="258"/>
      <c r="Z159" s="258"/>
      <c r="AA159" s="258"/>
      <c r="AB159" s="149"/>
      <c r="AC159" s="259"/>
      <c r="AD159" s="149" t="s">
        <v>955</v>
      </c>
      <c r="AE159">
        <f t="shared" si="14"/>
        <v>35</v>
      </c>
      <c r="AF159">
        <f t="shared" si="15"/>
        <v>40</v>
      </c>
      <c r="AG159">
        <f t="shared" si="16"/>
        <v>0</v>
      </c>
      <c r="AH159" t="str">
        <f t="shared" si="13"/>
        <v/>
      </c>
      <c r="AJ159" t="s">
        <v>1374</v>
      </c>
      <c r="AK159" t="s">
        <v>1512</v>
      </c>
      <c r="AL159" t="s">
        <v>1608</v>
      </c>
    </row>
    <row r="160" spans="1:38" x14ac:dyDescent="0.25">
      <c r="A160" s="256" t="s">
        <v>606</v>
      </c>
      <c r="B160" s="260"/>
      <c r="C160" s="261"/>
      <c r="D160" s="261"/>
      <c r="E160" s="261"/>
      <c r="F160" s="261"/>
      <c r="G160" s="262"/>
      <c r="H160" s="263"/>
      <c r="I160" s="257"/>
      <c r="J160" s="258"/>
      <c r="K160" s="258"/>
      <c r="L160" s="258"/>
      <c r="M160" s="258"/>
      <c r="N160" s="149"/>
      <c r="O160" s="259">
        <v>2</v>
      </c>
      <c r="P160" s="258"/>
      <c r="Q160" s="258"/>
      <c r="R160" s="258"/>
      <c r="S160" s="258"/>
      <c r="T160" s="258"/>
      <c r="U160" s="149"/>
      <c r="V160" s="149"/>
      <c r="W160" s="257"/>
      <c r="X160" s="258"/>
      <c r="Y160" s="258"/>
      <c r="Z160" s="258"/>
      <c r="AA160" s="258"/>
      <c r="AB160" s="149"/>
      <c r="AC160" s="259"/>
      <c r="AD160" s="149"/>
      <c r="AE160">
        <f t="shared" si="14"/>
        <v>0</v>
      </c>
      <c r="AF160">
        <f t="shared" si="15"/>
        <v>0</v>
      </c>
      <c r="AG160">
        <f t="shared" si="16"/>
        <v>0</v>
      </c>
      <c r="AH160" t="str">
        <f t="shared" si="13"/>
        <v/>
      </c>
    </row>
    <row r="161" spans="1:38" x14ac:dyDescent="0.25">
      <c r="A161" s="256" t="s">
        <v>241</v>
      </c>
      <c r="B161" s="257"/>
      <c r="C161" s="258"/>
      <c r="D161" s="258"/>
      <c r="E161" s="258"/>
      <c r="F161" s="258"/>
      <c r="G161" s="149"/>
      <c r="H161" s="259">
        <v>1</v>
      </c>
      <c r="I161" s="257"/>
      <c r="J161" s="258"/>
      <c r="K161" s="258"/>
      <c r="L161" s="258"/>
      <c r="M161" s="258"/>
      <c r="N161" s="149"/>
      <c r="O161" s="259">
        <v>2</v>
      </c>
      <c r="P161" s="258"/>
      <c r="Q161" s="258"/>
      <c r="R161" s="258"/>
      <c r="S161" s="258"/>
      <c r="T161" s="258"/>
      <c r="U161" s="149"/>
      <c r="V161" s="149"/>
      <c r="W161" s="257"/>
      <c r="X161" s="258"/>
      <c r="Y161" s="258"/>
      <c r="Z161" s="258"/>
      <c r="AA161" s="258"/>
      <c r="AB161" s="149"/>
      <c r="AC161" s="259"/>
      <c r="AD161" s="149" t="s">
        <v>955</v>
      </c>
      <c r="AE161">
        <f t="shared" si="14"/>
        <v>0</v>
      </c>
      <c r="AF161">
        <f t="shared" si="15"/>
        <v>0</v>
      </c>
      <c r="AG161">
        <f t="shared" si="16"/>
        <v>0</v>
      </c>
      <c r="AH161" t="str">
        <f t="shared" si="13"/>
        <v/>
      </c>
      <c r="AJ161" t="s">
        <v>1375</v>
      </c>
      <c r="AK161" t="s">
        <v>1513</v>
      </c>
    </row>
    <row r="162" spans="1:38" x14ac:dyDescent="0.25">
      <c r="A162" s="256" t="s">
        <v>244</v>
      </c>
      <c r="B162" s="257"/>
      <c r="C162" s="258"/>
      <c r="D162" s="258"/>
      <c r="E162" s="258"/>
      <c r="F162" s="258"/>
      <c r="G162" s="149"/>
      <c r="H162" s="259">
        <v>1</v>
      </c>
      <c r="I162" s="257"/>
      <c r="J162" s="258"/>
      <c r="K162" s="258"/>
      <c r="L162" s="258"/>
      <c r="M162" s="258"/>
      <c r="N162" s="149"/>
      <c r="O162" s="259"/>
      <c r="P162" s="258"/>
      <c r="Q162" s="258"/>
      <c r="R162" s="258"/>
      <c r="S162" s="258"/>
      <c r="T162" s="258"/>
      <c r="U162" s="149"/>
      <c r="V162" s="149"/>
      <c r="W162" s="257"/>
      <c r="X162" s="258"/>
      <c r="Y162" s="258"/>
      <c r="Z162" s="258"/>
      <c r="AA162" s="258"/>
      <c r="AB162" s="149"/>
      <c r="AC162" s="259"/>
      <c r="AD162" s="149" t="s">
        <v>955</v>
      </c>
      <c r="AE162">
        <f t="shared" si="14"/>
        <v>0</v>
      </c>
      <c r="AF162">
        <f t="shared" si="15"/>
        <v>0</v>
      </c>
      <c r="AG162">
        <f t="shared" si="16"/>
        <v>0</v>
      </c>
      <c r="AH162" t="str">
        <f t="shared" si="13"/>
        <v/>
      </c>
      <c r="AK162" t="s">
        <v>1514</v>
      </c>
    </row>
    <row r="163" spans="1:38" x14ac:dyDescent="0.25">
      <c r="A163" s="256" t="s">
        <v>247</v>
      </c>
      <c r="B163" s="257"/>
      <c r="C163" s="258"/>
      <c r="D163" s="258"/>
      <c r="E163" s="258"/>
      <c r="F163" s="258"/>
      <c r="G163" s="149"/>
      <c r="H163" s="259">
        <v>1</v>
      </c>
      <c r="I163" s="257"/>
      <c r="J163" s="258"/>
      <c r="K163" s="258"/>
      <c r="L163" s="258"/>
      <c r="M163" s="258"/>
      <c r="N163" s="149"/>
      <c r="O163" s="259"/>
      <c r="P163" s="258"/>
      <c r="Q163" s="258"/>
      <c r="R163" s="258"/>
      <c r="S163" s="258"/>
      <c r="T163" s="258"/>
      <c r="U163" s="149"/>
      <c r="V163" s="149"/>
      <c r="W163" s="257"/>
      <c r="X163" s="258"/>
      <c r="Y163" s="258"/>
      <c r="Z163" s="258"/>
      <c r="AA163" s="258"/>
      <c r="AB163" s="149"/>
      <c r="AC163" s="259"/>
      <c r="AD163" s="149" t="s">
        <v>955</v>
      </c>
      <c r="AE163">
        <f t="shared" si="14"/>
        <v>0</v>
      </c>
      <c r="AF163">
        <f t="shared" si="15"/>
        <v>0</v>
      </c>
      <c r="AG163">
        <f t="shared" si="16"/>
        <v>0</v>
      </c>
      <c r="AH163" t="str">
        <f t="shared" si="13"/>
        <v/>
      </c>
    </row>
    <row r="164" spans="1:38" x14ac:dyDescent="0.25">
      <c r="A164" s="256" t="s">
        <v>249</v>
      </c>
      <c r="B164" s="257" t="s">
        <v>32</v>
      </c>
      <c r="C164" s="258" t="s">
        <v>32</v>
      </c>
      <c r="D164" s="258" t="s">
        <v>32</v>
      </c>
      <c r="E164" s="258"/>
      <c r="F164" s="258"/>
      <c r="G164" s="149">
        <v>35</v>
      </c>
      <c r="H164" s="259">
        <v>1</v>
      </c>
      <c r="I164" s="257"/>
      <c r="J164" s="258"/>
      <c r="K164" s="258"/>
      <c r="L164" s="258"/>
      <c r="M164" s="258"/>
      <c r="N164" s="149"/>
      <c r="O164" s="259">
        <v>1</v>
      </c>
      <c r="P164" s="258"/>
      <c r="Q164" s="258"/>
      <c r="R164" s="258"/>
      <c r="S164" s="258"/>
      <c r="T164" s="258"/>
      <c r="U164" s="149"/>
      <c r="V164" s="149">
        <v>2</v>
      </c>
      <c r="W164" s="257"/>
      <c r="X164" s="258"/>
      <c r="Y164" s="258"/>
      <c r="Z164" s="258"/>
      <c r="AA164" s="258"/>
      <c r="AB164" s="149"/>
      <c r="AC164" s="259"/>
      <c r="AD164" s="149" t="s">
        <v>955</v>
      </c>
      <c r="AE164">
        <f t="shared" si="14"/>
        <v>35</v>
      </c>
      <c r="AF164">
        <f t="shared" si="15"/>
        <v>0</v>
      </c>
      <c r="AG164">
        <f t="shared" si="16"/>
        <v>0</v>
      </c>
      <c r="AH164" t="str">
        <f t="shared" si="13"/>
        <v/>
      </c>
      <c r="AJ164" t="s">
        <v>1376</v>
      </c>
      <c r="AK164" t="s">
        <v>1515</v>
      </c>
      <c r="AL164" t="s">
        <v>1609</v>
      </c>
    </row>
    <row r="165" spans="1:38" x14ac:dyDescent="0.25">
      <c r="A165" s="256" t="s">
        <v>1201</v>
      </c>
      <c r="B165" s="257"/>
      <c r="C165" s="258"/>
      <c r="D165" s="258"/>
      <c r="E165" s="258"/>
      <c r="F165" s="258"/>
      <c r="G165" s="149"/>
      <c r="H165" s="259">
        <v>1</v>
      </c>
      <c r="I165" s="257"/>
      <c r="J165" s="258"/>
      <c r="K165" s="258"/>
      <c r="L165" s="258"/>
      <c r="M165" s="258"/>
      <c r="N165" s="149"/>
      <c r="O165" s="259">
        <v>2</v>
      </c>
      <c r="P165" s="258"/>
      <c r="Q165" s="258"/>
      <c r="R165" s="258"/>
      <c r="S165" s="258"/>
      <c r="T165" s="258"/>
      <c r="U165" s="149"/>
      <c r="V165" s="149"/>
      <c r="W165" s="257"/>
      <c r="X165" s="258"/>
      <c r="Y165" s="258"/>
      <c r="Z165" s="258"/>
      <c r="AA165" s="258"/>
      <c r="AB165" s="149"/>
      <c r="AC165" s="259"/>
      <c r="AD165" s="149" t="s">
        <v>955</v>
      </c>
      <c r="AE165">
        <f t="shared" si="14"/>
        <v>0</v>
      </c>
      <c r="AF165">
        <f t="shared" si="15"/>
        <v>0</v>
      </c>
      <c r="AG165">
        <f t="shared" si="16"/>
        <v>0</v>
      </c>
      <c r="AH165" t="str">
        <f t="shared" si="13"/>
        <v/>
      </c>
      <c r="AK165" t="s">
        <v>1514</v>
      </c>
    </row>
    <row r="166" spans="1:38" x14ac:dyDescent="0.25">
      <c r="A166" s="256" t="s">
        <v>1202</v>
      </c>
      <c r="B166" s="257"/>
      <c r="C166" s="258"/>
      <c r="D166" s="258"/>
      <c r="E166" s="258"/>
      <c r="F166" s="258"/>
      <c r="G166" s="149"/>
      <c r="H166" s="259">
        <v>2</v>
      </c>
      <c r="I166" s="257"/>
      <c r="J166" s="258"/>
      <c r="K166" s="258"/>
      <c r="L166" s="258"/>
      <c r="M166" s="258"/>
      <c r="N166" s="149"/>
      <c r="O166" s="259">
        <v>2</v>
      </c>
      <c r="P166" s="258"/>
      <c r="Q166" s="258"/>
      <c r="R166" s="258"/>
      <c r="S166" s="258"/>
      <c r="T166" s="258"/>
      <c r="U166" s="149"/>
      <c r="V166" s="149"/>
      <c r="W166" s="257"/>
      <c r="X166" s="258"/>
      <c r="Y166" s="258"/>
      <c r="Z166" s="258"/>
      <c r="AA166" s="258"/>
      <c r="AB166" s="149"/>
      <c r="AC166" s="259"/>
      <c r="AD166" s="149"/>
      <c r="AE166">
        <f t="shared" si="14"/>
        <v>0</v>
      </c>
      <c r="AF166">
        <f t="shared" si="15"/>
        <v>0</v>
      </c>
      <c r="AG166">
        <f t="shared" si="16"/>
        <v>0</v>
      </c>
      <c r="AH166" t="str">
        <f t="shared" si="13"/>
        <v/>
      </c>
      <c r="AK166" t="s">
        <v>1516</v>
      </c>
    </row>
    <row r="167" spans="1:38" x14ac:dyDescent="0.25">
      <c r="A167" s="256" t="s">
        <v>1210</v>
      </c>
      <c r="B167" s="257"/>
      <c r="C167" s="258"/>
      <c r="D167" s="258"/>
      <c r="E167" s="258"/>
      <c r="F167" s="258"/>
      <c r="G167" s="149"/>
      <c r="H167" s="259"/>
      <c r="I167" s="257"/>
      <c r="J167" s="258"/>
      <c r="K167" s="258"/>
      <c r="L167" s="258"/>
      <c r="M167" s="258"/>
      <c r="N167" s="149"/>
      <c r="O167" s="259">
        <v>2</v>
      </c>
      <c r="P167" s="258"/>
      <c r="Q167" s="258"/>
      <c r="R167" s="258"/>
      <c r="S167" s="258"/>
      <c r="T167" s="258"/>
      <c r="U167" s="149"/>
      <c r="V167" s="149"/>
      <c r="W167" s="257"/>
      <c r="X167" s="258"/>
      <c r="Y167" s="258"/>
      <c r="Z167" s="258"/>
      <c r="AA167" s="258"/>
      <c r="AB167" s="149"/>
      <c r="AC167" s="259"/>
      <c r="AD167" s="149"/>
      <c r="AE167">
        <f t="shared" si="14"/>
        <v>0</v>
      </c>
      <c r="AF167">
        <f t="shared" si="15"/>
        <v>0</v>
      </c>
      <c r="AK167" t="s">
        <v>1517</v>
      </c>
    </row>
    <row r="168" spans="1:38" x14ac:dyDescent="0.25">
      <c r="A168" s="256" t="s">
        <v>1211</v>
      </c>
      <c r="B168" s="257" t="s">
        <v>32</v>
      </c>
      <c r="C168" s="258" t="s">
        <v>32</v>
      </c>
      <c r="D168" s="258" t="s">
        <v>32</v>
      </c>
      <c r="E168" s="258"/>
      <c r="F168" s="258"/>
      <c r="G168" s="149">
        <v>35</v>
      </c>
      <c r="H168" s="259">
        <v>1</v>
      </c>
      <c r="I168" s="257"/>
      <c r="J168" s="258"/>
      <c r="K168" s="258"/>
      <c r="L168" s="258"/>
      <c r="M168" s="258"/>
      <c r="N168" s="149"/>
      <c r="O168" s="259">
        <v>1</v>
      </c>
      <c r="P168" s="258"/>
      <c r="Q168" s="258"/>
      <c r="R168" s="258"/>
      <c r="S168" s="258"/>
      <c r="T168" s="258"/>
      <c r="U168" s="149"/>
      <c r="V168" s="149"/>
      <c r="W168" s="257"/>
      <c r="X168" s="258"/>
      <c r="Y168" s="258"/>
      <c r="Z168" s="258"/>
      <c r="AA168" s="258"/>
      <c r="AB168" s="149"/>
      <c r="AC168" s="259"/>
      <c r="AD168" s="149"/>
      <c r="AE168">
        <f t="shared" si="14"/>
        <v>35</v>
      </c>
      <c r="AF168">
        <f t="shared" si="15"/>
        <v>0</v>
      </c>
      <c r="AK168" t="s">
        <v>1518</v>
      </c>
    </row>
    <row r="169" spans="1:38" x14ac:dyDescent="0.25">
      <c r="A169" s="256" t="s">
        <v>1203</v>
      </c>
      <c r="B169" s="257"/>
      <c r="C169" s="258"/>
      <c r="D169" s="258"/>
      <c r="E169" s="258"/>
      <c r="F169" s="258"/>
      <c r="G169" s="149"/>
      <c r="H169" s="259">
        <v>2</v>
      </c>
      <c r="I169" s="257"/>
      <c r="J169" s="258"/>
      <c r="K169" s="258"/>
      <c r="L169" s="258"/>
      <c r="M169" s="258"/>
      <c r="N169" s="149"/>
      <c r="O169" s="259">
        <v>2</v>
      </c>
      <c r="P169" s="258"/>
      <c r="Q169" s="258"/>
      <c r="R169" s="258"/>
      <c r="S169" s="258"/>
      <c r="T169" s="258"/>
      <c r="U169" s="149"/>
      <c r="V169" s="149"/>
      <c r="W169" s="257"/>
      <c r="X169" s="258"/>
      <c r="Y169" s="258"/>
      <c r="Z169" s="258"/>
      <c r="AA169" s="258"/>
      <c r="AB169" s="149"/>
      <c r="AC169" s="259"/>
      <c r="AD169" s="149"/>
      <c r="AE169">
        <f t="shared" si="14"/>
        <v>0</v>
      </c>
      <c r="AF169">
        <f t="shared" si="15"/>
        <v>0</v>
      </c>
      <c r="AG169">
        <f t="shared" si="16"/>
        <v>0</v>
      </c>
      <c r="AH169" t="str">
        <f t="shared" si="13"/>
        <v/>
      </c>
      <c r="AK169" t="s">
        <v>1519</v>
      </c>
    </row>
    <row r="170" spans="1:38" x14ac:dyDescent="0.25">
      <c r="A170" s="256" t="s">
        <v>253</v>
      </c>
      <c r="B170" s="257" t="s">
        <v>32</v>
      </c>
      <c r="C170" s="258" t="s">
        <v>32</v>
      </c>
      <c r="D170" s="258" t="s">
        <v>32</v>
      </c>
      <c r="E170" s="258"/>
      <c r="F170" s="258"/>
      <c r="G170" s="149">
        <v>35</v>
      </c>
      <c r="H170" s="259">
        <v>2</v>
      </c>
      <c r="I170" s="257"/>
      <c r="J170" s="258"/>
      <c r="K170" s="258"/>
      <c r="L170" s="258"/>
      <c r="M170" s="258"/>
      <c r="N170" s="149"/>
      <c r="O170" s="259">
        <v>1</v>
      </c>
      <c r="P170" s="258"/>
      <c r="Q170" s="258"/>
      <c r="R170" s="258"/>
      <c r="S170" s="258"/>
      <c r="T170" s="258"/>
      <c r="U170" s="149"/>
      <c r="V170" s="149"/>
      <c r="W170" s="257"/>
      <c r="X170" s="258"/>
      <c r="Y170" s="258"/>
      <c r="Z170" s="258"/>
      <c r="AA170" s="258"/>
      <c r="AB170" s="149"/>
      <c r="AC170" s="259"/>
      <c r="AD170" s="149" t="s">
        <v>955</v>
      </c>
      <c r="AE170">
        <f t="shared" si="14"/>
        <v>35</v>
      </c>
      <c r="AF170">
        <f t="shared" si="15"/>
        <v>0</v>
      </c>
      <c r="AG170">
        <f t="shared" si="16"/>
        <v>0</v>
      </c>
      <c r="AH170" t="str">
        <f t="shared" si="13"/>
        <v/>
      </c>
      <c r="AJ170" t="s">
        <v>1377</v>
      </c>
    </row>
    <row r="171" spans="1:38" x14ac:dyDescent="0.25">
      <c r="A171" s="256" t="s">
        <v>256</v>
      </c>
      <c r="B171" s="257" t="s">
        <v>32</v>
      </c>
      <c r="C171" s="258" t="s">
        <v>32</v>
      </c>
      <c r="D171" s="258" t="s">
        <v>32</v>
      </c>
      <c r="E171" s="258"/>
      <c r="F171" s="258"/>
      <c r="G171" s="149">
        <v>35</v>
      </c>
      <c r="H171" s="259">
        <v>1</v>
      </c>
      <c r="I171" s="257"/>
      <c r="J171" s="258"/>
      <c r="K171" s="258"/>
      <c r="L171" s="258"/>
      <c r="M171" s="258"/>
      <c r="N171" s="149"/>
      <c r="O171" s="259">
        <v>2</v>
      </c>
      <c r="P171" s="258"/>
      <c r="Q171" s="258"/>
      <c r="R171" s="258"/>
      <c r="S171" s="258"/>
      <c r="T171" s="258"/>
      <c r="U171" s="149"/>
      <c r="V171" s="149"/>
      <c r="W171" s="257"/>
      <c r="X171" s="258"/>
      <c r="Y171" s="258"/>
      <c r="Z171" s="258"/>
      <c r="AA171" s="258"/>
      <c r="AB171" s="149"/>
      <c r="AC171" s="259"/>
      <c r="AD171" s="149"/>
      <c r="AE171">
        <f t="shared" si="14"/>
        <v>35</v>
      </c>
      <c r="AF171">
        <f t="shared" si="15"/>
        <v>0</v>
      </c>
      <c r="AG171">
        <f t="shared" si="16"/>
        <v>0</v>
      </c>
      <c r="AH171" t="str">
        <f t="shared" si="13"/>
        <v/>
      </c>
      <c r="AJ171" t="s">
        <v>1378</v>
      </c>
    </row>
    <row r="172" spans="1:38" x14ac:dyDescent="0.25">
      <c r="A172" s="256" t="s">
        <v>259</v>
      </c>
      <c r="B172" s="257"/>
      <c r="C172" s="258"/>
      <c r="D172" s="258"/>
      <c r="E172" s="258"/>
      <c r="F172" s="258"/>
      <c r="G172" s="149"/>
      <c r="H172" s="259">
        <v>1</v>
      </c>
      <c r="I172" s="257"/>
      <c r="J172" s="258"/>
      <c r="K172" s="258"/>
      <c r="L172" s="258"/>
      <c r="M172" s="258"/>
      <c r="N172" s="149"/>
      <c r="O172" s="259">
        <v>1</v>
      </c>
      <c r="P172" s="258"/>
      <c r="Q172" s="258"/>
      <c r="R172" s="258"/>
      <c r="S172" s="258"/>
      <c r="T172" s="258"/>
      <c r="U172" s="149"/>
      <c r="V172" s="149"/>
      <c r="W172" s="257"/>
      <c r="X172" s="258"/>
      <c r="Y172" s="258"/>
      <c r="Z172" s="258"/>
      <c r="AA172" s="258"/>
      <c r="AB172" s="149"/>
      <c r="AC172" s="259"/>
      <c r="AD172" s="149" t="s">
        <v>955</v>
      </c>
      <c r="AE172">
        <f t="shared" si="14"/>
        <v>0</v>
      </c>
      <c r="AF172">
        <f t="shared" si="15"/>
        <v>0</v>
      </c>
      <c r="AG172">
        <f t="shared" si="16"/>
        <v>0</v>
      </c>
      <c r="AH172" t="str">
        <f t="shared" si="13"/>
        <v/>
      </c>
      <c r="AJ172" t="s">
        <v>1379</v>
      </c>
    </row>
    <row r="173" spans="1:38" x14ac:dyDescent="0.25">
      <c r="A173" s="256" t="s">
        <v>262</v>
      </c>
      <c r="B173" s="257" t="s">
        <v>32</v>
      </c>
      <c r="C173" s="258"/>
      <c r="D173" s="258" t="s">
        <v>32</v>
      </c>
      <c r="E173" s="258"/>
      <c r="F173" s="258"/>
      <c r="G173" s="149">
        <v>30</v>
      </c>
      <c r="H173" s="259">
        <v>3</v>
      </c>
      <c r="I173" s="257"/>
      <c r="J173" s="258"/>
      <c r="K173" s="258"/>
      <c r="L173" s="258"/>
      <c r="M173" s="258"/>
      <c r="N173" s="149"/>
      <c r="O173" s="259">
        <v>2</v>
      </c>
      <c r="P173" s="258"/>
      <c r="Q173" s="258"/>
      <c r="R173" s="258"/>
      <c r="S173" s="258"/>
      <c r="T173" s="258"/>
      <c r="U173" s="149"/>
      <c r="V173" s="149"/>
      <c r="W173" s="257"/>
      <c r="X173" s="258"/>
      <c r="Y173" s="258"/>
      <c r="Z173" s="258"/>
      <c r="AA173" s="258"/>
      <c r="AB173" s="149"/>
      <c r="AC173" s="259"/>
      <c r="AD173" s="149" t="s">
        <v>955</v>
      </c>
      <c r="AE173">
        <f t="shared" si="14"/>
        <v>30</v>
      </c>
      <c r="AF173">
        <f t="shared" si="15"/>
        <v>0</v>
      </c>
      <c r="AG173">
        <f t="shared" si="16"/>
        <v>0</v>
      </c>
      <c r="AH173" t="str">
        <f t="shared" si="13"/>
        <v/>
      </c>
      <c r="AJ173" t="s">
        <v>1380</v>
      </c>
      <c r="AK173" t="s">
        <v>1520</v>
      </c>
    </row>
    <row r="174" spans="1:38" x14ac:dyDescent="0.25">
      <c r="A174" s="256" t="s">
        <v>265</v>
      </c>
      <c r="B174" s="257"/>
      <c r="C174" s="258"/>
      <c r="D174" s="258"/>
      <c r="E174" s="258"/>
      <c r="F174" s="258"/>
      <c r="G174" s="149"/>
      <c r="H174" s="259">
        <v>3</v>
      </c>
      <c r="I174" s="257"/>
      <c r="J174" s="258"/>
      <c r="K174" s="258"/>
      <c r="L174" s="258"/>
      <c r="M174" s="258"/>
      <c r="N174" s="149"/>
      <c r="O174" s="259"/>
      <c r="P174" s="258"/>
      <c r="Q174" s="258"/>
      <c r="R174" s="258"/>
      <c r="S174" s="258"/>
      <c r="T174" s="258"/>
      <c r="U174" s="149"/>
      <c r="V174" s="149"/>
      <c r="W174" s="257"/>
      <c r="X174" s="258"/>
      <c r="Y174" s="258"/>
      <c r="Z174" s="258"/>
      <c r="AA174" s="258"/>
      <c r="AB174" s="149"/>
      <c r="AC174" s="259"/>
      <c r="AD174" s="149" t="s">
        <v>955</v>
      </c>
      <c r="AE174">
        <f t="shared" si="14"/>
        <v>0</v>
      </c>
      <c r="AF174">
        <f t="shared" si="15"/>
        <v>0</v>
      </c>
      <c r="AG174">
        <f t="shared" si="16"/>
        <v>0</v>
      </c>
      <c r="AH174" t="str">
        <f t="shared" si="13"/>
        <v/>
      </c>
      <c r="AJ174" t="s">
        <v>1381</v>
      </c>
    </row>
    <row r="175" spans="1:38" x14ac:dyDescent="0.25">
      <c r="A175" s="256" t="s">
        <v>609</v>
      </c>
      <c r="B175" s="257"/>
      <c r="C175" s="258"/>
      <c r="D175" s="261"/>
      <c r="E175" s="261"/>
      <c r="F175" s="261"/>
      <c r="G175" s="262"/>
      <c r="H175" s="263"/>
      <c r="I175" s="257"/>
      <c r="J175" s="258"/>
      <c r="K175" s="258"/>
      <c r="L175" s="258"/>
      <c r="M175" s="258"/>
      <c r="N175" s="149"/>
      <c r="O175" s="259">
        <v>2</v>
      </c>
      <c r="P175" s="258"/>
      <c r="Q175" s="258"/>
      <c r="R175" s="258"/>
      <c r="S175" s="258"/>
      <c r="T175" s="258"/>
      <c r="U175" s="149"/>
      <c r="V175" s="149"/>
      <c r="W175" s="257"/>
      <c r="X175" s="258"/>
      <c r="Y175" s="258"/>
      <c r="Z175" s="258"/>
      <c r="AA175" s="258"/>
      <c r="AB175" s="149"/>
      <c r="AC175" s="259"/>
      <c r="AD175" s="149"/>
      <c r="AE175">
        <f t="shared" si="14"/>
        <v>0</v>
      </c>
      <c r="AF175">
        <f t="shared" si="15"/>
        <v>0</v>
      </c>
      <c r="AG175">
        <f t="shared" si="16"/>
        <v>0</v>
      </c>
      <c r="AH175" t="str">
        <f t="shared" si="13"/>
        <v/>
      </c>
    </row>
    <row r="176" spans="1:38" x14ac:dyDescent="0.25">
      <c r="A176" s="256" t="s">
        <v>267</v>
      </c>
      <c r="B176" s="257"/>
      <c r="C176" s="258"/>
      <c r="D176" s="258"/>
      <c r="E176" s="258"/>
      <c r="F176" s="258"/>
      <c r="G176" s="149"/>
      <c r="H176" s="259">
        <v>3</v>
      </c>
      <c r="I176" s="257"/>
      <c r="J176" s="258"/>
      <c r="K176" s="258"/>
      <c r="L176" s="258"/>
      <c r="M176" s="258"/>
      <c r="N176" s="149"/>
      <c r="O176" s="259">
        <v>2</v>
      </c>
      <c r="P176" s="258"/>
      <c r="Q176" s="258"/>
      <c r="R176" s="258"/>
      <c r="S176" s="258"/>
      <c r="T176" s="258"/>
      <c r="U176" s="149"/>
      <c r="V176" s="149"/>
      <c r="W176" s="257"/>
      <c r="X176" s="258"/>
      <c r="Y176" s="258"/>
      <c r="Z176" s="258"/>
      <c r="AA176" s="258"/>
      <c r="AB176" s="149"/>
      <c r="AC176" s="259"/>
      <c r="AD176" s="149" t="s">
        <v>955</v>
      </c>
      <c r="AE176">
        <f t="shared" si="14"/>
        <v>0</v>
      </c>
      <c r="AF176">
        <f t="shared" si="15"/>
        <v>0</v>
      </c>
      <c r="AG176">
        <f t="shared" si="16"/>
        <v>0</v>
      </c>
      <c r="AH176" t="str">
        <f t="shared" si="13"/>
        <v/>
      </c>
      <c r="AJ176" t="s">
        <v>1382</v>
      </c>
      <c r="AK176" t="s">
        <v>1525</v>
      </c>
      <c r="AL176" t="s">
        <v>1610</v>
      </c>
    </row>
    <row r="177" spans="1:38" x14ac:dyDescent="0.25">
      <c r="A177" s="256" t="s">
        <v>270</v>
      </c>
      <c r="B177" s="257" t="s">
        <v>32</v>
      </c>
      <c r="C177" s="258" t="s">
        <v>32</v>
      </c>
      <c r="D177" s="258" t="s">
        <v>32</v>
      </c>
      <c r="E177" s="258"/>
      <c r="F177" s="258"/>
      <c r="G177" s="149">
        <v>30</v>
      </c>
      <c r="H177" s="259">
        <v>2</v>
      </c>
      <c r="I177" s="257"/>
      <c r="J177" s="258"/>
      <c r="K177" s="258"/>
      <c r="L177" s="258"/>
      <c r="M177" s="258"/>
      <c r="N177" s="149"/>
      <c r="O177" s="259">
        <v>1</v>
      </c>
      <c r="P177" s="258"/>
      <c r="Q177" s="258"/>
      <c r="R177" s="258"/>
      <c r="S177" s="258"/>
      <c r="T177" s="258"/>
      <c r="U177" s="149"/>
      <c r="V177" s="149">
        <v>2</v>
      </c>
      <c r="W177" s="257"/>
      <c r="X177" s="258"/>
      <c r="Y177" s="258"/>
      <c r="Z177" s="258"/>
      <c r="AA177" s="258"/>
      <c r="AB177" s="149"/>
      <c r="AC177" s="259"/>
      <c r="AD177" s="149" t="s">
        <v>955</v>
      </c>
      <c r="AE177">
        <f t="shared" si="14"/>
        <v>30</v>
      </c>
      <c r="AF177">
        <f t="shared" si="15"/>
        <v>0</v>
      </c>
      <c r="AG177">
        <f t="shared" si="16"/>
        <v>0</v>
      </c>
      <c r="AH177" t="str">
        <f t="shared" si="13"/>
        <v/>
      </c>
      <c r="AJ177" t="s">
        <v>1383</v>
      </c>
      <c r="AK177" t="s">
        <v>1521</v>
      </c>
    </row>
    <row r="178" spans="1:38" x14ac:dyDescent="0.25">
      <c r="A178" s="256" t="s">
        <v>273</v>
      </c>
      <c r="B178" s="257" t="s">
        <v>32</v>
      </c>
      <c r="C178" s="258"/>
      <c r="D178" s="258" t="s">
        <v>32</v>
      </c>
      <c r="E178" s="258" t="s">
        <v>32</v>
      </c>
      <c r="F178" s="258"/>
      <c r="G178" s="149">
        <v>30</v>
      </c>
      <c r="H178" s="259">
        <v>1</v>
      </c>
      <c r="I178" s="257" t="s">
        <v>32</v>
      </c>
      <c r="J178" s="258" t="s">
        <v>32</v>
      </c>
      <c r="K178" s="258" t="s">
        <v>32</v>
      </c>
      <c r="L178" s="258"/>
      <c r="M178" s="258"/>
      <c r="N178" s="149">
        <v>35</v>
      </c>
      <c r="O178" s="259">
        <v>2</v>
      </c>
      <c r="P178" s="258"/>
      <c r="Q178" s="258"/>
      <c r="R178" s="258"/>
      <c r="S178" s="258"/>
      <c r="T178" s="258"/>
      <c r="U178" s="149"/>
      <c r="V178" s="149">
        <v>1</v>
      </c>
      <c r="W178" s="257"/>
      <c r="X178" s="258"/>
      <c r="Y178" s="258"/>
      <c r="Z178" s="258"/>
      <c r="AA178" s="258"/>
      <c r="AB178" s="149"/>
      <c r="AC178" s="259"/>
      <c r="AD178" s="149" t="s">
        <v>955</v>
      </c>
      <c r="AE178">
        <f t="shared" si="14"/>
        <v>30</v>
      </c>
      <c r="AF178">
        <f t="shared" si="15"/>
        <v>35</v>
      </c>
      <c r="AG178">
        <f t="shared" si="16"/>
        <v>0</v>
      </c>
      <c r="AH178" t="str">
        <f t="shared" si="13"/>
        <v/>
      </c>
      <c r="AJ178" t="s">
        <v>1384</v>
      </c>
      <c r="AK178" t="s">
        <v>1522</v>
      </c>
      <c r="AL178" t="s">
        <v>1611</v>
      </c>
    </row>
    <row r="179" spans="1:38" x14ac:dyDescent="0.25">
      <c r="A179" s="256" t="s">
        <v>1222</v>
      </c>
      <c r="B179" s="257"/>
      <c r="C179" s="258"/>
      <c r="D179" s="258"/>
      <c r="E179" s="258"/>
      <c r="F179" s="258"/>
      <c r="G179" s="149"/>
      <c r="H179" s="259">
        <v>2</v>
      </c>
      <c r="I179" s="257"/>
      <c r="J179" s="258"/>
      <c r="K179" s="258"/>
      <c r="L179" s="258"/>
      <c r="M179" s="258"/>
      <c r="N179" s="149"/>
      <c r="O179" s="259"/>
      <c r="P179" s="258"/>
      <c r="Q179" s="258"/>
      <c r="R179" s="258"/>
      <c r="S179" s="258"/>
      <c r="T179" s="258"/>
      <c r="U179" s="149"/>
      <c r="V179" s="149"/>
      <c r="W179" s="257"/>
      <c r="X179" s="258"/>
      <c r="Y179" s="258"/>
      <c r="Z179" s="258"/>
      <c r="AA179" s="258"/>
      <c r="AB179" s="149"/>
      <c r="AC179" s="259"/>
      <c r="AD179" s="149"/>
      <c r="AE179">
        <f t="shared" si="14"/>
        <v>0</v>
      </c>
      <c r="AJ179" t="s">
        <v>1385</v>
      </c>
      <c r="AK179" t="s">
        <v>1526</v>
      </c>
    </row>
    <row r="180" spans="1:38" x14ac:dyDescent="0.25">
      <c r="A180" s="256" t="s">
        <v>984</v>
      </c>
      <c r="B180" s="257"/>
      <c r="C180" s="258"/>
      <c r="D180" s="258"/>
      <c r="E180" s="258"/>
      <c r="F180" s="258"/>
      <c r="G180" s="149"/>
      <c r="H180" s="259"/>
      <c r="I180" s="257"/>
      <c r="J180" s="258"/>
      <c r="K180" s="258"/>
      <c r="L180" s="258"/>
      <c r="M180" s="258"/>
      <c r="N180" s="149"/>
      <c r="O180" s="259"/>
      <c r="P180" s="258"/>
      <c r="Q180" s="258"/>
      <c r="R180" s="258"/>
      <c r="S180" s="258"/>
      <c r="T180" s="258"/>
      <c r="U180" s="149"/>
      <c r="V180" s="149"/>
      <c r="W180" s="257"/>
      <c r="X180" s="258"/>
      <c r="Y180" s="258"/>
      <c r="Z180" s="258"/>
      <c r="AA180" s="258"/>
      <c r="AB180" s="149"/>
      <c r="AC180" s="259"/>
      <c r="AD180" s="149"/>
      <c r="AE180">
        <f t="shared" si="14"/>
        <v>0</v>
      </c>
      <c r="AF180">
        <f t="shared" si="15"/>
        <v>0</v>
      </c>
      <c r="AG180">
        <f t="shared" si="16"/>
        <v>0</v>
      </c>
      <c r="AH180" t="str">
        <f t="shared" si="13"/>
        <v/>
      </c>
      <c r="AJ180" t="s">
        <v>1386</v>
      </c>
      <c r="AK180" t="s">
        <v>1523</v>
      </c>
    </row>
    <row r="181" spans="1:38" x14ac:dyDescent="0.25">
      <c r="A181" s="256" t="s">
        <v>276</v>
      </c>
      <c r="B181" s="257"/>
      <c r="C181" s="258"/>
      <c r="D181" s="258"/>
      <c r="E181" s="258"/>
      <c r="F181" s="258"/>
      <c r="G181" s="149"/>
      <c r="H181" s="259">
        <v>2</v>
      </c>
      <c r="I181" s="257"/>
      <c r="J181" s="258"/>
      <c r="K181" s="258"/>
      <c r="L181" s="258"/>
      <c r="M181" s="258"/>
      <c r="N181" s="149"/>
      <c r="O181" s="259">
        <v>2</v>
      </c>
      <c r="P181" s="258"/>
      <c r="Q181" s="258"/>
      <c r="R181" s="258"/>
      <c r="S181" s="258"/>
      <c r="T181" s="258"/>
      <c r="U181" s="149"/>
      <c r="V181" s="149"/>
      <c r="W181" s="257"/>
      <c r="X181" s="258"/>
      <c r="Y181" s="258"/>
      <c r="Z181" s="258"/>
      <c r="AA181" s="258"/>
      <c r="AB181" s="149"/>
      <c r="AC181" s="259"/>
      <c r="AD181" s="149" t="s">
        <v>955</v>
      </c>
      <c r="AE181">
        <f t="shared" si="14"/>
        <v>0</v>
      </c>
      <c r="AF181">
        <f t="shared" si="15"/>
        <v>0</v>
      </c>
      <c r="AG181">
        <f t="shared" si="16"/>
        <v>0</v>
      </c>
      <c r="AH181" t="str">
        <f t="shared" si="13"/>
        <v/>
      </c>
      <c r="AJ181" t="s">
        <v>1387</v>
      </c>
      <c r="AK181" t="s">
        <v>1524</v>
      </c>
    </row>
    <row r="182" spans="1:38" x14ac:dyDescent="0.25">
      <c r="A182" s="256" t="s">
        <v>1816</v>
      </c>
      <c r="B182" s="257"/>
      <c r="C182" s="258"/>
      <c r="D182" s="258"/>
      <c r="E182" s="258"/>
      <c r="F182" s="258"/>
      <c r="G182" s="149"/>
      <c r="H182" s="259"/>
      <c r="I182" s="257"/>
      <c r="J182" s="258"/>
      <c r="K182" s="258"/>
      <c r="L182" s="258"/>
      <c r="M182" s="258"/>
      <c r="N182" s="149"/>
      <c r="O182" s="259"/>
      <c r="P182" s="258"/>
      <c r="Q182" s="258"/>
      <c r="R182" s="258"/>
      <c r="S182" s="258"/>
      <c r="T182" s="258"/>
      <c r="U182" s="149"/>
      <c r="V182" s="149"/>
      <c r="W182" s="257"/>
      <c r="X182" s="258"/>
      <c r="Y182" s="258"/>
      <c r="Z182" s="258"/>
      <c r="AA182" s="258"/>
      <c r="AB182" s="149"/>
      <c r="AC182" s="259"/>
      <c r="AD182" s="149"/>
    </row>
    <row r="183" spans="1:38" x14ac:dyDescent="0.25">
      <c r="A183" s="256" t="s">
        <v>612</v>
      </c>
      <c r="B183" s="257"/>
      <c r="C183" s="258"/>
      <c r="D183" s="261"/>
      <c r="E183" s="261"/>
      <c r="F183" s="261"/>
      <c r="G183" s="262"/>
      <c r="H183" s="263"/>
      <c r="I183" s="257"/>
      <c r="J183" s="258"/>
      <c r="K183" s="258"/>
      <c r="L183" s="258"/>
      <c r="M183" s="258"/>
      <c r="N183" s="149"/>
      <c r="O183" s="259">
        <v>2</v>
      </c>
      <c r="P183" s="258"/>
      <c r="Q183" s="258"/>
      <c r="R183" s="258"/>
      <c r="S183" s="258"/>
      <c r="T183" s="258"/>
      <c r="U183" s="149"/>
      <c r="V183" s="149"/>
      <c r="W183" s="257"/>
      <c r="X183" s="258"/>
      <c r="Y183" s="258"/>
      <c r="Z183" s="258"/>
      <c r="AA183" s="258"/>
      <c r="AB183" s="149"/>
      <c r="AC183" s="259"/>
      <c r="AD183" s="149"/>
      <c r="AE183">
        <f t="shared" si="14"/>
        <v>0</v>
      </c>
      <c r="AF183">
        <f t="shared" si="15"/>
        <v>0</v>
      </c>
      <c r="AG183">
        <f t="shared" si="16"/>
        <v>0</v>
      </c>
      <c r="AH183" t="str">
        <f t="shared" si="13"/>
        <v/>
      </c>
    </row>
    <row r="184" spans="1:38" x14ac:dyDescent="0.25">
      <c r="A184" s="256" t="s">
        <v>278</v>
      </c>
      <c r="B184" s="257" t="s">
        <v>32</v>
      </c>
      <c r="C184" s="258"/>
      <c r="D184" s="258" t="s">
        <v>32</v>
      </c>
      <c r="E184" s="258" t="s">
        <v>32</v>
      </c>
      <c r="F184" s="258" t="s">
        <v>32</v>
      </c>
      <c r="G184" s="149">
        <v>30</v>
      </c>
      <c r="H184" s="259">
        <v>2</v>
      </c>
      <c r="I184" s="257"/>
      <c r="J184" s="258"/>
      <c r="K184" s="258"/>
      <c r="L184" s="258"/>
      <c r="M184" s="258"/>
      <c r="N184" s="149"/>
      <c r="O184" s="259"/>
      <c r="P184" s="258"/>
      <c r="Q184" s="258"/>
      <c r="R184" s="258"/>
      <c r="S184" s="258"/>
      <c r="T184" s="258"/>
      <c r="U184" s="149"/>
      <c r="V184" s="149"/>
      <c r="W184" s="257"/>
      <c r="X184" s="258"/>
      <c r="Y184" s="258"/>
      <c r="Z184" s="258"/>
      <c r="AA184" s="258"/>
      <c r="AB184" s="149"/>
      <c r="AC184" s="259"/>
      <c r="AD184" s="149" t="s">
        <v>955</v>
      </c>
      <c r="AE184">
        <f t="shared" si="14"/>
        <v>30</v>
      </c>
      <c r="AF184">
        <f t="shared" si="15"/>
        <v>0</v>
      </c>
      <c r="AG184">
        <f t="shared" si="16"/>
        <v>0</v>
      </c>
      <c r="AH184" t="str">
        <f t="shared" si="13"/>
        <v/>
      </c>
      <c r="AJ184" t="s">
        <v>1388</v>
      </c>
    </row>
    <row r="185" spans="1:38" x14ac:dyDescent="0.25">
      <c r="A185" s="256" t="s">
        <v>281</v>
      </c>
      <c r="B185" s="257" t="s">
        <v>32</v>
      </c>
      <c r="C185" s="258"/>
      <c r="D185" s="258" t="s">
        <v>32</v>
      </c>
      <c r="E185" s="258" t="s">
        <v>32</v>
      </c>
      <c r="F185" s="258" t="s">
        <v>32</v>
      </c>
      <c r="G185" s="149">
        <v>30</v>
      </c>
      <c r="H185" s="259">
        <v>2</v>
      </c>
      <c r="I185" s="257"/>
      <c r="J185" s="258"/>
      <c r="K185" s="258"/>
      <c r="L185" s="258"/>
      <c r="M185" s="258"/>
      <c r="N185" s="149"/>
      <c r="O185" s="259"/>
      <c r="P185" s="258"/>
      <c r="Q185" s="258"/>
      <c r="R185" s="258"/>
      <c r="S185" s="258"/>
      <c r="T185" s="258"/>
      <c r="U185" s="149"/>
      <c r="V185" s="149"/>
      <c r="W185" s="257"/>
      <c r="X185" s="258"/>
      <c r="Y185" s="258"/>
      <c r="Z185" s="258"/>
      <c r="AA185" s="258"/>
      <c r="AB185" s="149"/>
      <c r="AC185" s="259"/>
      <c r="AD185" s="149" t="s">
        <v>955</v>
      </c>
      <c r="AE185">
        <f t="shared" si="14"/>
        <v>30</v>
      </c>
      <c r="AF185">
        <f t="shared" si="15"/>
        <v>0</v>
      </c>
      <c r="AG185">
        <f t="shared" si="16"/>
        <v>0</v>
      </c>
      <c r="AH185" t="str">
        <f t="shared" si="13"/>
        <v/>
      </c>
      <c r="AJ185" t="s">
        <v>1389</v>
      </c>
    </row>
    <row r="186" spans="1:38" x14ac:dyDescent="0.25">
      <c r="A186" s="256" t="s">
        <v>284</v>
      </c>
      <c r="B186" s="257" t="s">
        <v>32</v>
      </c>
      <c r="C186" s="258"/>
      <c r="D186" s="258" t="s">
        <v>32</v>
      </c>
      <c r="E186" s="258"/>
      <c r="F186" s="258"/>
      <c r="G186" s="149">
        <v>30</v>
      </c>
      <c r="H186" s="259">
        <v>1</v>
      </c>
      <c r="I186" s="257" t="s">
        <v>32</v>
      </c>
      <c r="J186" s="258" t="s">
        <v>32</v>
      </c>
      <c r="K186" s="258" t="s">
        <v>32</v>
      </c>
      <c r="L186" s="258"/>
      <c r="M186" s="258"/>
      <c r="N186" s="149">
        <v>35</v>
      </c>
      <c r="O186" s="259">
        <v>2</v>
      </c>
      <c r="P186" s="258"/>
      <c r="Q186" s="258"/>
      <c r="R186" s="258"/>
      <c r="S186" s="258"/>
      <c r="T186" s="258"/>
      <c r="U186" s="149"/>
      <c r="V186" s="149">
        <v>2</v>
      </c>
      <c r="W186" s="257"/>
      <c r="X186" s="258"/>
      <c r="Y186" s="258"/>
      <c r="Z186" s="258"/>
      <c r="AA186" s="258"/>
      <c r="AB186" s="149"/>
      <c r="AC186" s="259"/>
      <c r="AD186" s="149" t="s">
        <v>955</v>
      </c>
      <c r="AE186">
        <f t="shared" si="14"/>
        <v>30</v>
      </c>
      <c r="AF186">
        <f t="shared" si="15"/>
        <v>35</v>
      </c>
      <c r="AG186">
        <f t="shared" si="16"/>
        <v>0</v>
      </c>
      <c r="AH186" t="str">
        <f t="shared" si="13"/>
        <v/>
      </c>
      <c r="AJ186" t="s">
        <v>1390</v>
      </c>
      <c r="AK186" t="s">
        <v>1527</v>
      </c>
      <c r="AL186" t="s">
        <v>1612</v>
      </c>
    </row>
    <row r="187" spans="1:38" x14ac:dyDescent="0.25">
      <c r="A187" s="256" t="s">
        <v>287</v>
      </c>
      <c r="B187" s="257"/>
      <c r="C187" s="258"/>
      <c r="D187" s="258"/>
      <c r="E187" s="258"/>
      <c r="F187" s="258"/>
      <c r="G187" s="149">
        <v>30</v>
      </c>
      <c r="H187" s="259">
        <v>2</v>
      </c>
      <c r="I187" s="257"/>
      <c r="J187" s="258"/>
      <c r="K187" s="258"/>
      <c r="L187" s="258"/>
      <c r="M187" s="258"/>
      <c r="N187" s="149"/>
      <c r="O187" s="259">
        <v>1</v>
      </c>
      <c r="P187" s="258"/>
      <c r="Q187" s="258"/>
      <c r="R187" s="258"/>
      <c r="S187" s="258"/>
      <c r="T187" s="258"/>
      <c r="U187" s="149"/>
      <c r="V187" s="149">
        <v>1</v>
      </c>
      <c r="W187" s="257"/>
      <c r="X187" s="258"/>
      <c r="Y187" s="258"/>
      <c r="Z187" s="258"/>
      <c r="AA187" s="258"/>
      <c r="AB187" s="149"/>
      <c r="AC187" s="259"/>
      <c r="AD187" s="149" t="s">
        <v>955</v>
      </c>
      <c r="AE187">
        <f t="shared" si="14"/>
        <v>30</v>
      </c>
      <c r="AF187">
        <f t="shared" si="15"/>
        <v>0</v>
      </c>
      <c r="AG187">
        <f t="shared" si="16"/>
        <v>0</v>
      </c>
      <c r="AH187" t="str">
        <f t="shared" si="13"/>
        <v/>
      </c>
      <c r="AJ187" t="s">
        <v>1391</v>
      </c>
      <c r="AK187" t="s">
        <v>1528</v>
      </c>
      <c r="AL187" t="s">
        <v>1614</v>
      </c>
    </row>
    <row r="188" spans="1:38" x14ac:dyDescent="0.25">
      <c r="A188" s="256" t="s">
        <v>290</v>
      </c>
      <c r="B188" s="257"/>
      <c r="C188" s="258"/>
      <c r="D188" s="258"/>
      <c r="E188" s="258"/>
      <c r="F188" s="258"/>
      <c r="G188" s="149"/>
      <c r="H188" s="259">
        <v>2</v>
      </c>
      <c r="I188" s="257"/>
      <c r="J188" s="258"/>
      <c r="K188" s="258"/>
      <c r="L188" s="258"/>
      <c r="M188" s="258"/>
      <c r="N188" s="149"/>
      <c r="O188" s="259">
        <v>2</v>
      </c>
      <c r="P188" s="258"/>
      <c r="Q188" s="258"/>
      <c r="R188" s="258"/>
      <c r="S188" s="258"/>
      <c r="T188" s="258"/>
      <c r="U188" s="149"/>
      <c r="V188" s="149">
        <v>2</v>
      </c>
      <c r="W188" s="257"/>
      <c r="X188" s="258"/>
      <c r="Y188" s="258"/>
      <c r="Z188" s="258"/>
      <c r="AA188" s="258"/>
      <c r="AB188" s="149"/>
      <c r="AC188" s="259"/>
      <c r="AD188" s="149" t="s">
        <v>955</v>
      </c>
      <c r="AE188">
        <f t="shared" si="14"/>
        <v>0</v>
      </c>
      <c r="AF188">
        <f t="shared" si="15"/>
        <v>0</v>
      </c>
      <c r="AG188">
        <f t="shared" si="16"/>
        <v>0</v>
      </c>
      <c r="AH188" t="str">
        <f t="shared" si="13"/>
        <v/>
      </c>
      <c r="AJ188" t="s">
        <v>1392</v>
      </c>
      <c r="AK188" t="s">
        <v>1529</v>
      </c>
      <c r="AL188" t="s">
        <v>1613</v>
      </c>
    </row>
    <row r="189" spans="1:38" x14ac:dyDescent="0.25">
      <c r="A189" s="256" t="s">
        <v>293</v>
      </c>
      <c r="B189" s="257"/>
      <c r="C189" s="258"/>
      <c r="D189" s="258"/>
      <c r="E189" s="258"/>
      <c r="F189" s="258"/>
      <c r="G189" s="149"/>
      <c r="H189" s="259">
        <v>1</v>
      </c>
      <c r="I189" s="257"/>
      <c r="J189" s="258"/>
      <c r="K189" s="258"/>
      <c r="L189" s="258"/>
      <c r="M189" s="258"/>
      <c r="N189" s="149"/>
      <c r="O189" s="259"/>
      <c r="P189" s="258"/>
      <c r="Q189" s="258"/>
      <c r="R189" s="258"/>
      <c r="S189" s="258"/>
      <c r="T189" s="258"/>
      <c r="U189" s="149"/>
      <c r="V189" s="149"/>
      <c r="W189" s="257"/>
      <c r="X189" s="258"/>
      <c r="Y189" s="258"/>
      <c r="Z189" s="258"/>
      <c r="AA189" s="258"/>
      <c r="AB189" s="149"/>
      <c r="AC189" s="259"/>
      <c r="AD189" s="149" t="s">
        <v>955</v>
      </c>
      <c r="AE189">
        <f t="shared" si="14"/>
        <v>0</v>
      </c>
      <c r="AF189">
        <f t="shared" si="15"/>
        <v>0</v>
      </c>
      <c r="AG189">
        <f t="shared" si="16"/>
        <v>0</v>
      </c>
      <c r="AH189" t="str">
        <f t="shared" si="13"/>
        <v/>
      </c>
      <c r="AJ189" t="s">
        <v>1393</v>
      </c>
    </row>
    <row r="190" spans="1:38" x14ac:dyDescent="0.25">
      <c r="A190" s="256" t="s">
        <v>296</v>
      </c>
      <c r="B190" s="257"/>
      <c r="C190" s="258"/>
      <c r="D190" s="258"/>
      <c r="E190" s="258"/>
      <c r="F190" s="258"/>
      <c r="G190" s="149"/>
      <c r="H190" s="259">
        <v>2</v>
      </c>
      <c r="I190" s="257"/>
      <c r="J190" s="258"/>
      <c r="K190" s="258"/>
      <c r="L190" s="258"/>
      <c r="M190" s="258"/>
      <c r="N190" s="149"/>
      <c r="O190" s="259"/>
      <c r="P190" s="258"/>
      <c r="Q190" s="258"/>
      <c r="R190" s="258"/>
      <c r="S190" s="258"/>
      <c r="T190" s="258"/>
      <c r="U190" s="149"/>
      <c r="V190" s="149"/>
      <c r="W190" s="257"/>
      <c r="X190" s="258"/>
      <c r="Y190" s="258"/>
      <c r="Z190" s="258"/>
      <c r="AA190" s="258"/>
      <c r="AB190" s="149"/>
      <c r="AC190" s="259"/>
      <c r="AD190" s="149" t="s">
        <v>955</v>
      </c>
      <c r="AE190">
        <f t="shared" si="14"/>
        <v>0</v>
      </c>
      <c r="AF190">
        <f t="shared" si="15"/>
        <v>0</v>
      </c>
      <c r="AG190">
        <f t="shared" si="16"/>
        <v>0</v>
      </c>
      <c r="AH190" t="str">
        <f t="shared" si="13"/>
        <v/>
      </c>
      <c r="AJ190" t="s">
        <v>1394</v>
      </c>
      <c r="AK190" t="s">
        <v>1532</v>
      </c>
    </row>
    <row r="191" spans="1:38" x14ac:dyDescent="0.25">
      <c r="A191" s="256" t="s">
        <v>299</v>
      </c>
      <c r="B191" s="257"/>
      <c r="C191" s="258"/>
      <c r="D191" s="258"/>
      <c r="E191" s="258"/>
      <c r="F191" s="258"/>
      <c r="G191" s="149"/>
      <c r="H191" s="259">
        <v>1</v>
      </c>
      <c r="I191" s="257"/>
      <c r="J191" s="258"/>
      <c r="K191" s="258"/>
      <c r="L191" s="258"/>
      <c r="M191" s="258"/>
      <c r="N191" s="149"/>
      <c r="O191" s="259">
        <v>1</v>
      </c>
      <c r="P191" s="258"/>
      <c r="Q191" s="258"/>
      <c r="R191" s="258"/>
      <c r="S191" s="258"/>
      <c r="T191" s="258"/>
      <c r="U191" s="149"/>
      <c r="V191" s="149"/>
      <c r="W191" s="257"/>
      <c r="X191" s="258"/>
      <c r="Y191" s="258"/>
      <c r="Z191" s="258"/>
      <c r="AA191" s="258"/>
      <c r="AB191" s="149"/>
      <c r="AC191" s="259"/>
      <c r="AD191" s="149" t="s">
        <v>955</v>
      </c>
      <c r="AE191">
        <f t="shared" si="14"/>
        <v>0</v>
      </c>
      <c r="AF191">
        <f t="shared" si="15"/>
        <v>0</v>
      </c>
      <c r="AG191">
        <f t="shared" si="16"/>
        <v>0</v>
      </c>
      <c r="AH191" t="str">
        <f t="shared" ref="AH191:AH204" si="17">IF(AB191="S",30,IF(AB191="M",45,IF(AB191="L",60,"")))</f>
        <v/>
      </c>
      <c r="AJ191" t="s">
        <v>1395</v>
      </c>
      <c r="AK191" t="s">
        <v>1530</v>
      </c>
    </row>
    <row r="192" spans="1:38" x14ac:dyDescent="0.25">
      <c r="A192" s="256" t="s">
        <v>302</v>
      </c>
      <c r="B192" s="257" t="s">
        <v>32</v>
      </c>
      <c r="C192" s="258"/>
      <c r="D192" s="258" t="s">
        <v>32</v>
      </c>
      <c r="E192" s="258"/>
      <c r="F192" s="258"/>
      <c r="G192" s="149">
        <v>30</v>
      </c>
      <c r="H192" s="259">
        <v>2</v>
      </c>
      <c r="I192" s="257"/>
      <c r="J192" s="258"/>
      <c r="K192" s="258"/>
      <c r="L192" s="258"/>
      <c r="M192" s="258"/>
      <c r="N192" s="149"/>
      <c r="O192" s="259"/>
      <c r="P192" s="258"/>
      <c r="Q192" s="258"/>
      <c r="R192" s="258"/>
      <c r="S192" s="258"/>
      <c r="T192" s="258"/>
      <c r="U192" s="149"/>
      <c r="V192" s="149"/>
      <c r="W192" s="257"/>
      <c r="X192" s="258"/>
      <c r="Y192" s="258"/>
      <c r="Z192" s="258"/>
      <c r="AA192" s="258"/>
      <c r="AB192" s="149"/>
      <c r="AC192" s="259"/>
      <c r="AD192" s="149" t="s">
        <v>955</v>
      </c>
      <c r="AE192">
        <f t="shared" si="14"/>
        <v>30</v>
      </c>
      <c r="AF192">
        <f t="shared" si="15"/>
        <v>0</v>
      </c>
      <c r="AG192">
        <f t="shared" si="16"/>
        <v>0</v>
      </c>
      <c r="AH192" t="str">
        <f t="shared" si="17"/>
        <v/>
      </c>
      <c r="AJ192" t="s">
        <v>1396</v>
      </c>
      <c r="AL192" t="s">
        <v>1615</v>
      </c>
    </row>
    <row r="193" spans="1:38" x14ac:dyDescent="0.25">
      <c r="A193" s="256" t="s">
        <v>305</v>
      </c>
      <c r="B193" s="257" t="s">
        <v>32</v>
      </c>
      <c r="C193" s="258"/>
      <c r="D193" s="258" t="s">
        <v>32</v>
      </c>
      <c r="E193" s="258"/>
      <c r="F193" s="258"/>
      <c r="G193" s="149">
        <v>30</v>
      </c>
      <c r="H193" s="259">
        <v>1</v>
      </c>
      <c r="I193" s="257" t="s">
        <v>32</v>
      </c>
      <c r="J193" s="258" t="s">
        <v>32</v>
      </c>
      <c r="K193" s="258" t="s">
        <v>32</v>
      </c>
      <c r="L193" s="258"/>
      <c r="M193" s="258"/>
      <c r="N193" s="149">
        <v>35</v>
      </c>
      <c r="O193" s="259">
        <v>2</v>
      </c>
      <c r="P193" s="258"/>
      <c r="Q193" s="258"/>
      <c r="R193" s="258" t="s">
        <v>32</v>
      </c>
      <c r="S193" s="258"/>
      <c r="T193" s="258"/>
      <c r="U193" s="149"/>
      <c r="V193" s="149">
        <v>1</v>
      </c>
      <c r="W193" s="257"/>
      <c r="X193" s="258"/>
      <c r="Y193" s="258"/>
      <c r="Z193" s="258"/>
      <c r="AA193" s="258"/>
      <c r="AB193" s="149"/>
      <c r="AC193" s="259"/>
      <c r="AD193" s="149" t="s">
        <v>955</v>
      </c>
      <c r="AE193">
        <f t="shared" si="14"/>
        <v>30</v>
      </c>
      <c r="AF193">
        <f t="shared" si="15"/>
        <v>35</v>
      </c>
      <c r="AG193">
        <f t="shared" si="16"/>
        <v>0</v>
      </c>
      <c r="AH193" t="str">
        <f t="shared" si="17"/>
        <v/>
      </c>
      <c r="AJ193" t="s">
        <v>1397</v>
      </c>
      <c r="AK193" t="s">
        <v>1531</v>
      </c>
    </row>
    <row r="194" spans="1:38" x14ac:dyDescent="0.25">
      <c r="A194" s="256" t="s">
        <v>308</v>
      </c>
      <c r="B194" s="257"/>
      <c r="C194" s="258"/>
      <c r="D194" s="258" t="s">
        <v>32</v>
      </c>
      <c r="E194" s="258"/>
      <c r="F194" s="258"/>
      <c r="G194" s="149">
        <v>30</v>
      </c>
      <c r="H194" s="259">
        <v>2</v>
      </c>
      <c r="I194" s="257"/>
      <c r="J194" s="258"/>
      <c r="K194" s="258"/>
      <c r="L194" s="258"/>
      <c r="M194" s="258"/>
      <c r="N194" s="149"/>
      <c r="O194" s="259"/>
      <c r="P194" s="258"/>
      <c r="Q194" s="258"/>
      <c r="R194" s="258"/>
      <c r="S194" s="258"/>
      <c r="T194" s="258"/>
      <c r="U194" s="149"/>
      <c r="V194" s="149"/>
      <c r="W194" s="257"/>
      <c r="X194" s="258"/>
      <c r="Y194" s="258"/>
      <c r="Z194" s="258"/>
      <c r="AA194" s="258"/>
      <c r="AB194" s="149"/>
      <c r="AC194" s="259"/>
      <c r="AD194" s="149" t="s">
        <v>955</v>
      </c>
      <c r="AE194">
        <f t="shared" si="14"/>
        <v>30</v>
      </c>
      <c r="AF194">
        <f t="shared" si="15"/>
        <v>0</v>
      </c>
      <c r="AG194">
        <f t="shared" si="16"/>
        <v>0</v>
      </c>
      <c r="AH194" t="str">
        <f t="shared" si="17"/>
        <v/>
      </c>
      <c r="AJ194" t="s">
        <v>1398</v>
      </c>
      <c r="AK194" t="s">
        <v>1533</v>
      </c>
    </row>
    <row r="195" spans="1:38" x14ac:dyDescent="0.25">
      <c r="A195" s="256" t="s">
        <v>311</v>
      </c>
      <c r="B195" s="257"/>
      <c r="C195" s="258"/>
      <c r="D195" s="258"/>
      <c r="E195" s="258"/>
      <c r="F195" s="258"/>
      <c r="G195" s="149"/>
      <c r="H195" s="259">
        <v>1</v>
      </c>
      <c r="I195" s="257"/>
      <c r="J195" s="258"/>
      <c r="K195" s="258"/>
      <c r="L195" s="258"/>
      <c r="M195" s="258"/>
      <c r="N195" s="149"/>
      <c r="O195" s="259"/>
      <c r="P195" s="258"/>
      <c r="Q195" s="258"/>
      <c r="R195" s="258"/>
      <c r="S195" s="258"/>
      <c r="T195" s="258"/>
      <c r="U195" s="149"/>
      <c r="V195" s="149"/>
      <c r="W195" s="257"/>
      <c r="X195" s="258"/>
      <c r="Y195" s="258"/>
      <c r="Z195" s="258"/>
      <c r="AA195" s="258"/>
      <c r="AB195" s="149"/>
      <c r="AC195" s="259"/>
      <c r="AD195" s="149" t="s">
        <v>955</v>
      </c>
      <c r="AE195">
        <f t="shared" si="14"/>
        <v>0</v>
      </c>
      <c r="AF195">
        <f t="shared" si="15"/>
        <v>0</v>
      </c>
      <c r="AG195">
        <f t="shared" si="16"/>
        <v>0</v>
      </c>
      <c r="AH195" t="str">
        <f t="shared" si="17"/>
        <v/>
      </c>
    </row>
    <row r="196" spans="1:38" x14ac:dyDescent="0.25">
      <c r="A196" s="256" t="s">
        <v>313</v>
      </c>
      <c r="B196" s="257"/>
      <c r="C196" s="258"/>
      <c r="D196" s="258"/>
      <c r="E196" s="258"/>
      <c r="F196" s="258"/>
      <c r="G196" s="149"/>
      <c r="H196" s="259">
        <v>2</v>
      </c>
      <c r="I196" s="257"/>
      <c r="J196" s="258"/>
      <c r="K196" s="258"/>
      <c r="L196" s="258"/>
      <c r="M196" s="258"/>
      <c r="N196" s="149"/>
      <c r="O196" s="259">
        <v>2</v>
      </c>
      <c r="P196" s="258"/>
      <c r="Q196" s="258"/>
      <c r="R196" s="258"/>
      <c r="S196" s="258"/>
      <c r="T196" s="258"/>
      <c r="U196" s="149"/>
      <c r="V196" s="149">
        <v>1</v>
      </c>
      <c r="W196" s="257"/>
      <c r="X196" s="258"/>
      <c r="Y196" s="258"/>
      <c r="Z196" s="258"/>
      <c r="AA196" s="258"/>
      <c r="AB196" s="149"/>
      <c r="AC196" s="259"/>
      <c r="AD196" s="149" t="s">
        <v>955</v>
      </c>
      <c r="AE196">
        <f t="shared" si="14"/>
        <v>0</v>
      </c>
      <c r="AF196">
        <f t="shared" si="15"/>
        <v>0</v>
      </c>
      <c r="AG196">
        <f t="shared" si="16"/>
        <v>0</v>
      </c>
      <c r="AH196" t="str">
        <f t="shared" si="17"/>
        <v/>
      </c>
      <c r="AJ196" t="s">
        <v>1399</v>
      </c>
      <c r="AK196" t="s">
        <v>1534</v>
      </c>
      <c r="AL196" t="s">
        <v>1616</v>
      </c>
    </row>
    <row r="197" spans="1:38" x14ac:dyDescent="0.25">
      <c r="A197" s="256" t="s">
        <v>316</v>
      </c>
      <c r="B197" s="257"/>
      <c r="C197" s="258"/>
      <c r="D197" s="258"/>
      <c r="E197" s="258"/>
      <c r="F197" s="258"/>
      <c r="G197" s="149"/>
      <c r="H197" s="259">
        <v>3</v>
      </c>
      <c r="I197" s="257"/>
      <c r="J197" s="258"/>
      <c r="K197" s="258"/>
      <c r="L197" s="258"/>
      <c r="M197" s="258"/>
      <c r="N197" s="149"/>
      <c r="O197" s="259"/>
      <c r="P197" s="258"/>
      <c r="Q197" s="258"/>
      <c r="R197" s="258"/>
      <c r="S197" s="258"/>
      <c r="T197" s="258"/>
      <c r="U197" s="149"/>
      <c r="V197" s="149"/>
      <c r="W197" s="257"/>
      <c r="X197" s="258"/>
      <c r="Y197" s="258"/>
      <c r="Z197" s="258"/>
      <c r="AA197" s="258"/>
      <c r="AB197" s="149"/>
      <c r="AC197" s="259"/>
      <c r="AD197" s="149" t="s">
        <v>955</v>
      </c>
      <c r="AE197">
        <f t="shared" si="14"/>
        <v>0</v>
      </c>
      <c r="AF197">
        <f t="shared" si="15"/>
        <v>0</v>
      </c>
      <c r="AG197">
        <f t="shared" si="16"/>
        <v>0</v>
      </c>
      <c r="AH197" t="str">
        <f t="shared" si="17"/>
        <v/>
      </c>
      <c r="AJ197" t="s">
        <v>1400</v>
      </c>
    </row>
    <row r="198" spans="1:38" x14ac:dyDescent="0.25">
      <c r="A198" s="256" t="s">
        <v>319</v>
      </c>
      <c r="B198" s="257" t="s">
        <v>32</v>
      </c>
      <c r="C198" s="258"/>
      <c r="D198" s="258" t="s">
        <v>32</v>
      </c>
      <c r="E198" s="258"/>
      <c r="F198" s="258"/>
      <c r="G198" s="149">
        <v>30</v>
      </c>
      <c r="H198" s="259">
        <v>1</v>
      </c>
      <c r="I198" s="257" t="s">
        <v>32</v>
      </c>
      <c r="J198" s="258"/>
      <c r="K198" s="258" t="s">
        <v>32</v>
      </c>
      <c r="L198" s="258"/>
      <c r="M198" s="258"/>
      <c r="N198" s="149">
        <v>35</v>
      </c>
      <c r="O198" s="259">
        <v>2</v>
      </c>
      <c r="P198" s="258"/>
      <c r="Q198" s="258"/>
      <c r="R198" s="258" t="s">
        <v>32</v>
      </c>
      <c r="S198" s="258" t="s">
        <v>32</v>
      </c>
      <c r="T198" s="258"/>
      <c r="U198" s="149"/>
      <c r="V198" s="149">
        <v>1</v>
      </c>
      <c r="W198" s="257"/>
      <c r="X198" s="258"/>
      <c r="Y198" s="258"/>
      <c r="Z198" s="258"/>
      <c r="AA198" s="258"/>
      <c r="AB198" s="149"/>
      <c r="AC198" s="259"/>
      <c r="AD198" s="149" t="s">
        <v>955</v>
      </c>
      <c r="AE198">
        <f t="shared" si="14"/>
        <v>30</v>
      </c>
      <c r="AF198">
        <f t="shared" si="15"/>
        <v>35</v>
      </c>
      <c r="AG198">
        <f t="shared" si="16"/>
        <v>0</v>
      </c>
      <c r="AH198" t="str">
        <f t="shared" si="17"/>
        <v/>
      </c>
      <c r="AJ198" t="s">
        <v>1401</v>
      </c>
      <c r="AK198" t="s">
        <v>1535</v>
      </c>
      <c r="AL198" t="s">
        <v>1617</v>
      </c>
    </row>
    <row r="199" spans="1:38" x14ac:dyDescent="0.25">
      <c r="A199" s="256" t="s">
        <v>615</v>
      </c>
      <c r="B199" s="260"/>
      <c r="C199" s="261"/>
      <c r="D199" s="261"/>
      <c r="E199" s="261"/>
      <c r="F199" s="261"/>
      <c r="G199" s="262"/>
      <c r="H199" s="263"/>
      <c r="I199" s="257"/>
      <c r="J199" s="258"/>
      <c r="K199" s="258"/>
      <c r="L199" s="258"/>
      <c r="M199" s="258"/>
      <c r="N199" s="149"/>
      <c r="O199" s="259">
        <v>2</v>
      </c>
      <c r="P199" s="258"/>
      <c r="Q199" s="258"/>
      <c r="R199" s="258"/>
      <c r="S199" s="258"/>
      <c r="T199" s="258"/>
      <c r="U199" s="149"/>
      <c r="V199" s="149"/>
      <c r="W199" s="257"/>
      <c r="X199" s="258"/>
      <c r="Y199" s="258"/>
      <c r="Z199" s="258"/>
      <c r="AA199" s="258"/>
      <c r="AB199" s="149"/>
      <c r="AC199" s="259"/>
      <c r="AD199" s="149"/>
      <c r="AE199">
        <f t="shared" si="14"/>
        <v>0</v>
      </c>
      <c r="AF199">
        <f t="shared" si="15"/>
        <v>0</v>
      </c>
      <c r="AG199">
        <f t="shared" si="16"/>
        <v>0</v>
      </c>
      <c r="AH199" t="str">
        <f t="shared" si="17"/>
        <v/>
      </c>
    </row>
    <row r="200" spans="1:38" x14ac:dyDescent="0.25">
      <c r="A200" s="256" t="s">
        <v>1012</v>
      </c>
      <c r="B200" s="260"/>
      <c r="C200" s="261"/>
      <c r="D200" s="261"/>
      <c r="E200" s="261"/>
      <c r="F200" s="261"/>
      <c r="G200" s="262"/>
      <c r="H200" s="263"/>
      <c r="I200" s="257"/>
      <c r="J200" s="258"/>
      <c r="K200" s="258"/>
      <c r="L200" s="258"/>
      <c r="M200" s="258"/>
      <c r="N200" s="149"/>
      <c r="O200" s="259">
        <v>2</v>
      </c>
      <c r="P200" s="258"/>
      <c r="Q200" s="258"/>
      <c r="R200" s="258"/>
      <c r="S200" s="258"/>
      <c r="T200" s="258"/>
      <c r="U200" s="149"/>
      <c r="V200" s="149"/>
      <c r="W200" s="257"/>
      <c r="X200" s="258"/>
      <c r="Y200" s="258"/>
      <c r="Z200" s="258"/>
      <c r="AA200" s="258"/>
      <c r="AB200" s="149"/>
      <c r="AC200" s="259"/>
      <c r="AD200" s="149" t="s">
        <v>955</v>
      </c>
      <c r="AE200">
        <f t="shared" si="14"/>
        <v>0</v>
      </c>
      <c r="AF200">
        <f t="shared" si="15"/>
        <v>0</v>
      </c>
      <c r="AG200">
        <f t="shared" si="16"/>
        <v>0</v>
      </c>
      <c r="AH200" t="str">
        <f t="shared" si="17"/>
        <v/>
      </c>
      <c r="AJ200" t="s">
        <v>1402</v>
      </c>
      <c r="AK200" t="s">
        <v>1536</v>
      </c>
    </row>
    <row r="201" spans="1:38" x14ac:dyDescent="0.25">
      <c r="A201" s="256" t="s">
        <v>322</v>
      </c>
      <c r="B201" s="257"/>
      <c r="C201" s="258"/>
      <c r="D201" s="258"/>
      <c r="E201" s="258"/>
      <c r="F201" s="258"/>
      <c r="G201" s="149"/>
      <c r="H201" s="259">
        <v>2</v>
      </c>
      <c r="I201" s="257" t="s">
        <v>32</v>
      </c>
      <c r="J201" s="258"/>
      <c r="K201" s="258" t="s">
        <v>32</v>
      </c>
      <c r="L201" s="258"/>
      <c r="M201" s="258"/>
      <c r="N201" s="149">
        <v>35</v>
      </c>
      <c r="O201" s="259">
        <v>2</v>
      </c>
      <c r="P201" s="258" t="s">
        <v>32</v>
      </c>
      <c r="Q201" s="258"/>
      <c r="R201" s="258" t="s">
        <v>32</v>
      </c>
      <c r="S201" s="258"/>
      <c r="T201" s="258"/>
      <c r="U201" s="149">
        <v>45</v>
      </c>
      <c r="V201" s="149">
        <v>2</v>
      </c>
      <c r="W201" s="257"/>
      <c r="X201" s="258"/>
      <c r="Y201" s="258"/>
      <c r="Z201" s="258"/>
      <c r="AA201" s="258"/>
      <c r="AB201" s="149"/>
      <c r="AC201" s="259"/>
      <c r="AD201" s="149" t="s">
        <v>955</v>
      </c>
      <c r="AE201">
        <f t="shared" si="14"/>
        <v>0</v>
      </c>
      <c r="AF201">
        <f t="shared" si="15"/>
        <v>35</v>
      </c>
      <c r="AG201">
        <f t="shared" si="16"/>
        <v>45</v>
      </c>
      <c r="AH201" t="str">
        <f t="shared" si="17"/>
        <v/>
      </c>
      <c r="AJ201" t="s">
        <v>1403</v>
      </c>
      <c r="AK201" t="s">
        <v>1537</v>
      </c>
      <c r="AL201" t="s">
        <v>1618</v>
      </c>
    </row>
    <row r="202" spans="1:38" x14ac:dyDescent="0.25">
      <c r="A202" s="256" t="s">
        <v>325</v>
      </c>
      <c r="B202" s="257"/>
      <c r="C202" s="258"/>
      <c r="D202" s="258"/>
      <c r="E202" s="258"/>
      <c r="F202" s="258"/>
      <c r="G202" s="149"/>
      <c r="H202" s="259">
        <v>2</v>
      </c>
      <c r="I202" s="257"/>
      <c r="J202" s="258"/>
      <c r="K202" s="258"/>
      <c r="L202" s="258"/>
      <c r="M202" s="258"/>
      <c r="N202" s="149"/>
      <c r="O202" s="259">
        <v>1</v>
      </c>
      <c r="P202" s="258"/>
      <c r="Q202" s="258"/>
      <c r="R202" s="258"/>
      <c r="S202" s="258"/>
      <c r="T202" s="258"/>
      <c r="U202" s="149"/>
      <c r="V202" s="149"/>
      <c r="W202" s="257"/>
      <c r="X202" s="258"/>
      <c r="Y202" s="258"/>
      <c r="Z202" s="258"/>
      <c r="AA202" s="258"/>
      <c r="AB202" s="149"/>
      <c r="AC202" s="259"/>
      <c r="AD202" s="149" t="s">
        <v>955</v>
      </c>
      <c r="AE202">
        <f t="shared" si="14"/>
        <v>0</v>
      </c>
      <c r="AF202">
        <f t="shared" si="15"/>
        <v>0</v>
      </c>
      <c r="AG202">
        <f t="shared" si="16"/>
        <v>0</v>
      </c>
      <c r="AH202" t="str">
        <f t="shared" si="17"/>
        <v/>
      </c>
      <c r="AJ202" t="s">
        <v>1404</v>
      </c>
      <c r="AK202" t="s">
        <v>1538</v>
      </c>
    </row>
    <row r="203" spans="1:38" x14ac:dyDescent="0.25">
      <c r="A203" s="256" t="s">
        <v>327</v>
      </c>
      <c r="B203" s="257"/>
      <c r="C203" s="258"/>
      <c r="D203" s="258"/>
      <c r="E203" s="258"/>
      <c r="F203" s="258"/>
      <c r="G203" s="149"/>
      <c r="H203" s="259">
        <v>2</v>
      </c>
      <c r="I203" s="257"/>
      <c r="J203" s="258"/>
      <c r="K203" s="258"/>
      <c r="L203" s="258"/>
      <c r="M203" s="258"/>
      <c r="N203" s="149"/>
      <c r="O203" s="259">
        <v>2</v>
      </c>
      <c r="P203" s="258"/>
      <c r="Q203" s="258"/>
      <c r="R203" s="258"/>
      <c r="S203" s="258"/>
      <c r="T203" s="258"/>
      <c r="U203" s="149"/>
      <c r="V203" s="149"/>
      <c r="W203" s="257"/>
      <c r="X203" s="258"/>
      <c r="Y203" s="258"/>
      <c r="Z203" s="258"/>
      <c r="AA203" s="258"/>
      <c r="AB203" s="149"/>
      <c r="AC203" s="259"/>
      <c r="AD203" s="149" t="s">
        <v>955</v>
      </c>
      <c r="AE203">
        <f t="shared" si="14"/>
        <v>0</v>
      </c>
      <c r="AF203">
        <f t="shared" si="15"/>
        <v>0</v>
      </c>
      <c r="AG203">
        <f t="shared" si="16"/>
        <v>0</v>
      </c>
      <c r="AH203" t="str">
        <f t="shared" si="17"/>
        <v/>
      </c>
      <c r="AJ203" t="s">
        <v>1405</v>
      </c>
      <c r="AK203" t="s">
        <v>1539</v>
      </c>
      <c r="AL203" t="s">
        <v>1619</v>
      </c>
    </row>
    <row r="204" spans="1:38" x14ac:dyDescent="0.25">
      <c r="A204" s="256" t="s">
        <v>618</v>
      </c>
      <c r="B204" s="260"/>
      <c r="C204" s="261"/>
      <c r="D204" s="261"/>
      <c r="E204" s="261"/>
      <c r="F204" s="261"/>
      <c r="G204" s="262"/>
      <c r="H204" s="263"/>
      <c r="I204" s="257"/>
      <c r="J204" s="258"/>
      <c r="K204" s="258"/>
      <c r="L204" s="258"/>
      <c r="M204" s="258"/>
      <c r="N204" s="149"/>
      <c r="O204" s="259">
        <v>2</v>
      </c>
      <c r="P204" s="258"/>
      <c r="Q204" s="258"/>
      <c r="R204" s="258"/>
      <c r="S204" s="258"/>
      <c r="T204" s="258"/>
      <c r="U204" s="149"/>
      <c r="V204" s="149"/>
      <c r="W204" s="257"/>
      <c r="X204" s="258"/>
      <c r="Y204" s="258"/>
      <c r="Z204" s="258"/>
      <c r="AA204" s="258"/>
      <c r="AB204" s="149"/>
      <c r="AC204" s="259"/>
      <c r="AD204" s="149"/>
      <c r="AE204">
        <f t="shared" si="14"/>
        <v>0</v>
      </c>
      <c r="AF204">
        <f t="shared" si="15"/>
        <v>0</v>
      </c>
      <c r="AG204">
        <f t="shared" si="16"/>
        <v>0</v>
      </c>
      <c r="AH204" t="str">
        <f t="shared" si="17"/>
        <v/>
      </c>
    </row>
    <row r="205" spans="1:38" x14ac:dyDescent="0.25">
      <c r="A205" s="256" t="s">
        <v>329</v>
      </c>
      <c r="B205" s="257"/>
      <c r="C205" s="258"/>
      <c r="D205" s="258"/>
      <c r="E205" s="258"/>
      <c r="F205" s="258"/>
      <c r="G205" s="149"/>
      <c r="H205" s="259">
        <v>1</v>
      </c>
      <c r="I205" s="257"/>
      <c r="J205" s="258"/>
      <c r="K205" s="258"/>
      <c r="L205" s="258"/>
      <c r="M205" s="258"/>
      <c r="N205" s="149"/>
      <c r="O205" s="259"/>
      <c r="P205" s="258"/>
      <c r="Q205" s="258"/>
      <c r="R205" s="258"/>
      <c r="S205" s="258"/>
      <c r="T205" s="258"/>
      <c r="U205" s="149"/>
      <c r="V205" s="149"/>
      <c r="W205" s="257"/>
      <c r="X205" s="258"/>
      <c r="Y205" s="258"/>
      <c r="Z205" s="258"/>
      <c r="AA205" s="258"/>
      <c r="AB205" s="149"/>
      <c r="AC205" s="259"/>
      <c r="AD205" s="149" t="s">
        <v>955</v>
      </c>
      <c r="AE205">
        <f t="shared" si="14"/>
        <v>0</v>
      </c>
      <c r="AF205">
        <f t="shared" si="15"/>
        <v>0</v>
      </c>
      <c r="AG205">
        <f t="shared" si="16"/>
        <v>0</v>
      </c>
    </row>
    <row r="206" spans="1:38" x14ac:dyDescent="0.25">
      <c r="A206" s="256" t="s">
        <v>621</v>
      </c>
      <c r="B206" s="260"/>
      <c r="C206" s="261"/>
      <c r="D206" s="261"/>
      <c r="E206" s="261"/>
      <c r="F206" s="261"/>
      <c r="G206" s="262"/>
      <c r="H206" s="263"/>
      <c r="I206" s="257"/>
      <c r="J206" s="258"/>
      <c r="K206" s="258"/>
      <c r="L206" s="258"/>
      <c r="M206" s="258"/>
      <c r="N206" s="149"/>
      <c r="O206" s="259">
        <v>2</v>
      </c>
      <c r="P206" s="258"/>
      <c r="Q206" s="258"/>
      <c r="R206" s="258"/>
      <c r="S206" s="258"/>
      <c r="T206" s="258"/>
      <c r="U206" s="149"/>
      <c r="V206" s="149"/>
      <c r="W206" s="257"/>
      <c r="X206" s="258"/>
      <c r="Y206" s="258"/>
      <c r="Z206" s="258"/>
      <c r="AA206" s="258"/>
      <c r="AB206" s="149"/>
      <c r="AC206" s="259"/>
      <c r="AD206" s="149"/>
      <c r="AE206">
        <f t="shared" si="14"/>
        <v>0</v>
      </c>
      <c r="AF206">
        <f t="shared" si="15"/>
        <v>0</v>
      </c>
      <c r="AG206">
        <f t="shared" si="16"/>
        <v>0</v>
      </c>
      <c r="AH206" t="str">
        <f t="shared" ref="AH206:AH263" si="18">IF(AB206="S",30,IF(AB206="M",45,IF(AB206="L",60,"")))</f>
        <v/>
      </c>
    </row>
    <row r="207" spans="1:38" x14ac:dyDescent="0.25">
      <c r="A207" s="256" t="s">
        <v>1817</v>
      </c>
      <c r="B207" s="260"/>
      <c r="C207" s="261"/>
      <c r="D207" s="261"/>
      <c r="E207" s="261"/>
      <c r="F207" s="261"/>
      <c r="G207" s="262"/>
      <c r="H207" s="263"/>
      <c r="I207" s="257"/>
      <c r="J207" s="258"/>
      <c r="K207" s="258"/>
      <c r="L207" s="258"/>
      <c r="M207" s="258"/>
      <c r="N207" s="149"/>
      <c r="O207" s="259"/>
      <c r="P207" s="258"/>
      <c r="Q207" s="258"/>
      <c r="R207" s="258"/>
      <c r="S207" s="258"/>
      <c r="T207" s="258"/>
      <c r="U207" s="149"/>
      <c r="V207" s="149"/>
      <c r="W207" s="257"/>
      <c r="X207" s="258"/>
      <c r="Y207" s="258"/>
      <c r="Z207" s="258"/>
      <c r="AA207" s="258"/>
      <c r="AB207" s="149"/>
      <c r="AC207" s="259"/>
      <c r="AD207" s="149"/>
    </row>
    <row r="208" spans="1:38" x14ac:dyDescent="0.25">
      <c r="A208" s="256" t="s">
        <v>332</v>
      </c>
      <c r="B208" s="257"/>
      <c r="C208" s="258"/>
      <c r="D208" s="258"/>
      <c r="E208" s="258"/>
      <c r="F208" s="258"/>
      <c r="G208" s="149"/>
      <c r="H208" s="259">
        <v>1</v>
      </c>
      <c r="I208" s="257"/>
      <c r="J208" s="258"/>
      <c r="K208" s="258"/>
      <c r="L208" s="258"/>
      <c r="M208" s="258"/>
      <c r="N208" s="149"/>
      <c r="O208" s="259">
        <v>1</v>
      </c>
      <c r="P208" s="258"/>
      <c r="Q208" s="258"/>
      <c r="R208" s="258"/>
      <c r="S208" s="258"/>
      <c r="T208" s="258"/>
      <c r="U208" s="149"/>
      <c r="V208" s="149">
        <v>1</v>
      </c>
      <c r="W208" s="257"/>
      <c r="X208" s="258"/>
      <c r="Y208" s="258"/>
      <c r="Z208" s="258"/>
      <c r="AA208" s="258"/>
      <c r="AB208" s="149"/>
      <c r="AC208" s="259"/>
      <c r="AD208" s="149" t="s">
        <v>955</v>
      </c>
      <c r="AE208">
        <f t="shared" si="14"/>
        <v>0</v>
      </c>
      <c r="AF208">
        <f t="shared" si="15"/>
        <v>0</v>
      </c>
      <c r="AG208">
        <f t="shared" si="16"/>
        <v>0</v>
      </c>
      <c r="AH208" t="str">
        <f t="shared" si="18"/>
        <v/>
      </c>
      <c r="AJ208" t="s">
        <v>1408</v>
      </c>
      <c r="AK208" t="s">
        <v>1540</v>
      </c>
      <c r="AL208" t="s">
        <v>1620</v>
      </c>
    </row>
    <row r="209" spans="1:38" x14ac:dyDescent="0.25">
      <c r="A209" s="256" t="s">
        <v>335</v>
      </c>
      <c r="B209" s="257"/>
      <c r="C209" s="258"/>
      <c r="D209" s="258"/>
      <c r="E209" s="258"/>
      <c r="F209" s="258"/>
      <c r="G209" s="149"/>
      <c r="H209" s="259">
        <v>1</v>
      </c>
      <c r="I209" s="257"/>
      <c r="J209" s="258"/>
      <c r="K209" s="258"/>
      <c r="L209" s="258"/>
      <c r="M209" s="258"/>
      <c r="N209" s="149"/>
      <c r="O209" s="259">
        <v>1</v>
      </c>
      <c r="P209" s="258"/>
      <c r="Q209" s="258"/>
      <c r="R209" s="258"/>
      <c r="S209" s="258"/>
      <c r="T209" s="258"/>
      <c r="U209" s="149"/>
      <c r="V209" s="149">
        <v>1</v>
      </c>
      <c r="W209" s="257"/>
      <c r="X209" s="258"/>
      <c r="Y209" s="258"/>
      <c r="Z209" s="258"/>
      <c r="AA209" s="258"/>
      <c r="AB209" s="149"/>
      <c r="AC209" s="259"/>
      <c r="AD209" s="149" t="s">
        <v>955</v>
      </c>
      <c r="AE209">
        <f t="shared" si="14"/>
        <v>0</v>
      </c>
      <c r="AF209">
        <f t="shared" si="15"/>
        <v>0</v>
      </c>
      <c r="AG209">
        <f t="shared" si="16"/>
        <v>0</v>
      </c>
      <c r="AH209" t="str">
        <f t="shared" si="18"/>
        <v/>
      </c>
      <c r="AJ209" t="s">
        <v>1407</v>
      </c>
      <c r="AK209" t="s">
        <v>1541</v>
      </c>
    </row>
    <row r="210" spans="1:38" x14ac:dyDescent="0.25">
      <c r="A210" s="256" t="s">
        <v>338</v>
      </c>
      <c r="B210" s="257"/>
      <c r="C210" s="258"/>
      <c r="D210" s="258"/>
      <c r="E210" s="258"/>
      <c r="F210" s="258"/>
      <c r="G210" s="149"/>
      <c r="H210" s="259">
        <v>1</v>
      </c>
      <c r="I210" s="257"/>
      <c r="J210" s="258"/>
      <c r="K210" s="258"/>
      <c r="L210" s="258"/>
      <c r="M210" s="258"/>
      <c r="N210" s="149"/>
      <c r="O210" s="259">
        <v>1</v>
      </c>
      <c r="P210" s="258"/>
      <c r="Q210" s="258"/>
      <c r="R210" s="258"/>
      <c r="S210" s="258"/>
      <c r="T210" s="258"/>
      <c r="U210" s="149"/>
      <c r="V210" s="149">
        <v>1</v>
      </c>
      <c r="W210" s="257"/>
      <c r="X210" s="258"/>
      <c r="Y210" s="258"/>
      <c r="Z210" s="258"/>
      <c r="AA210" s="258"/>
      <c r="AB210" s="149"/>
      <c r="AC210" s="259"/>
      <c r="AD210" s="149" t="s">
        <v>955</v>
      </c>
      <c r="AE210">
        <f t="shared" si="14"/>
        <v>0</v>
      </c>
      <c r="AF210">
        <f t="shared" si="15"/>
        <v>0</v>
      </c>
      <c r="AG210">
        <f t="shared" si="16"/>
        <v>0</v>
      </c>
      <c r="AH210" t="str">
        <f t="shared" si="18"/>
        <v/>
      </c>
      <c r="AJ210" t="s">
        <v>1406</v>
      </c>
      <c r="AK210" t="s">
        <v>1542</v>
      </c>
      <c r="AL210" t="s">
        <v>1621</v>
      </c>
    </row>
    <row r="211" spans="1:38" x14ac:dyDescent="0.25">
      <c r="A211" s="256" t="s">
        <v>1817</v>
      </c>
      <c r="B211" s="257"/>
      <c r="C211" s="258"/>
      <c r="D211" s="258"/>
      <c r="E211" s="258"/>
      <c r="F211" s="258"/>
      <c r="G211" s="149"/>
      <c r="H211" s="259"/>
      <c r="I211" s="257"/>
      <c r="J211" s="258"/>
      <c r="K211" s="258"/>
      <c r="L211" s="258"/>
      <c r="M211" s="258"/>
      <c r="N211" s="149"/>
      <c r="O211" s="259"/>
      <c r="P211" s="258"/>
      <c r="Q211" s="258"/>
      <c r="R211" s="258"/>
      <c r="S211" s="258"/>
      <c r="T211" s="258"/>
      <c r="U211" s="149"/>
      <c r="V211" s="149">
        <v>1</v>
      </c>
      <c r="W211" s="257"/>
      <c r="X211" s="258"/>
      <c r="Y211" s="258"/>
      <c r="Z211" s="258"/>
      <c r="AA211" s="258"/>
      <c r="AB211" s="149"/>
      <c r="AC211" s="259"/>
      <c r="AD211" s="149"/>
      <c r="AG211">
        <f t="shared" si="16"/>
        <v>0</v>
      </c>
    </row>
    <row r="212" spans="1:38" x14ac:dyDescent="0.25">
      <c r="A212" s="256" t="s">
        <v>340</v>
      </c>
      <c r="B212" s="257" t="s">
        <v>32</v>
      </c>
      <c r="C212" s="258"/>
      <c r="D212" s="258" t="s">
        <v>32</v>
      </c>
      <c r="E212" s="258"/>
      <c r="F212" s="258"/>
      <c r="G212" s="149">
        <v>30</v>
      </c>
      <c r="H212" s="259">
        <v>3</v>
      </c>
      <c r="I212" s="257"/>
      <c r="J212" s="258"/>
      <c r="K212" s="258"/>
      <c r="L212" s="258"/>
      <c r="M212" s="258"/>
      <c r="N212" s="149"/>
      <c r="O212" s="259"/>
      <c r="P212" s="258"/>
      <c r="Q212" s="258"/>
      <c r="R212" s="258"/>
      <c r="S212" s="258"/>
      <c r="T212" s="258"/>
      <c r="U212" s="149"/>
      <c r="V212" s="149">
        <v>2</v>
      </c>
      <c r="W212" s="257"/>
      <c r="X212" s="258"/>
      <c r="Y212" s="258"/>
      <c r="Z212" s="258"/>
      <c r="AA212" s="258"/>
      <c r="AB212" s="149"/>
      <c r="AC212" s="259"/>
      <c r="AD212" s="149" t="s">
        <v>955</v>
      </c>
      <c r="AE212">
        <f t="shared" ref="AE212:AE262" si="19">G212</f>
        <v>30</v>
      </c>
      <c r="AF212">
        <f t="shared" ref="AF212:AF263" si="20">N212</f>
        <v>0</v>
      </c>
      <c r="AG212">
        <f t="shared" ref="AG212:AG263" si="21">U212</f>
        <v>0</v>
      </c>
      <c r="AH212" t="str">
        <f t="shared" si="18"/>
        <v/>
      </c>
      <c r="AJ212" t="s">
        <v>1409</v>
      </c>
      <c r="AL212" t="s">
        <v>1622</v>
      </c>
    </row>
    <row r="213" spans="1:38" x14ac:dyDescent="0.25">
      <c r="A213" s="256" t="s">
        <v>343</v>
      </c>
      <c r="B213" s="257" t="s">
        <v>32</v>
      </c>
      <c r="C213" s="258"/>
      <c r="D213" s="258" t="s">
        <v>32</v>
      </c>
      <c r="E213" s="258"/>
      <c r="F213" s="258"/>
      <c r="G213" s="149">
        <v>30</v>
      </c>
      <c r="H213" s="259">
        <v>3</v>
      </c>
      <c r="I213" s="257"/>
      <c r="J213" s="258"/>
      <c r="K213" s="258"/>
      <c r="L213" s="258"/>
      <c r="M213" s="258"/>
      <c r="N213" s="149"/>
      <c r="O213" s="259"/>
      <c r="P213" s="258"/>
      <c r="Q213" s="258"/>
      <c r="R213" s="258"/>
      <c r="S213" s="258"/>
      <c r="T213" s="258"/>
      <c r="U213" s="149"/>
      <c r="V213" s="149"/>
      <c r="W213" s="257"/>
      <c r="X213" s="258"/>
      <c r="Y213" s="258"/>
      <c r="Z213" s="258"/>
      <c r="AA213" s="258"/>
      <c r="AB213" s="149"/>
      <c r="AC213" s="259"/>
      <c r="AD213" s="149" t="s">
        <v>955</v>
      </c>
      <c r="AE213">
        <f t="shared" si="19"/>
        <v>30</v>
      </c>
      <c r="AF213">
        <f t="shared" si="20"/>
        <v>0</v>
      </c>
      <c r="AG213">
        <f t="shared" si="21"/>
        <v>0</v>
      </c>
      <c r="AH213" t="str">
        <f t="shared" si="18"/>
        <v/>
      </c>
      <c r="AJ213" t="s">
        <v>1410</v>
      </c>
    </row>
    <row r="214" spans="1:38" x14ac:dyDescent="0.25">
      <c r="A214" s="256" t="s">
        <v>344</v>
      </c>
      <c r="B214" s="257"/>
      <c r="C214" s="258"/>
      <c r="D214" s="258"/>
      <c r="E214" s="258"/>
      <c r="F214" s="258"/>
      <c r="G214" s="149"/>
      <c r="H214" s="259">
        <v>2</v>
      </c>
      <c r="I214" s="257"/>
      <c r="J214" s="258"/>
      <c r="K214" s="258"/>
      <c r="L214" s="258"/>
      <c r="M214" s="258"/>
      <c r="N214" s="149"/>
      <c r="O214" s="259"/>
      <c r="P214" s="258"/>
      <c r="Q214" s="258"/>
      <c r="R214" s="258"/>
      <c r="S214" s="258"/>
      <c r="T214" s="258"/>
      <c r="U214" s="149"/>
      <c r="V214" s="149"/>
      <c r="W214" s="257"/>
      <c r="X214" s="258"/>
      <c r="Y214" s="258"/>
      <c r="Z214" s="258"/>
      <c r="AA214" s="258"/>
      <c r="AB214" s="149"/>
      <c r="AC214" s="259"/>
      <c r="AD214" s="149" t="s">
        <v>955</v>
      </c>
      <c r="AE214">
        <f t="shared" si="19"/>
        <v>0</v>
      </c>
      <c r="AF214">
        <f t="shared" si="20"/>
        <v>0</v>
      </c>
      <c r="AG214">
        <f t="shared" si="21"/>
        <v>0</v>
      </c>
      <c r="AH214" t="str">
        <f t="shared" si="18"/>
        <v/>
      </c>
      <c r="AJ214" t="s">
        <v>1411</v>
      </c>
    </row>
    <row r="215" spans="1:38" x14ac:dyDescent="0.25">
      <c r="A215" s="256" t="s">
        <v>347</v>
      </c>
      <c r="B215" s="257"/>
      <c r="C215" s="258"/>
      <c r="D215" s="258"/>
      <c r="E215" s="258"/>
      <c r="F215" s="258"/>
      <c r="G215" s="149"/>
      <c r="H215" s="259">
        <v>2</v>
      </c>
      <c r="I215" s="257"/>
      <c r="J215" s="258"/>
      <c r="K215" s="258"/>
      <c r="L215" s="258"/>
      <c r="M215" s="258"/>
      <c r="N215" s="149"/>
      <c r="O215" s="259"/>
      <c r="P215" s="258"/>
      <c r="Q215" s="258"/>
      <c r="R215" s="258"/>
      <c r="S215" s="258"/>
      <c r="T215" s="258"/>
      <c r="U215" s="149"/>
      <c r="V215" s="149"/>
      <c r="W215" s="257"/>
      <c r="X215" s="258"/>
      <c r="Y215" s="258"/>
      <c r="Z215" s="258"/>
      <c r="AA215" s="258"/>
      <c r="AB215" s="149"/>
      <c r="AC215" s="259"/>
      <c r="AD215" s="149" t="s">
        <v>955</v>
      </c>
      <c r="AE215">
        <f t="shared" si="19"/>
        <v>0</v>
      </c>
      <c r="AF215">
        <f t="shared" si="20"/>
        <v>0</v>
      </c>
      <c r="AG215">
        <f t="shared" si="21"/>
        <v>0</v>
      </c>
      <c r="AH215" t="str">
        <f t="shared" si="18"/>
        <v/>
      </c>
      <c r="AJ215" t="s">
        <v>1423</v>
      </c>
    </row>
    <row r="216" spans="1:38" x14ac:dyDescent="0.25">
      <c r="A216" s="256" t="s">
        <v>350</v>
      </c>
      <c r="B216" s="257" t="s">
        <v>32</v>
      </c>
      <c r="C216" s="258" t="s">
        <v>32</v>
      </c>
      <c r="D216" s="258" t="s">
        <v>32</v>
      </c>
      <c r="E216" s="258" t="s">
        <v>32</v>
      </c>
      <c r="F216" s="258" t="s">
        <v>32</v>
      </c>
      <c r="G216" s="149">
        <v>40</v>
      </c>
      <c r="H216" s="259">
        <v>1</v>
      </c>
      <c r="I216" s="257"/>
      <c r="J216" s="258"/>
      <c r="K216" s="258"/>
      <c r="L216" s="258"/>
      <c r="M216" s="258"/>
      <c r="N216" s="149"/>
      <c r="O216" s="259"/>
      <c r="P216" s="258"/>
      <c r="Q216" s="258"/>
      <c r="R216" s="258"/>
      <c r="S216" s="258"/>
      <c r="T216" s="258"/>
      <c r="U216" s="149"/>
      <c r="V216" s="149"/>
      <c r="W216" s="257"/>
      <c r="X216" s="258"/>
      <c r="Y216" s="258"/>
      <c r="Z216" s="258"/>
      <c r="AA216" s="258"/>
      <c r="AB216" s="149"/>
      <c r="AC216" s="259"/>
      <c r="AD216" s="149" t="s">
        <v>955</v>
      </c>
      <c r="AE216">
        <f t="shared" si="19"/>
        <v>40</v>
      </c>
      <c r="AF216">
        <f t="shared" si="20"/>
        <v>0</v>
      </c>
      <c r="AG216">
        <f t="shared" si="21"/>
        <v>0</v>
      </c>
      <c r="AH216" t="str">
        <f t="shared" si="18"/>
        <v/>
      </c>
      <c r="AJ216" t="s">
        <v>1412</v>
      </c>
    </row>
    <row r="217" spans="1:38" x14ac:dyDescent="0.25">
      <c r="A217" s="256" t="s">
        <v>1763</v>
      </c>
      <c r="B217" s="257"/>
      <c r="C217" s="258"/>
      <c r="D217" s="258"/>
      <c r="E217" s="258"/>
      <c r="F217" s="258"/>
      <c r="G217" s="149"/>
      <c r="H217" s="259"/>
      <c r="I217" s="257"/>
      <c r="J217" s="258"/>
      <c r="K217" s="258"/>
      <c r="L217" s="258"/>
      <c r="M217" s="258"/>
      <c r="N217" s="149"/>
      <c r="O217" s="259"/>
      <c r="P217" s="258"/>
      <c r="Q217" s="258"/>
      <c r="R217" s="258"/>
      <c r="S217" s="258"/>
      <c r="T217" s="258"/>
      <c r="U217" s="149"/>
      <c r="V217" s="149"/>
      <c r="W217" s="257"/>
      <c r="X217" s="258"/>
      <c r="Y217" s="258"/>
      <c r="Z217" s="258"/>
      <c r="AA217" s="258"/>
      <c r="AB217" s="149"/>
      <c r="AC217" s="259"/>
      <c r="AD217" s="149"/>
    </row>
    <row r="218" spans="1:38" x14ac:dyDescent="0.25">
      <c r="A218" s="256" t="s">
        <v>353</v>
      </c>
      <c r="B218" s="257" t="s">
        <v>32</v>
      </c>
      <c r="C218" s="258" t="s">
        <v>32</v>
      </c>
      <c r="D218" s="258" t="s">
        <v>32</v>
      </c>
      <c r="E218" s="258" t="s">
        <v>32</v>
      </c>
      <c r="F218" s="258" t="s">
        <v>32</v>
      </c>
      <c r="G218" s="149">
        <v>35</v>
      </c>
      <c r="H218" s="259">
        <v>1</v>
      </c>
      <c r="I218" s="257"/>
      <c r="J218" s="258"/>
      <c r="K218" s="258"/>
      <c r="L218" s="258"/>
      <c r="M218" s="258"/>
      <c r="N218" s="149"/>
      <c r="O218" s="259"/>
      <c r="P218" s="258"/>
      <c r="Q218" s="258"/>
      <c r="R218" s="258"/>
      <c r="S218" s="258"/>
      <c r="T218" s="258"/>
      <c r="U218" s="149"/>
      <c r="V218" s="149"/>
      <c r="W218" s="257"/>
      <c r="X218" s="258"/>
      <c r="Y218" s="258"/>
      <c r="Z218" s="258"/>
      <c r="AA218" s="258"/>
      <c r="AB218" s="149"/>
      <c r="AC218" s="259"/>
      <c r="AD218" s="149" t="s">
        <v>955</v>
      </c>
      <c r="AE218">
        <f t="shared" si="19"/>
        <v>35</v>
      </c>
      <c r="AF218">
        <f t="shared" si="20"/>
        <v>0</v>
      </c>
      <c r="AG218">
        <f t="shared" si="21"/>
        <v>0</v>
      </c>
      <c r="AH218" t="str">
        <f t="shared" si="18"/>
        <v/>
      </c>
      <c r="AJ218" t="s">
        <v>1413</v>
      </c>
    </row>
    <row r="219" spans="1:38" x14ac:dyDescent="0.25">
      <c r="A219" s="256" t="s">
        <v>356</v>
      </c>
      <c r="B219" s="257"/>
      <c r="C219" s="258"/>
      <c r="D219" s="258"/>
      <c r="E219" s="258"/>
      <c r="F219" s="258"/>
      <c r="G219" s="149"/>
      <c r="H219" s="259">
        <v>2</v>
      </c>
      <c r="I219" s="257"/>
      <c r="J219" s="258"/>
      <c r="K219" s="258"/>
      <c r="L219" s="258"/>
      <c r="M219" s="258"/>
      <c r="N219" s="149"/>
      <c r="O219" s="259"/>
      <c r="P219" s="258"/>
      <c r="Q219" s="258"/>
      <c r="R219" s="258"/>
      <c r="S219" s="258"/>
      <c r="T219" s="258"/>
      <c r="U219" s="149"/>
      <c r="V219" s="149"/>
      <c r="W219" s="257"/>
      <c r="X219" s="258"/>
      <c r="Y219" s="258"/>
      <c r="Z219" s="258"/>
      <c r="AA219" s="258"/>
      <c r="AB219" s="149"/>
      <c r="AC219" s="259"/>
      <c r="AD219" s="149" t="s">
        <v>955</v>
      </c>
      <c r="AE219">
        <f t="shared" si="19"/>
        <v>0</v>
      </c>
      <c r="AF219">
        <f t="shared" si="20"/>
        <v>0</v>
      </c>
      <c r="AG219">
        <f t="shared" si="21"/>
        <v>0</v>
      </c>
      <c r="AH219" t="str">
        <f t="shared" si="18"/>
        <v/>
      </c>
    </row>
    <row r="220" spans="1:38" x14ac:dyDescent="0.25">
      <c r="A220" s="256" t="s">
        <v>359</v>
      </c>
      <c r="B220" s="257" t="s">
        <v>32</v>
      </c>
      <c r="C220" s="258" t="s">
        <v>32</v>
      </c>
      <c r="D220" s="258" t="s">
        <v>32</v>
      </c>
      <c r="E220" s="258" t="s">
        <v>32</v>
      </c>
      <c r="F220" s="258" t="s">
        <v>32</v>
      </c>
      <c r="G220" s="149">
        <v>35</v>
      </c>
      <c r="H220" s="259">
        <v>1</v>
      </c>
      <c r="I220" s="257"/>
      <c r="J220" s="258"/>
      <c r="K220" s="258"/>
      <c r="L220" s="258"/>
      <c r="M220" s="258"/>
      <c r="N220" s="149"/>
      <c r="O220" s="259"/>
      <c r="P220" s="258"/>
      <c r="Q220" s="258"/>
      <c r="R220" s="258"/>
      <c r="S220" s="258"/>
      <c r="T220" s="258"/>
      <c r="U220" s="149"/>
      <c r="V220" s="149"/>
      <c r="W220" s="257"/>
      <c r="X220" s="258"/>
      <c r="Y220" s="258"/>
      <c r="Z220" s="258"/>
      <c r="AA220" s="258"/>
      <c r="AB220" s="149"/>
      <c r="AC220" s="259"/>
      <c r="AD220" s="149" t="s">
        <v>955</v>
      </c>
      <c r="AE220">
        <f t="shared" si="19"/>
        <v>35</v>
      </c>
      <c r="AF220">
        <f t="shared" si="20"/>
        <v>0</v>
      </c>
      <c r="AG220">
        <f t="shared" si="21"/>
        <v>0</v>
      </c>
      <c r="AH220" t="str">
        <f t="shared" si="18"/>
        <v/>
      </c>
      <c r="AJ220" t="s">
        <v>1414</v>
      </c>
    </row>
    <row r="221" spans="1:38" x14ac:dyDescent="0.25">
      <c r="A221" s="256" t="s">
        <v>361</v>
      </c>
      <c r="B221" s="257" t="s">
        <v>32</v>
      </c>
      <c r="C221" s="258" t="s">
        <v>32</v>
      </c>
      <c r="D221" s="258" t="s">
        <v>32</v>
      </c>
      <c r="E221" s="258" t="s">
        <v>32</v>
      </c>
      <c r="F221" s="258" t="s">
        <v>32</v>
      </c>
      <c r="G221" s="149">
        <v>35</v>
      </c>
      <c r="H221" s="259">
        <v>1</v>
      </c>
      <c r="I221" s="257"/>
      <c r="J221" s="258"/>
      <c r="K221" s="258"/>
      <c r="L221" s="258"/>
      <c r="M221" s="258"/>
      <c r="N221" s="149"/>
      <c r="O221" s="259"/>
      <c r="P221" s="258"/>
      <c r="Q221" s="258"/>
      <c r="R221" s="258"/>
      <c r="S221" s="258"/>
      <c r="T221" s="258"/>
      <c r="U221" s="149"/>
      <c r="V221" s="149"/>
      <c r="W221" s="257"/>
      <c r="X221" s="258"/>
      <c r="Y221" s="258"/>
      <c r="Z221" s="258"/>
      <c r="AA221" s="258"/>
      <c r="AB221" s="149"/>
      <c r="AC221" s="259"/>
      <c r="AD221" s="149" t="s">
        <v>955</v>
      </c>
      <c r="AE221">
        <f t="shared" si="19"/>
        <v>35</v>
      </c>
      <c r="AF221">
        <f t="shared" si="20"/>
        <v>0</v>
      </c>
      <c r="AG221">
        <f t="shared" si="21"/>
        <v>0</v>
      </c>
      <c r="AH221" t="str">
        <f t="shared" si="18"/>
        <v/>
      </c>
      <c r="AJ221" t="s">
        <v>1415</v>
      </c>
    </row>
    <row r="222" spans="1:38" x14ac:dyDescent="0.25">
      <c r="A222" s="256" t="s">
        <v>363</v>
      </c>
      <c r="B222" s="257"/>
      <c r="C222" s="258"/>
      <c r="D222" s="258"/>
      <c r="E222" s="258"/>
      <c r="F222" s="258"/>
      <c r="G222" s="149"/>
      <c r="H222" s="259">
        <v>2</v>
      </c>
      <c r="I222" s="257"/>
      <c r="J222" s="258"/>
      <c r="K222" s="258"/>
      <c r="L222" s="258"/>
      <c r="M222" s="258"/>
      <c r="N222" s="149"/>
      <c r="O222" s="259"/>
      <c r="P222" s="258"/>
      <c r="Q222" s="258"/>
      <c r="R222" s="258"/>
      <c r="S222" s="258"/>
      <c r="T222" s="258"/>
      <c r="U222" s="149"/>
      <c r="V222" s="149"/>
      <c r="W222" s="257"/>
      <c r="X222" s="258"/>
      <c r="Y222" s="258"/>
      <c r="Z222" s="258"/>
      <c r="AA222" s="258"/>
      <c r="AB222" s="149"/>
      <c r="AC222" s="259"/>
      <c r="AD222" s="149" t="s">
        <v>955</v>
      </c>
      <c r="AE222">
        <f t="shared" si="19"/>
        <v>0</v>
      </c>
      <c r="AF222">
        <f t="shared" si="20"/>
        <v>0</v>
      </c>
      <c r="AG222">
        <f t="shared" si="21"/>
        <v>0</v>
      </c>
      <c r="AH222" t="str">
        <f t="shared" si="18"/>
        <v/>
      </c>
      <c r="AJ222" t="s">
        <v>1416</v>
      </c>
    </row>
    <row r="223" spans="1:38" x14ac:dyDescent="0.25">
      <c r="A223" s="256" t="s">
        <v>366</v>
      </c>
      <c r="B223" s="257"/>
      <c r="C223" s="258"/>
      <c r="D223" s="258"/>
      <c r="E223" s="258"/>
      <c r="F223" s="258"/>
      <c r="G223" s="149"/>
      <c r="H223" s="259">
        <v>2</v>
      </c>
      <c r="I223" s="257"/>
      <c r="J223" s="258"/>
      <c r="K223" s="258"/>
      <c r="L223" s="258"/>
      <c r="M223" s="258"/>
      <c r="N223" s="149"/>
      <c r="O223" s="259"/>
      <c r="P223" s="258"/>
      <c r="Q223" s="258"/>
      <c r="R223" s="258"/>
      <c r="S223" s="258"/>
      <c r="T223" s="258"/>
      <c r="U223" s="149"/>
      <c r="V223" s="149"/>
      <c r="W223" s="257"/>
      <c r="X223" s="258"/>
      <c r="Y223" s="258"/>
      <c r="Z223" s="258"/>
      <c r="AA223" s="258"/>
      <c r="AB223" s="149"/>
      <c r="AC223" s="259"/>
      <c r="AD223" s="149" t="s">
        <v>955</v>
      </c>
      <c r="AE223">
        <f t="shared" si="19"/>
        <v>0</v>
      </c>
      <c r="AF223">
        <f t="shared" si="20"/>
        <v>0</v>
      </c>
      <c r="AG223">
        <f t="shared" si="21"/>
        <v>0</v>
      </c>
      <c r="AH223" t="str">
        <f t="shared" si="18"/>
        <v/>
      </c>
    </row>
    <row r="224" spans="1:38" x14ac:dyDescent="0.25">
      <c r="A224" s="256" t="s">
        <v>369</v>
      </c>
      <c r="B224" s="257"/>
      <c r="C224" s="258"/>
      <c r="D224" s="258"/>
      <c r="E224" s="258"/>
      <c r="F224" s="258"/>
      <c r="G224" s="149"/>
      <c r="H224" s="259">
        <v>1</v>
      </c>
      <c r="I224" s="257"/>
      <c r="J224" s="258"/>
      <c r="K224" s="258"/>
      <c r="L224" s="258"/>
      <c r="M224" s="258"/>
      <c r="N224" s="149"/>
      <c r="O224" s="259"/>
      <c r="P224" s="258"/>
      <c r="Q224" s="258"/>
      <c r="R224" s="258"/>
      <c r="S224" s="258"/>
      <c r="T224" s="258"/>
      <c r="U224" s="149"/>
      <c r="V224" s="149"/>
      <c r="W224" s="257"/>
      <c r="X224" s="258"/>
      <c r="Y224" s="258"/>
      <c r="Z224" s="258"/>
      <c r="AA224" s="258"/>
      <c r="AB224" s="149"/>
      <c r="AC224" s="259"/>
      <c r="AD224" s="149" t="s">
        <v>955</v>
      </c>
      <c r="AE224">
        <f t="shared" si="19"/>
        <v>0</v>
      </c>
      <c r="AF224">
        <f t="shared" si="20"/>
        <v>0</v>
      </c>
      <c r="AG224">
        <f t="shared" si="21"/>
        <v>0</v>
      </c>
      <c r="AH224" t="str">
        <f t="shared" si="18"/>
        <v/>
      </c>
      <c r="AJ224" t="s">
        <v>1417</v>
      </c>
    </row>
    <row r="225" spans="1:38" x14ac:dyDescent="0.25">
      <c r="A225" s="256" t="s">
        <v>371</v>
      </c>
      <c r="B225" s="257"/>
      <c r="C225" s="258"/>
      <c r="D225" s="258"/>
      <c r="E225" s="258"/>
      <c r="F225" s="258"/>
      <c r="G225" s="149"/>
      <c r="H225" s="259">
        <v>2</v>
      </c>
      <c r="I225" s="257"/>
      <c r="J225" s="258"/>
      <c r="K225" s="258"/>
      <c r="L225" s="258"/>
      <c r="M225" s="258"/>
      <c r="N225" s="149"/>
      <c r="O225" s="259"/>
      <c r="P225" s="258"/>
      <c r="Q225" s="258"/>
      <c r="R225" s="258"/>
      <c r="S225" s="258"/>
      <c r="T225" s="258"/>
      <c r="U225" s="149"/>
      <c r="V225" s="149"/>
      <c r="W225" s="257"/>
      <c r="X225" s="258"/>
      <c r="Y225" s="258"/>
      <c r="Z225" s="258"/>
      <c r="AA225" s="258"/>
      <c r="AB225" s="149"/>
      <c r="AC225" s="259"/>
      <c r="AD225" s="149" t="s">
        <v>955</v>
      </c>
      <c r="AE225">
        <f t="shared" si="19"/>
        <v>0</v>
      </c>
      <c r="AF225">
        <f t="shared" si="20"/>
        <v>0</v>
      </c>
      <c r="AG225">
        <f t="shared" si="21"/>
        <v>0</v>
      </c>
      <c r="AH225" t="str">
        <f t="shared" si="18"/>
        <v/>
      </c>
      <c r="AJ225" t="s">
        <v>1418</v>
      </c>
    </row>
    <row r="226" spans="1:38" x14ac:dyDescent="0.25">
      <c r="A226" s="256" t="s">
        <v>1221</v>
      </c>
      <c r="B226" s="257"/>
      <c r="C226" s="258"/>
      <c r="D226" s="258"/>
      <c r="E226" s="258"/>
      <c r="F226" s="258"/>
      <c r="G226" s="149"/>
      <c r="H226" s="259">
        <v>1</v>
      </c>
      <c r="I226" s="257"/>
      <c r="J226" s="258"/>
      <c r="K226" s="258"/>
      <c r="L226" s="258"/>
      <c r="M226" s="258"/>
      <c r="N226" s="149"/>
      <c r="O226" s="259"/>
      <c r="P226" s="258"/>
      <c r="Q226" s="258"/>
      <c r="R226" s="258"/>
      <c r="S226" s="258"/>
      <c r="T226" s="258"/>
      <c r="U226" s="149"/>
      <c r="V226" s="149"/>
      <c r="W226" s="257"/>
      <c r="X226" s="258"/>
      <c r="Y226" s="258"/>
      <c r="Z226" s="258"/>
      <c r="AA226" s="258"/>
      <c r="AB226" s="149"/>
      <c r="AC226" s="259"/>
      <c r="AD226" s="149"/>
      <c r="AE226">
        <f t="shared" si="19"/>
        <v>0</v>
      </c>
      <c r="AJ226" t="s">
        <v>1419</v>
      </c>
    </row>
    <row r="227" spans="1:38" x14ac:dyDescent="0.25">
      <c r="A227" s="256" t="s">
        <v>373</v>
      </c>
      <c r="B227" s="257" t="s">
        <v>32</v>
      </c>
      <c r="C227" s="258"/>
      <c r="D227" s="258" t="s">
        <v>32</v>
      </c>
      <c r="E227" s="258" t="s">
        <v>32</v>
      </c>
      <c r="F227" s="258" t="s">
        <v>32</v>
      </c>
      <c r="G227" s="149">
        <v>35</v>
      </c>
      <c r="H227" s="259">
        <v>1</v>
      </c>
      <c r="I227" s="257"/>
      <c r="J227" s="258"/>
      <c r="K227" s="258"/>
      <c r="L227" s="258"/>
      <c r="M227" s="258"/>
      <c r="N227" s="149"/>
      <c r="O227" s="259">
        <v>8</v>
      </c>
      <c r="P227" s="258"/>
      <c r="Q227" s="258"/>
      <c r="R227" s="258"/>
      <c r="S227" s="258"/>
      <c r="T227" s="258"/>
      <c r="U227" s="149"/>
      <c r="V227" s="149"/>
      <c r="W227" s="257"/>
      <c r="X227" s="258"/>
      <c r="Y227" s="258"/>
      <c r="Z227" s="258"/>
      <c r="AA227" s="258"/>
      <c r="AB227" s="149"/>
      <c r="AC227" s="259"/>
      <c r="AD227" s="149" t="s">
        <v>955</v>
      </c>
      <c r="AE227">
        <f t="shared" si="19"/>
        <v>35</v>
      </c>
      <c r="AF227">
        <f t="shared" si="20"/>
        <v>0</v>
      </c>
      <c r="AG227">
        <f t="shared" si="21"/>
        <v>0</v>
      </c>
      <c r="AH227" t="str">
        <f t="shared" si="18"/>
        <v/>
      </c>
      <c r="AJ227" t="s">
        <v>1420</v>
      </c>
    </row>
    <row r="228" spans="1:38" x14ac:dyDescent="0.25">
      <c r="A228" s="256" t="s">
        <v>1758</v>
      </c>
      <c r="B228" s="257"/>
      <c r="C228" s="258"/>
      <c r="D228" s="258"/>
      <c r="E228" s="258"/>
      <c r="F228" s="258"/>
      <c r="G228" s="149"/>
      <c r="H228" s="259">
        <v>1</v>
      </c>
      <c r="I228" s="257"/>
      <c r="J228" s="258"/>
      <c r="K228" s="258"/>
      <c r="L228" s="258"/>
      <c r="M228" s="258"/>
      <c r="N228" s="149"/>
      <c r="O228" s="259"/>
      <c r="P228" s="258"/>
      <c r="Q228" s="258"/>
      <c r="R228" s="258"/>
      <c r="S228" s="258"/>
      <c r="T228" s="258"/>
      <c r="U228" s="149"/>
      <c r="V228" s="149"/>
      <c r="W228" s="257"/>
      <c r="X228" s="258"/>
      <c r="Y228" s="258"/>
      <c r="Z228" s="258"/>
      <c r="AA228" s="258"/>
      <c r="AB228" s="149"/>
      <c r="AC228" s="259"/>
      <c r="AD228" s="149" t="s">
        <v>955</v>
      </c>
      <c r="AE228">
        <f>G228</f>
        <v>0</v>
      </c>
      <c r="AF228">
        <f>N228</f>
        <v>0</v>
      </c>
      <c r="AG228">
        <f>U228</f>
        <v>0</v>
      </c>
      <c r="AH228" t="str">
        <f>IF(AB228="S",30,IF(AB228="M",45,IF(AB228="L",60,"")))</f>
        <v/>
      </c>
      <c r="AJ228" t="s">
        <v>1420</v>
      </c>
    </row>
    <row r="229" spans="1:38" x14ac:dyDescent="0.25">
      <c r="A229" s="256" t="s">
        <v>376</v>
      </c>
      <c r="B229" s="257"/>
      <c r="C229" s="258"/>
      <c r="D229" s="258"/>
      <c r="E229" s="258"/>
      <c r="F229" s="258"/>
      <c r="G229" s="149"/>
      <c r="H229" s="259">
        <v>2</v>
      </c>
      <c r="I229" s="257"/>
      <c r="J229" s="258"/>
      <c r="K229" s="258"/>
      <c r="L229" s="258"/>
      <c r="M229" s="258"/>
      <c r="N229" s="149"/>
      <c r="O229" s="259"/>
      <c r="P229" s="258"/>
      <c r="Q229" s="258"/>
      <c r="R229" s="258"/>
      <c r="S229" s="258"/>
      <c r="T229" s="258"/>
      <c r="U229" s="149"/>
      <c r="V229" s="149"/>
      <c r="W229" s="257"/>
      <c r="X229" s="258"/>
      <c r="Y229" s="258"/>
      <c r="Z229" s="258"/>
      <c r="AA229" s="258"/>
      <c r="AB229" s="149"/>
      <c r="AC229" s="259"/>
      <c r="AD229" s="149" t="s">
        <v>955</v>
      </c>
      <c r="AE229">
        <f t="shared" si="19"/>
        <v>0</v>
      </c>
      <c r="AF229">
        <f t="shared" si="20"/>
        <v>0</v>
      </c>
      <c r="AG229">
        <f t="shared" si="21"/>
        <v>0</v>
      </c>
      <c r="AH229" t="str">
        <f t="shared" si="18"/>
        <v/>
      </c>
      <c r="AJ229" t="s">
        <v>1421</v>
      </c>
    </row>
    <row r="230" spans="1:38" x14ac:dyDescent="0.25">
      <c r="A230" s="256" t="s">
        <v>379</v>
      </c>
      <c r="B230" s="257"/>
      <c r="C230" s="258"/>
      <c r="D230" s="258"/>
      <c r="E230" s="258"/>
      <c r="F230" s="258"/>
      <c r="G230" s="149"/>
      <c r="H230" s="259">
        <v>1</v>
      </c>
      <c r="I230" s="257"/>
      <c r="J230" s="258"/>
      <c r="K230" s="258"/>
      <c r="L230" s="258"/>
      <c r="M230" s="258"/>
      <c r="N230" s="149"/>
      <c r="O230" s="259">
        <v>1</v>
      </c>
      <c r="P230" s="258"/>
      <c r="Q230" s="258"/>
      <c r="R230" s="258"/>
      <c r="S230" s="258"/>
      <c r="T230" s="258"/>
      <c r="U230" s="149"/>
      <c r="V230" s="149"/>
      <c r="W230" s="257"/>
      <c r="X230" s="258"/>
      <c r="Y230" s="258"/>
      <c r="Z230" s="258"/>
      <c r="AA230" s="258"/>
      <c r="AB230" s="149"/>
      <c r="AC230" s="259"/>
      <c r="AD230" s="149" t="s">
        <v>955</v>
      </c>
      <c r="AE230">
        <f t="shared" si="19"/>
        <v>0</v>
      </c>
      <c r="AF230">
        <f t="shared" si="20"/>
        <v>0</v>
      </c>
      <c r="AG230">
        <f t="shared" si="21"/>
        <v>0</v>
      </c>
      <c r="AH230" t="str">
        <f t="shared" si="18"/>
        <v/>
      </c>
      <c r="AJ230" t="s">
        <v>1422</v>
      </c>
      <c r="AK230" t="s">
        <v>1543</v>
      </c>
    </row>
    <row r="231" spans="1:38" x14ac:dyDescent="0.25">
      <c r="A231" s="256" t="s">
        <v>382</v>
      </c>
      <c r="B231" s="257"/>
      <c r="C231" s="258"/>
      <c r="D231" s="258"/>
      <c r="E231" s="258"/>
      <c r="F231" s="258"/>
      <c r="G231" s="149"/>
      <c r="H231" s="259">
        <v>2</v>
      </c>
      <c r="I231" s="257"/>
      <c r="J231" s="258"/>
      <c r="K231" s="258"/>
      <c r="L231" s="258"/>
      <c r="M231" s="258"/>
      <c r="N231" s="149"/>
      <c r="O231" s="259"/>
      <c r="P231" s="258"/>
      <c r="Q231" s="258"/>
      <c r="R231" s="258"/>
      <c r="S231" s="258"/>
      <c r="T231" s="258"/>
      <c r="U231" s="149"/>
      <c r="V231" s="149"/>
      <c r="W231" s="257"/>
      <c r="X231" s="258"/>
      <c r="Y231" s="258"/>
      <c r="Z231" s="258"/>
      <c r="AA231" s="258"/>
      <c r="AB231" s="149"/>
      <c r="AC231" s="259"/>
      <c r="AD231" s="149" t="s">
        <v>955</v>
      </c>
      <c r="AE231">
        <f t="shared" si="19"/>
        <v>0</v>
      </c>
      <c r="AF231">
        <f t="shared" si="20"/>
        <v>0</v>
      </c>
      <c r="AG231">
        <f t="shared" si="21"/>
        <v>0</v>
      </c>
      <c r="AH231" t="str">
        <f t="shared" si="18"/>
        <v/>
      </c>
    </row>
    <row r="232" spans="1:38" x14ac:dyDescent="0.25">
      <c r="A232" s="256" t="s">
        <v>385</v>
      </c>
      <c r="B232" s="257" t="s">
        <v>32</v>
      </c>
      <c r="C232" s="258"/>
      <c r="D232" s="258" t="s">
        <v>32</v>
      </c>
      <c r="E232" s="258"/>
      <c r="F232" s="258"/>
      <c r="G232" s="149">
        <v>30</v>
      </c>
      <c r="H232" s="259">
        <v>1</v>
      </c>
      <c r="I232" s="257" t="s">
        <v>32</v>
      </c>
      <c r="J232" s="258"/>
      <c r="K232" s="258" t="s">
        <v>32</v>
      </c>
      <c r="L232" s="258"/>
      <c r="M232" s="258"/>
      <c r="N232" s="149">
        <v>35</v>
      </c>
      <c r="O232" s="259">
        <v>2</v>
      </c>
      <c r="P232" s="258" t="s">
        <v>32</v>
      </c>
      <c r="Q232" s="258"/>
      <c r="R232" s="258" t="s">
        <v>32</v>
      </c>
      <c r="S232" s="258"/>
      <c r="T232" s="258"/>
      <c r="U232" s="149"/>
      <c r="V232" s="149">
        <v>1</v>
      </c>
      <c r="W232" s="257"/>
      <c r="X232" s="258"/>
      <c r="Y232" s="258"/>
      <c r="Z232" s="258"/>
      <c r="AA232" s="258"/>
      <c r="AB232" s="149"/>
      <c r="AC232" s="259"/>
      <c r="AD232" s="149" t="s">
        <v>955</v>
      </c>
      <c r="AE232">
        <f t="shared" si="19"/>
        <v>30</v>
      </c>
      <c r="AF232">
        <f t="shared" si="20"/>
        <v>35</v>
      </c>
      <c r="AG232">
        <f t="shared" si="21"/>
        <v>0</v>
      </c>
      <c r="AH232" t="str">
        <f t="shared" si="18"/>
        <v/>
      </c>
      <c r="AJ232" t="s">
        <v>1424</v>
      </c>
      <c r="AK232" t="s">
        <v>1544</v>
      </c>
      <c r="AL232" t="s">
        <v>1623</v>
      </c>
    </row>
    <row r="233" spans="1:38" x14ac:dyDescent="0.25">
      <c r="A233" s="256" t="s">
        <v>388</v>
      </c>
      <c r="B233" s="257" t="s">
        <v>32</v>
      </c>
      <c r="C233" s="258"/>
      <c r="D233" s="258" t="s">
        <v>32</v>
      </c>
      <c r="E233" s="258"/>
      <c r="F233" s="258"/>
      <c r="G233" s="149">
        <v>30</v>
      </c>
      <c r="H233" s="259">
        <v>1</v>
      </c>
      <c r="I233" s="257" t="s">
        <v>32</v>
      </c>
      <c r="J233" s="258"/>
      <c r="K233" s="258" t="s">
        <v>32</v>
      </c>
      <c r="L233" s="258"/>
      <c r="M233" s="258"/>
      <c r="N233" s="149">
        <v>35</v>
      </c>
      <c r="O233" s="259">
        <v>2</v>
      </c>
      <c r="P233" s="258"/>
      <c r="Q233" s="258"/>
      <c r="R233" s="258"/>
      <c r="S233" s="258"/>
      <c r="T233" s="258"/>
      <c r="U233" s="149"/>
      <c r="V233" s="149"/>
      <c r="W233" s="257"/>
      <c r="X233" s="258"/>
      <c r="Y233" s="258"/>
      <c r="Z233" s="258"/>
      <c r="AA233" s="258"/>
      <c r="AB233" s="149"/>
      <c r="AC233" s="259"/>
      <c r="AD233" s="149" t="s">
        <v>955</v>
      </c>
      <c r="AE233">
        <f t="shared" si="19"/>
        <v>30</v>
      </c>
      <c r="AF233">
        <f t="shared" si="20"/>
        <v>35</v>
      </c>
      <c r="AG233">
        <f t="shared" si="21"/>
        <v>0</v>
      </c>
      <c r="AH233" t="str">
        <f t="shared" si="18"/>
        <v/>
      </c>
      <c r="AJ233" t="s">
        <v>1425</v>
      </c>
      <c r="AK233" t="s">
        <v>1545</v>
      </c>
      <c r="AL233" t="s">
        <v>1624</v>
      </c>
    </row>
    <row r="234" spans="1:38" x14ac:dyDescent="0.25">
      <c r="A234" s="256" t="s">
        <v>623</v>
      </c>
      <c r="B234" s="260"/>
      <c r="C234" s="261"/>
      <c r="D234" s="261"/>
      <c r="E234" s="261"/>
      <c r="F234" s="261"/>
      <c r="G234" s="262"/>
      <c r="H234" s="263"/>
      <c r="I234" s="257"/>
      <c r="J234" s="258"/>
      <c r="K234" s="258"/>
      <c r="L234" s="258"/>
      <c r="M234" s="258"/>
      <c r="N234" s="149"/>
      <c r="O234" s="259">
        <v>2</v>
      </c>
      <c r="P234" s="258"/>
      <c r="Q234" s="258"/>
      <c r="R234" s="258"/>
      <c r="S234" s="258"/>
      <c r="T234" s="258"/>
      <c r="U234" s="149"/>
      <c r="V234" s="149"/>
      <c r="W234" s="257"/>
      <c r="X234" s="258"/>
      <c r="Y234" s="258"/>
      <c r="Z234" s="258"/>
      <c r="AA234" s="258"/>
      <c r="AB234" s="149"/>
      <c r="AC234" s="259"/>
      <c r="AD234" s="149"/>
      <c r="AE234">
        <f t="shared" si="19"/>
        <v>0</v>
      </c>
      <c r="AF234">
        <f t="shared" si="20"/>
        <v>0</v>
      </c>
      <c r="AG234">
        <f t="shared" si="21"/>
        <v>0</v>
      </c>
      <c r="AH234" t="str">
        <f t="shared" si="18"/>
        <v/>
      </c>
    </row>
    <row r="235" spans="1:38" x14ac:dyDescent="0.25">
      <c r="A235" s="256" t="s">
        <v>701</v>
      </c>
      <c r="B235" s="260"/>
      <c r="C235" s="261"/>
      <c r="D235" s="261"/>
      <c r="E235" s="261"/>
      <c r="F235" s="261"/>
      <c r="G235" s="262"/>
      <c r="H235" s="263"/>
      <c r="I235" s="257"/>
      <c r="J235" s="258"/>
      <c r="K235" s="258"/>
      <c r="L235" s="258"/>
      <c r="M235" s="258"/>
      <c r="N235" s="149"/>
      <c r="O235" s="259"/>
      <c r="P235" s="258"/>
      <c r="Q235" s="258"/>
      <c r="R235" s="258"/>
      <c r="S235" s="258"/>
      <c r="T235" s="258"/>
      <c r="U235" s="149"/>
      <c r="V235" s="149"/>
      <c r="W235" s="257"/>
      <c r="X235" s="258"/>
      <c r="Y235" s="258"/>
      <c r="Z235" s="258"/>
      <c r="AA235" s="258"/>
      <c r="AB235" s="149"/>
      <c r="AC235" s="259"/>
      <c r="AD235" s="149"/>
      <c r="AE235">
        <f t="shared" si="19"/>
        <v>0</v>
      </c>
      <c r="AF235">
        <f t="shared" si="20"/>
        <v>0</v>
      </c>
      <c r="AG235">
        <f t="shared" si="21"/>
        <v>0</v>
      </c>
      <c r="AH235" t="str">
        <f t="shared" si="18"/>
        <v/>
      </c>
    </row>
    <row r="236" spans="1:38" x14ac:dyDescent="0.25">
      <c r="A236" s="256" t="s">
        <v>391</v>
      </c>
      <c r="B236" s="257"/>
      <c r="C236" s="258"/>
      <c r="D236" s="258"/>
      <c r="E236" s="258"/>
      <c r="F236" s="258"/>
      <c r="G236" s="149"/>
      <c r="H236" s="259">
        <v>3</v>
      </c>
      <c r="I236" s="257"/>
      <c r="J236" s="258"/>
      <c r="K236" s="258"/>
      <c r="L236" s="258"/>
      <c r="M236" s="258"/>
      <c r="N236" s="149"/>
      <c r="O236" s="259"/>
      <c r="P236" s="258"/>
      <c r="Q236" s="258"/>
      <c r="R236" s="258"/>
      <c r="S236" s="258"/>
      <c r="T236" s="258"/>
      <c r="U236" s="149"/>
      <c r="V236" s="149"/>
      <c r="W236" s="257"/>
      <c r="X236" s="258"/>
      <c r="Y236" s="258"/>
      <c r="Z236" s="258"/>
      <c r="AA236" s="258"/>
      <c r="AB236" s="149"/>
      <c r="AC236" s="259"/>
      <c r="AD236" s="149" t="s">
        <v>955</v>
      </c>
      <c r="AE236">
        <f t="shared" si="19"/>
        <v>0</v>
      </c>
      <c r="AF236">
        <f t="shared" si="20"/>
        <v>0</v>
      </c>
      <c r="AG236">
        <f t="shared" si="21"/>
        <v>0</v>
      </c>
      <c r="AH236" t="str">
        <f t="shared" si="18"/>
        <v/>
      </c>
      <c r="AJ236" t="s">
        <v>1426</v>
      </c>
    </row>
    <row r="237" spans="1:38" x14ac:dyDescent="0.25">
      <c r="A237" s="256" t="s">
        <v>394</v>
      </c>
      <c r="B237" s="257"/>
      <c r="C237" s="258"/>
      <c r="D237" s="258"/>
      <c r="E237" s="258"/>
      <c r="F237" s="258"/>
      <c r="G237" s="149"/>
      <c r="H237" s="259">
        <v>1</v>
      </c>
      <c r="I237" s="257"/>
      <c r="J237" s="258"/>
      <c r="K237" s="258"/>
      <c r="L237" s="258"/>
      <c r="M237" s="258"/>
      <c r="N237" s="149"/>
      <c r="O237" s="259">
        <v>1</v>
      </c>
      <c r="P237" s="258"/>
      <c r="Q237" s="258"/>
      <c r="R237" s="258"/>
      <c r="S237" s="258"/>
      <c r="T237" s="258"/>
      <c r="U237" s="149"/>
      <c r="V237" s="149">
        <v>2</v>
      </c>
      <c r="W237" s="257"/>
      <c r="X237" s="258"/>
      <c r="Y237" s="258"/>
      <c r="Z237" s="258"/>
      <c r="AA237" s="258"/>
      <c r="AB237" s="149"/>
      <c r="AC237" s="259"/>
      <c r="AD237" s="149" t="s">
        <v>955</v>
      </c>
      <c r="AE237">
        <f t="shared" si="19"/>
        <v>0</v>
      </c>
      <c r="AF237">
        <f t="shared" si="20"/>
        <v>0</v>
      </c>
      <c r="AG237">
        <f t="shared" si="21"/>
        <v>0</v>
      </c>
      <c r="AH237" t="str">
        <f t="shared" si="18"/>
        <v/>
      </c>
      <c r="AJ237" t="s">
        <v>1427</v>
      </c>
      <c r="AK237" t="s">
        <v>1547</v>
      </c>
    </row>
    <row r="238" spans="1:38" x14ac:dyDescent="0.25">
      <c r="A238" s="256" t="s">
        <v>397</v>
      </c>
      <c r="B238" s="257"/>
      <c r="C238" s="258"/>
      <c r="D238" s="258"/>
      <c r="E238" s="258"/>
      <c r="F238" s="258"/>
      <c r="G238" s="149"/>
      <c r="H238" s="259">
        <v>1</v>
      </c>
      <c r="I238" s="257"/>
      <c r="J238" s="258"/>
      <c r="K238" s="258"/>
      <c r="L238" s="258"/>
      <c r="M238" s="258"/>
      <c r="N238" s="149"/>
      <c r="O238" s="259">
        <v>1</v>
      </c>
      <c r="P238" s="258"/>
      <c r="Q238" s="258"/>
      <c r="R238" s="258"/>
      <c r="S238" s="258"/>
      <c r="T238" s="258"/>
      <c r="U238" s="149"/>
      <c r="V238" s="149"/>
      <c r="W238" s="257"/>
      <c r="X238" s="258"/>
      <c r="Y238" s="258"/>
      <c r="Z238" s="258"/>
      <c r="AA238" s="258"/>
      <c r="AB238" s="149"/>
      <c r="AC238" s="259"/>
      <c r="AD238" s="149" t="s">
        <v>955</v>
      </c>
      <c r="AE238">
        <f t="shared" si="19"/>
        <v>0</v>
      </c>
      <c r="AF238">
        <f t="shared" si="20"/>
        <v>0</v>
      </c>
      <c r="AG238">
        <f t="shared" si="21"/>
        <v>0</v>
      </c>
      <c r="AH238" t="str">
        <f t="shared" si="18"/>
        <v/>
      </c>
      <c r="AJ238" t="s">
        <v>1428</v>
      </c>
      <c r="AK238" t="s">
        <v>1546</v>
      </c>
    </row>
    <row r="239" spans="1:38" x14ac:dyDescent="0.25">
      <c r="A239" s="256" t="s">
        <v>399</v>
      </c>
      <c r="B239" s="257"/>
      <c r="C239" s="258"/>
      <c r="D239" s="258"/>
      <c r="E239" s="258"/>
      <c r="F239" s="258"/>
      <c r="G239" s="149"/>
      <c r="H239" s="259">
        <v>2</v>
      </c>
      <c r="I239" s="257"/>
      <c r="J239" s="258"/>
      <c r="K239" s="258"/>
      <c r="L239" s="258"/>
      <c r="M239" s="258"/>
      <c r="N239" s="149"/>
      <c r="O239" s="259">
        <v>2</v>
      </c>
      <c r="P239" s="258"/>
      <c r="Q239" s="258"/>
      <c r="R239" s="258"/>
      <c r="S239" s="258"/>
      <c r="T239" s="258"/>
      <c r="U239" s="149"/>
      <c r="V239" s="149">
        <v>2</v>
      </c>
      <c r="W239" s="257"/>
      <c r="X239" s="258"/>
      <c r="Y239" s="258"/>
      <c r="Z239" s="258"/>
      <c r="AA239" s="258"/>
      <c r="AB239" s="149"/>
      <c r="AC239" s="259"/>
      <c r="AD239" s="149" t="s">
        <v>955</v>
      </c>
      <c r="AE239">
        <f t="shared" si="19"/>
        <v>0</v>
      </c>
      <c r="AF239">
        <f t="shared" si="20"/>
        <v>0</v>
      </c>
      <c r="AG239">
        <f t="shared" si="21"/>
        <v>0</v>
      </c>
      <c r="AH239" t="str">
        <f t="shared" si="18"/>
        <v/>
      </c>
      <c r="AJ239" t="s">
        <v>1429</v>
      </c>
      <c r="AK239" t="s">
        <v>1548</v>
      </c>
    </row>
    <row r="240" spans="1:38" x14ac:dyDescent="0.25">
      <c r="A240" s="256" t="s">
        <v>402</v>
      </c>
      <c r="B240" s="257"/>
      <c r="C240" s="258"/>
      <c r="D240" s="258"/>
      <c r="E240" s="258"/>
      <c r="F240" s="258"/>
      <c r="G240" s="149"/>
      <c r="H240" s="259">
        <v>2</v>
      </c>
      <c r="I240" s="257"/>
      <c r="J240" s="258"/>
      <c r="K240" s="258"/>
      <c r="L240" s="258"/>
      <c r="M240" s="258"/>
      <c r="N240" s="149"/>
      <c r="O240" s="259">
        <v>1</v>
      </c>
      <c r="P240" s="258"/>
      <c r="Q240" s="258"/>
      <c r="R240" s="258"/>
      <c r="S240" s="258"/>
      <c r="T240" s="258"/>
      <c r="U240" s="149"/>
      <c r="V240" s="149"/>
      <c r="W240" s="257"/>
      <c r="X240" s="258"/>
      <c r="Y240" s="258"/>
      <c r="Z240" s="258"/>
      <c r="AA240" s="258"/>
      <c r="AB240" s="149"/>
      <c r="AC240" s="259"/>
      <c r="AD240" s="149" t="s">
        <v>955</v>
      </c>
      <c r="AE240">
        <f t="shared" si="19"/>
        <v>0</v>
      </c>
      <c r="AF240">
        <f t="shared" si="20"/>
        <v>0</v>
      </c>
      <c r="AG240">
        <f t="shared" si="21"/>
        <v>0</v>
      </c>
      <c r="AH240" t="str">
        <f t="shared" si="18"/>
        <v/>
      </c>
      <c r="AJ240" t="s">
        <v>1430</v>
      </c>
    </row>
    <row r="241" spans="1:38" x14ac:dyDescent="0.25">
      <c r="A241" s="256" t="s">
        <v>405</v>
      </c>
      <c r="B241" s="257"/>
      <c r="C241" s="258"/>
      <c r="D241" s="258"/>
      <c r="E241" s="258"/>
      <c r="F241" s="258"/>
      <c r="G241" s="149"/>
      <c r="H241" s="259">
        <v>2</v>
      </c>
      <c r="I241" s="257"/>
      <c r="J241" s="258"/>
      <c r="K241" s="258"/>
      <c r="L241" s="258"/>
      <c r="M241" s="258"/>
      <c r="N241" s="149"/>
      <c r="O241" s="259">
        <v>1</v>
      </c>
      <c r="P241" s="258"/>
      <c r="Q241" s="258"/>
      <c r="R241" s="258"/>
      <c r="S241" s="258"/>
      <c r="T241" s="258"/>
      <c r="U241" s="149"/>
      <c r="V241" s="149"/>
      <c r="W241" s="257"/>
      <c r="X241" s="258"/>
      <c r="Y241" s="258"/>
      <c r="Z241" s="258"/>
      <c r="AA241" s="258"/>
      <c r="AB241" s="149"/>
      <c r="AC241" s="259"/>
      <c r="AD241" s="149"/>
      <c r="AE241">
        <f t="shared" si="19"/>
        <v>0</v>
      </c>
      <c r="AF241">
        <f t="shared" si="20"/>
        <v>0</v>
      </c>
      <c r="AG241">
        <f t="shared" si="21"/>
        <v>0</v>
      </c>
      <c r="AH241" t="str">
        <f t="shared" si="18"/>
        <v/>
      </c>
      <c r="AJ241" t="s">
        <v>1431</v>
      </c>
      <c r="AK241" t="s">
        <v>1550</v>
      </c>
    </row>
    <row r="242" spans="1:38" x14ac:dyDescent="0.25">
      <c r="A242" s="256" t="s">
        <v>408</v>
      </c>
      <c r="B242" s="257" t="s">
        <v>32</v>
      </c>
      <c r="C242" s="258"/>
      <c r="D242" s="258" t="s">
        <v>32</v>
      </c>
      <c r="E242" s="258"/>
      <c r="F242" s="258"/>
      <c r="G242" s="149">
        <v>30</v>
      </c>
      <c r="H242" s="259">
        <v>2</v>
      </c>
      <c r="I242" s="257"/>
      <c r="J242" s="258"/>
      <c r="K242" s="258"/>
      <c r="L242" s="258"/>
      <c r="M242" s="258"/>
      <c r="N242" s="149"/>
      <c r="O242" s="259">
        <v>1</v>
      </c>
      <c r="P242" s="258"/>
      <c r="Q242" s="258"/>
      <c r="R242" s="258"/>
      <c r="S242" s="258"/>
      <c r="T242" s="258"/>
      <c r="U242" s="149"/>
      <c r="V242" s="149"/>
      <c r="W242" s="257"/>
      <c r="X242" s="258"/>
      <c r="Y242" s="258"/>
      <c r="Z242" s="258"/>
      <c r="AA242" s="258"/>
      <c r="AB242" s="149"/>
      <c r="AC242" s="259"/>
      <c r="AD242" s="149" t="s">
        <v>955</v>
      </c>
      <c r="AE242">
        <f t="shared" si="19"/>
        <v>30</v>
      </c>
      <c r="AF242">
        <f t="shared" si="20"/>
        <v>0</v>
      </c>
      <c r="AG242">
        <f t="shared" si="21"/>
        <v>0</v>
      </c>
      <c r="AH242" t="str">
        <f t="shared" si="18"/>
        <v/>
      </c>
      <c r="AJ242" t="s">
        <v>1432</v>
      </c>
    </row>
    <row r="243" spans="1:38" x14ac:dyDescent="0.25">
      <c r="A243" s="256" t="s">
        <v>411</v>
      </c>
      <c r="B243" s="257" t="s">
        <v>32</v>
      </c>
      <c r="C243" s="258"/>
      <c r="D243" s="258" t="s">
        <v>32</v>
      </c>
      <c r="E243" s="258"/>
      <c r="F243" s="258"/>
      <c r="G243" s="149">
        <v>30</v>
      </c>
      <c r="H243" s="259">
        <v>2</v>
      </c>
      <c r="I243" s="257"/>
      <c r="J243" s="258"/>
      <c r="K243" s="258"/>
      <c r="L243" s="258"/>
      <c r="M243" s="258"/>
      <c r="N243" s="149"/>
      <c r="O243" s="259">
        <v>1</v>
      </c>
      <c r="P243" s="258"/>
      <c r="Q243" s="258"/>
      <c r="R243" s="258"/>
      <c r="S243" s="258"/>
      <c r="T243" s="258"/>
      <c r="U243" s="149"/>
      <c r="V243" s="149"/>
      <c r="W243" s="257"/>
      <c r="X243" s="258"/>
      <c r="Y243" s="258"/>
      <c r="Z243" s="258"/>
      <c r="AA243" s="258"/>
      <c r="AB243" s="149"/>
      <c r="AC243" s="259"/>
      <c r="AD243" s="149" t="s">
        <v>955</v>
      </c>
      <c r="AE243">
        <f t="shared" si="19"/>
        <v>30</v>
      </c>
      <c r="AF243">
        <f t="shared" si="20"/>
        <v>0</v>
      </c>
      <c r="AG243">
        <f t="shared" si="21"/>
        <v>0</v>
      </c>
      <c r="AH243" t="str">
        <f t="shared" si="18"/>
        <v/>
      </c>
      <c r="AJ243" t="s">
        <v>1433</v>
      </c>
      <c r="AK243" t="s">
        <v>1551</v>
      </c>
    </row>
    <row r="244" spans="1:38" x14ac:dyDescent="0.25">
      <c r="A244" s="256" t="s">
        <v>414</v>
      </c>
      <c r="B244" s="257"/>
      <c r="C244" s="258"/>
      <c r="D244" s="258"/>
      <c r="E244" s="258"/>
      <c r="F244" s="258"/>
      <c r="G244" s="149"/>
      <c r="H244" s="259">
        <v>2</v>
      </c>
      <c r="I244" s="257"/>
      <c r="J244" s="258"/>
      <c r="K244" s="258"/>
      <c r="L244" s="258"/>
      <c r="M244" s="258"/>
      <c r="N244" s="149"/>
      <c r="O244" s="259"/>
      <c r="P244" s="258"/>
      <c r="Q244" s="258"/>
      <c r="R244" s="258"/>
      <c r="S244" s="258"/>
      <c r="T244" s="258"/>
      <c r="U244" s="149"/>
      <c r="V244" s="149"/>
      <c r="W244" s="257"/>
      <c r="X244" s="258"/>
      <c r="Y244" s="258"/>
      <c r="Z244" s="258"/>
      <c r="AA244" s="258"/>
      <c r="AB244" s="149"/>
      <c r="AC244" s="259"/>
      <c r="AD244" s="149" t="s">
        <v>955</v>
      </c>
      <c r="AE244">
        <f t="shared" si="19"/>
        <v>0</v>
      </c>
      <c r="AF244">
        <f t="shared" si="20"/>
        <v>0</v>
      </c>
      <c r="AG244">
        <f t="shared" si="21"/>
        <v>0</v>
      </c>
      <c r="AH244" t="str">
        <f t="shared" si="18"/>
        <v/>
      </c>
      <c r="AJ244" t="s">
        <v>1434</v>
      </c>
      <c r="AK244" t="s">
        <v>1549</v>
      </c>
      <c r="AL244" t="s">
        <v>1625</v>
      </c>
    </row>
    <row r="245" spans="1:38" x14ac:dyDescent="0.25">
      <c r="A245" s="256" t="s">
        <v>417</v>
      </c>
      <c r="B245" s="257"/>
      <c r="C245" s="258"/>
      <c r="D245" s="258"/>
      <c r="E245" s="258"/>
      <c r="F245" s="258"/>
      <c r="G245" s="149"/>
      <c r="H245" s="259">
        <v>3</v>
      </c>
      <c r="I245" s="257"/>
      <c r="J245" s="258"/>
      <c r="K245" s="258"/>
      <c r="L245" s="258"/>
      <c r="M245" s="258"/>
      <c r="N245" s="149"/>
      <c r="O245" s="259">
        <v>2</v>
      </c>
      <c r="P245" s="258"/>
      <c r="Q245" s="258"/>
      <c r="R245" s="258"/>
      <c r="S245" s="258"/>
      <c r="T245" s="258"/>
      <c r="U245" s="149"/>
      <c r="V245" s="149"/>
      <c r="W245" s="257"/>
      <c r="X245" s="258"/>
      <c r="Y245" s="258"/>
      <c r="Z245" s="258"/>
      <c r="AA245" s="258"/>
      <c r="AB245" s="149"/>
      <c r="AC245" s="259"/>
      <c r="AD245" s="149" t="s">
        <v>955</v>
      </c>
      <c r="AE245">
        <f t="shared" si="19"/>
        <v>0</v>
      </c>
      <c r="AF245">
        <f t="shared" si="20"/>
        <v>0</v>
      </c>
      <c r="AG245">
        <f t="shared" si="21"/>
        <v>0</v>
      </c>
      <c r="AH245" t="str">
        <f t="shared" si="18"/>
        <v/>
      </c>
      <c r="AJ245" t="s">
        <v>1435</v>
      </c>
      <c r="AK245" t="s">
        <v>1552</v>
      </c>
      <c r="AL245" t="s">
        <v>1626</v>
      </c>
    </row>
    <row r="246" spans="1:38" x14ac:dyDescent="0.25">
      <c r="A246" s="256" t="s">
        <v>1075</v>
      </c>
      <c r="B246" s="257"/>
      <c r="C246" s="258"/>
      <c r="D246" s="258"/>
      <c r="E246" s="258"/>
      <c r="F246" s="258"/>
      <c r="G246" s="149"/>
      <c r="H246" s="259">
        <v>1</v>
      </c>
      <c r="I246" s="257"/>
      <c r="J246" s="258"/>
      <c r="K246" s="258"/>
      <c r="L246" s="258"/>
      <c r="M246" s="258"/>
      <c r="N246" s="149"/>
      <c r="O246" s="259">
        <v>1</v>
      </c>
      <c r="P246" s="258"/>
      <c r="Q246" s="258"/>
      <c r="R246" s="258"/>
      <c r="S246" s="258"/>
      <c r="T246" s="258"/>
      <c r="U246" s="149"/>
      <c r="V246" s="149">
        <v>1</v>
      </c>
      <c r="W246" s="257"/>
      <c r="X246" s="258"/>
      <c r="Y246" s="258"/>
      <c r="Z246" s="258"/>
      <c r="AA246" s="258"/>
      <c r="AB246" s="149"/>
      <c r="AC246" s="259"/>
      <c r="AD246" s="149" t="s">
        <v>955</v>
      </c>
      <c r="AE246">
        <f t="shared" si="19"/>
        <v>0</v>
      </c>
      <c r="AF246">
        <f t="shared" si="20"/>
        <v>0</v>
      </c>
      <c r="AG246">
        <f t="shared" si="21"/>
        <v>0</v>
      </c>
      <c r="AH246" t="str">
        <f t="shared" si="18"/>
        <v/>
      </c>
      <c r="AJ246" t="s">
        <v>1436</v>
      </c>
      <c r="AK246" t="s">
        <v>1553</v>
      </c>
      <c r="AL246" t="s">
        <v>1627</v>
      </c>
    </row>
    <row r="247" spans="1:38" x14ac:dyDescent="0.25">
      <c r="A247" s="256" t="s">
        <v>423</v>
      </c>
      <c r="B247" s="257"/>
      <c r="C247" s="258"/>
      <c r="D247" s="258"/>
      <c r="E247" s="258"/>
      <c r="F247" s="258"/>
      <c r="G247" s="149"/>
      <c r="H247" s="259">
        <v>2</v>
      </c>
      <c r="I247" s="257"/>
      <c r="J247" s="258"/>
      <c r="K247" s="258"/>
      <c r="L247" s="258"/>
      <c r="M247" s="258"/>
      <c r="N247" s="149"/>
      <c r="O247" s="259"/>
      <c r="P247" s="258"/>
      <c r="Q247" s="258"/>
      <c r="R247" s="258"/>
      <c r="S247" s="258"/>
      <c r="T247" s="258"/>
      <c r="U247" s="149"/>
      <c r="V247" s="149"/>
      <c r="W247" s="257"/>
      <c r="X247" s="258"/>
      <c r="Y247" s="258"/>
      <c r="Z247" s="258"/>
      <c r="AA247" s="258"/>
      <c r="AB247" s="149"/>
      <c r="AC247" s="259"/>
      <c r="AD247" s="149" t="s">
        <v>955</v>
      </c>
      <c r="AE247">
        <f t="shared" si="19"/>
        <v>0</v>
      </c>
      <c r="AF247">
        <f t="shared" si="20"/>
        <v>0</v>
      </c>
      <c r="AG247">
        <f t="shared" si="21"/>
        <v>0</v>
      </c>
      <c r="AH247" t="str">
        <f t="shared" si="18"/>
        <v/>
      </c>
    </row>
    <row r="248" spans="1:38" x14ac:dyDescent="0.25">
      <c r="A248" s="256" t="s">
        <v>1045</v>
      </c>
      <c r="B248" s="257"/>
      <c r="C248" s="258"/>
      <c r="D248" s="258"/>
      <c r="E248" s="258"/>
      <c r="F248" s="258"/>
      <c r="G248" s="149"/>
      <c r="H248" s="259">
        <v>2</v>
      </c>
      <c r="I248" s="257"/>
      <c r="J248" s="258"/>
      <c r="K248" s="258"/>
      <c r="L248" s="258"/>
      <c r="M248" s="258"/>
      <c r="N248" s="149"/>
      <c r="O248" s="259"/>
      <c r="P248" s="258"/>
      <c r="Q248" s="258"/>
      <c r="R248" s="258"/>
      <c r="S248" s="258"/>
      <c r="T248" s="258"/>
      <c r="U248" s="149"/>
      <c r="V248" s="149"/>
      <c r="W248" s="257"/>
      <c r="X248" s="258"/>
      <c r="Y248" s="258"/>
      <c r="Z248" s="258"/>
      <c r="AA248" s="258"/>
      <c r="AB248" s="149"/>
      <c r="AC248" s="259"/>
      <c r="AD248" s="149" t="s">
        <v>955</v>
      </c>
      <c r="AE248">
        <f t="shared" si="19"/>
        <v>0</v>
      </c>
      <c r="AF248">
        <f t="shared" si="20"/>
        <v>0</v>
      </c>
      <c r="AG248">
        <f t="shared" si="21"/>
        <v>0</v>
      </c>
      <c r="AH248" t="str">
        <f>IF(AB248="S",30,IF(AB248="M",45,IF(AB248="L",60,"")))</f>
        <v/>
      </c>
      <c r="AJ248" t="s">
        <v>1437</v>
      </c>
    </row>
    <row r="249" spans="1:38" x14ac:dyDescent="0.25">
      <c r="A249" s="256" t="s">
        <v>426</v>
      </c>
      <c r="B249" s="257" t="s">
        <v>32</v>
      </c>
      <c r="C249" s="258"/>
      <c r="D249" s="258" t="s">
        <v>32</v>
      </c>
      <c r="E249" s="258"/>
      <c r="F249" s="258"/>
      <c r="G249" s="149">
        <v>30</v>
      </c>
      <c r="H249" s="259">
        <v>2</v>
      </c>
      <c r="I249" s="257"/>
      <c r="J249" s="258"/>
      <c r="K249" s="258"/>
      <c r="L249" s="258"/>
      <c r="M249" s="258"/>
      <c r="N249" s="149"/>
      <c r="O249" s="259"/>
      <c r="P249" s="258"/>
      <c r="Q249" s="258"/>
      <c r="R249" s="258"/>
      <c r="S249" s="258"/>
      <c r="T249" s="258"/>
      <c r="U249" s="149"/>
      <c r="V249" s="149"/>
      <c r="W249" s="257"/>
      <c r="X249" s="258"/>
      <c r="Y249" s="258"/>
      <c r="Z249" s="258"/>
      <c r="AA249" s="258"/>
      <c r="AB249" s="149"/>
      <c r="AC249" s="259"/>
      <c r="AD249" s="149" t="s">
        <v>955</v>
      </c>
      <c r="AE249">
        <f t="shared" si="19"/>
        <v>30</v>
      </c>
      <c r="AF249">
        <f t="shared" si="20"/>
        <v>0</v>
      </c>
      <c r="AG249">
        <f t="shared" si="21"/>
        <v>0</v>
      </c>
      <c r="AH249" t="str">
        <f t="shared" si="18"/>
        <v/>
      </c>
      <c r="AJ249" t="s">
        <v>1438</v>
      </c>
      <c r="AK249" t="s">
        <v>1554</v>
      </c>
      <c r="AL249" t="s">
        <v>1628</v>
      </c>
    </row>
    <row r="250" spans="1:38" x14ac:dyDescent="0.25">
      <c r="A250" s="256" t="s">
        <v>429</v>
      </c>
      <c r="B250" s="257"/>
      <c r="C250" s="258"/>
      <c r="D250" s="258"/>
      <c r="E250" s="258"/>
      <c r="F250" s="258"/>
      <c r="G250" s="149"/>
      <c r="H250" s="259">
        <v>3</v>
      </c>
      <c r="I250" s="257"/>
      <c r="J250" s="258"/>
      <c r="K250" s="258"/>
      <c r="L250" s="258"/>
      <c r="M250" s="258"/>
      <c r="N250" s="149"/>
      <c r="O250" s="259">
        <v>2</v>
      </c>
      <c r="P250" s="258"/>
      <c r="Q250" s="258"/>
      <c r="R250" s="258"/>
      <c r="S250" s="258"/>
      <c r="T250" s="258"/>
      <c r="U250" s="149"/>
      <c r="V250" s="149"/>
      <c r="W250" s="257"/>
      <c r="X250" s="258"/>
      <c r="Y250" s="258"/>
      <c r="Z250" s="258"/>
      <c r="AA250" s="258"/>
      <c r="AB250" s="149"/>
      <c r="AC250" s="259"/>
      <c r="AD250" s="149" t="s">
        <v>955</v>
      </c>
      <c r="AE250">
        <f t="shared" si="19"/>
        <v>0</v>
      </c>
      <c r="AF250">
        <f t="shared" si="20"/>
        <v>0</v>
      </c>
      <c r="AG250">
        <f t="shared" si="21"/>
        <v>0</v>
      </c>
      <c r="AH250" t="str">
        <f t="shared" si="18"/>
        <v/>
      </c>
      <c r="AJ250" t="s">
        <v>1439</v>
      </c>
      <c r="AK250" t="s">
        <v>1555</v>
      </c>
    </row>
    <row r="251" spans="1:38" x14ac:dyDescent="0.25">
      <c r="A251" s="256" t="s">
        <v>432</v>
      </c>
      <c r="B251" s="257"/>
      <c r="C251" s="258"/>
      <c r="D251" s="258"/>
      <c r="E251" s="258"/>
      <c r="F251" s="258"/>
      <c r="G251" s="149"/>
      <c r="H251" s="259">
        <v>2</v>
      </c>
      <c r="I251" s="257"/>
      <c r="J251" s="258"/>
      <c r="K251" s="258"/>
      <c r="L251" s="258"/>
      <c r="M251" s="258"/>
      <c r="N251" s="149"/>
      <c r="O251" s="259"/>
      <c r="P251" s="258"/>
      <c r="Q251" s="258"/>
      <c r="R251" s="258"/>
      <c r="S251" s="258"/>
      <c r="T251" s="258"/>
      <c r="U251" s="149"/>
      <c r="V251" s="149"/>
      <c r="W251" s="257"/>
      <c r="X251" s="258"/>
      <c r="Y251" s="258"/>
      <c r="Z251" s="258"/>
      <c r="AA251" s="258"/>
      <c r="AB251" s="149"/>
      <c r="AC251" s="259"/>
      <c r="AD251" s="149" t="s">
        <v>955</v>
      </c>
      <c r="AE251">
        <f t="shared" si="19"/>
        <v>0</v>
      </c>
      <c r="AF251">
        <f t="shared" si="20"/>
        <v>0</v>
      </c>
      <c r="AG251">
        <f t="shared" si="21"/>
        <v>0</v>
      </c>
      <c r="AH251" t="str">
        <f t="shared" si="18"/>
        <v/>
      </c>
      <c r="AJ251" t="s">
        <v>1440</v>
      </c>
      <c r="AL251" t="s">
        <v>1629</v>
      </c>
    </row>
    <row r="252" spans="1:38" x14ac:dyDescent="0.25">
      <c r="A252" s="256" t="s">
        <v>435</v>
      </c>
      <c r="B252" s="257"/>
      <c r="C252" s="258"/>
      <c r="D252" s="258"/>
      <c r="E252" s="258"/>
      <c r="F252" s="258"/>
      <c r="G252" s="149"/>
      <c r="H252" s="259">
        <v>1</v>
      </c>
      <c r="I252" s="257"/>
      <c r="J252" s="258"/>
      <c r="K252" s="258"/>
      <c r="L252" s="258"/>
      <c r="M252" s="258"/>
      <c r="N252" s="149"/>
      <c r="O252" s="259">
        <v>1</v>
      </c>
      <c r="P252" s="258"/>
      <c r="Q252" s="258"/>
      <c r="R252" s="258"/>
      <c r="S252" s="258"/>
      <c r="T252" s="258"/>
      <c r="U252" s="149"/>
      <c r="V252" s="149">
        <v>2</v>
      </c>
      <c r="W252" s="257"/>
      <c r="X252" s="258"/>
      <c r="Y252" s="258"/>
      <c r="Z252" s="258"/>
      <c r="AA252" s="258"/>
      <c r="AB252" s="149"/>
      <c r="AC252" s="259"/>
      <c r="AD252" s="149" t="s">
        <v>955</v>
      </c>
      <c r="AE252">
        <f t="shared" si="19"/>
        <v>0</v>
      </c>
      <c r="AF252">
        <f t="shared" si="20"/>
        <v>0</v>
      </c>
      <c r="AG252">
        <f t="shared" si="21"/>
        <v>0</v>
      </c>
      <c r="AH252" t="str">
        <f t="shared" si="18"/>
        <v/>
      </c>
      <c r="AJ252" t="s">
        <v>1441</v>
      </c>
      <c r="AK252" t="s">
        <v>1556</v>
      </c>
      <c r="AL252" t="s">
        <v>1630</v>
      </c>
    </row>
    <row r="253" spans="1:38" x14ac:dyDescent="0.25">
      <c r="A253" s="256" t="s">
        <v>438</v>
      </c>
      <c r="B253" s="257"/>
      <c r="C253" s="258"/>
      <c r="D253" s="258"/>
      <c r="E253" s="258"/>
      <c r="F253" s="258"/>
      <c r="G253" s="149"/>
      <c r="H253" s="259">
        <v>2</v>
      </c>
      <c r="I253" s="257"/>
      <c r="J253" s="258"/>
      <c r="K253" s="258"/>
      <c r="L253" s="258"/>
      <c r="M253" s="258"/>
      <c r="N253" s="149"/>
      <c r="O253" s="259">
        <v>2</v>
      </c>
      <c r="P253" s="258"/>
      <c r="Q253" s="258"/>
      <c r="R253" s="258"/>
      <c r="S253" s="258"/>
      <c r="T253" s="258"/>
      <c r="U253" s="149"/>
      <c r="V253" s="149"/>
      <c r="W253" s="257"/>
      <c r="X253" s="258"/>
      <c r="Y253" s="258"/>
      <c r="Z253" s="258"/>
      <c r="AA253" s="258"/>
      <c r="AB253" s="149"/>
      <c r="AC253" s="259"/>
      <c r="AD253" s="149" t="s">
        <v>955</v>
      </c>
      <c r="AE253">
        <f t="shared" si="19"/>
        <v>0</v>
      </c>
      <c r="AF253">
        <f t="shared" si="20"/>
        <v>0</v>
      </c>
      <c r="AG253">
        <f t="shared" si="21"/>
        <v>0</v>
      </c>
      <c r="AH253" t="str">
        <f t="shared" si="18"/>
        <v/>
      </c>
      <c r="AJ253" t="s">
        <v>1442</v>
      </c>
      <c r="AK253" t="s">
        <v>1558</v>
      </c>
    </row>
    <row r="254" spans="1:38" x14ac:dyDescent="0.25">
      <c r="A254" s="256" t="s">
        <v>441</v>
      </c>
      <c r="B254" s="257" t="s">
        <v>32</v>
      </c>
      <c r="C254" s="258"/>
      <c r="D254" s="258" t="s">
        <v>32</v>
      </c>
      <c r="E254" s="258"/>
      <c r="F254" s="258"/>
      <c r="G254" s="149">
        <v>30</v>
      </c>
      <c r="H254" s="259">
        <v>1</v>
      </c>
      <c r="I254" s="257" t="s">
        <v>32</v>
      </c>
      <c r="J254" s="258"/>
      <c r="K254" s="258" t="s">
        <v>32</v>
      </c>
      <c r="L254" s="258"/>
      <c r="M254" s="258"/>
      <c r="N254" s="149">
        <v>35</v>
      </c>
      <c r="O254" s="259">
        <v>2</v>
      </c>
      <c r="P254" s="258"/>
      <c r="Q254" s="258"/>
      <c r="R254" s="258"/>
      <c r="S254" s="258"/>
      <c r="T254" s="258"/>
      <c r="U254" s="149"/>
      <c r="V254" s="149">
        <v>2</v>
      </c>
      <c r="W254" s="257"/>
      <c r="X254" s="258"/>
      <c r="Y254" s="258"/>
      <c r="Z254" s="258"/>
      <c r="AA254" s="258"/>
      <c r="AB254" s="149"/>
      <c r="AC254" s="259"/>
      <c r="AD254" s="149" t="s">
        <v>955</v>
      </c>
      <c r="AE254">
        <f t="shared" si="19"/>
        <v>30</v>
      </c>
      <c r="AF254">
        <f t="shared" si="20"/>
        <v>35</v>
      </c>
      <c r="AG254">
        <f t="shared" si="21"/>
        <v>0</v>
      </c>
      <c r="AH254" t="str">
        <f t="shared" si="18"/>
        <v/>
      </c>
      <c r="AJ254" t="s">
        <v>1443</v>
      </c>
      <c r="AK254" t="s">
        <v>1557</v>
      </c>
      <c r="AL254" t="s">
        <v>1631</v>
      </c>
    </row>
    <row r="255" spans="1:38" x14ac:dyDescent="0.25">
      <c r="A255" s="256" t="s">
        <v>444</v>
      </c>
      <c r="B255" s="257"/>
      <c r="C255" s="258"/>
      <c r="D255" s="258"/>
      <c r="E255" s="258"/>
      <c r="F255" s="258"/>
      <c r="G255" s="149"/>
      <c r="H255" s="259">
        <v>3</v>
      </c>
      <c r="I255" s="257"/>
      <c r="J255" s="258"/>
      <c r="K255" s="258"/>
      <c r="L255" s="258"/>
      <c r="M255" s="258"/>
      <c r="N255" s="149"/>
      <c r="O255" s="259">
        <v>2</v>
      </c>
      <c r="P255" s="258"/>
      <c r="Q255" s="258"/>
      <c r="R255" s="258"/>
      <c r="S255" s="258"/>
      <c r="T255" s="258"/>
      <c r="U255" s="149"/>
      <c r="V255" s="149"/>
      <c r="W255" s="257"/>
      <c r="X255" s="258"/>
      <c r="Y255" s="258"/>
      <c r="Z255" s="258"/>
      <c r="AA255" s="258"/>
      <c r="AB255" s="149"/>
      <c r="AC255" s="259"/>
      <c r="AD255" s="149" t="s">
        <v>955</v>
      </c>
      <c r="AE255">
        <f t="shared" si="19"/>
        <v>0</v>
      </c>
      <c r="AF255">
        <f t="shared" si="20"/>
        <v>0</v>
      </c>
      <c r="AG255">
        <f t="shared" si="21"/>
        <v>0</v>
      </c>
      <c r="AH255" t="str">
        <f t="shared" si="18"/>
        <v/>
      </c>
    </row>
    <row r="256" spans="1:38" x14ac:dyDescent="0.25">
      <c r="A256" s="256" t="s">
        <v>445</v>
      </c>
      <c r="B256" s="257" t="s">
        <v>32</v>
      </c>
      <c r="C256" s="258"/>
      <c r="D256" s="258" t="s">
        <v>32</v>
      </c>
      <c r="E256" s="258"/>
      <c r="F256" s="258"/>
      <c r="G256" s="149">
        <v>30</v>
      </c>
      <c r="H256" s="259">
        <v>2</v>
      </c>
      <c r="I256" s="257"/>
      <c r="J256" s="258"/>
      <c r="K256" s="258"/>
      <c r="L256" s="258"/>
      <c r="M256" s="258"/>
      <c r="N256" s="149"/>
      <c r="O256" s="259">
        <v>2</v>
      </c>
      <c r="P256" s="258"/>
      <c r="Q256" s="258"/>
      <c r="R256" s="258"/>
      <c r="S256" s="258"/>
      <c r="T256" s="258"/>
      <c r="U256" s="149"/>
      <c r="V256" s="149">
        <v>2</v>
      </c>
      <c r="W256" s="257"/>
      <c r="X256" s="258"/>
      <c r="Y256" s="258"/>
      <c r="Z256" s="258"/>
      <c r="AA256" s="258"/>
      <c r="AB256" s="149"/>
      <c r="AC256" s="259"/>
      <c r="AD256" s="149" t="s">
        <v>955</v>
      </c>
      <c r="AE256">
        <f t="shared" si="19"/>
        <v>30</v>
      </c>
      <c r="AF256">
        <f t="shared" si="20"/>
        <v>0</v>
      </c>
      <c r="AG256">
        <f t="shared" si="21"/>
        <v>0</v>
      </c>
      <c r="AH256" t="str">
        <f t="shared" si="18"/>
        <v/>
      </c>
      <c r="AJ256" t="s">
        <v>1444</v>
      </c>
      <c r="AK256" t="s">
        <v>1559</v>
      </c>
      <c r="AL256" t="s">
        <v>1633</v>
      </c>
    </row>
    <row r="257" spans="1:38" x14ac:dyDescent="0.25">
      <c r="A257" s="256" t="s">
        <v>448</v>
      </c>
      <c r="B257" s="257"/>
      <c r="C257" s="258"/>
      <c r="D257" s="258"/>
      <c r="E257" s="258"/>
      <c r="F257" s="258"/>
      <c r="G257" s="149"/>
      <c r="H257" s="259">
        <v>2</v>
      </c>
      <c r="I257" s="257"/>
      <c r="J257" s="258"/>
      <c r="K257" s="258" t="s">
        <v>32</v>
      </c>
      <c r="L257" s="258"/>
      <c r="M257" s="258"/>
      <c r="N257" s="149">
        <v>35</v>
      </c>
      <c r="O257" s="259">
        <v>2</v>
      </c>
      <c r="P257" s="258"/>
      <c r="Q257" s="258"/>
      <c r="R257" s="258"/>
      <c r="S257" s="258"/>
      <c r="T257" s="258"/>
      <c r="U257" s="149"/>
      <c r="V257" s="149"/>
      <c r="W257" s="257"/>
      <c r="X257" s="258"/>
      <c r="Y257" s="258"/>
      <c r="Z257" s="258"/>
      <c r="AA257" s="258"/>
      <c r="AB257" s="149"/>
      <c r="AC257" s="259"/>
      <c r="AD257" s="149" t="s">
        <v>955</v>
      </c>
      <c r="AE257">
        <f t="shared" si="19"/>
        <v>0</v>
      </c>
      <c r="AF257">
        <f t="shared" si="20"/>
        <v>35</v>
      </c>
      <c r="AG257">
        <f t="shared" si="21"/>
        <v>0</v>
      </c>
      <c r="AH257" t="str">
        <f t="shared" si="18"/>
        <v/>
      </c>
      <c r="AJ257" t="s">
        <v>1445</v>
      </c>
      <c r="AK257" t="s">
        <v>1560</v>
      </c>
      <c r="AL257" t="s">
        <v>1632</v>
      </c>
    </row>
    <row r="258" spans="1:38" x14ac:dyDescent="0.25">
      <c r="A258" s="256" t="s">
        <v>451</v>
      </c>
      <c r="B258" s="257" t="s">
        <v>32</v>
      </c>
      <c r="C258" s="258"/>
      <c r="D258" s="258" t="s">
        <v>32</v>
      </c>
      <c r="E258" s="258"/>
      <c r="F258" s="258"/>
      <c r="G258" s="149">
        <v>30</v>
      </c>
      <c r="H258" s="259">
        <v>1</v>
      </c>
      <c r="I258" s="257" t="s">
        <v>32</v>
      </c>
      <c r="J258" s="258"/>
      <c r="K258" s="258" t="s">
        <v>32</v>
      </c>
      <c r="L258" s="258"/>
      <c r="M258" s="258"/>
      <c r="N258" s="149">
        <v>35</v>
      </c>
      <c r="O258" s="259">
        <v>1</v>
      </c>
      <c r="P258" s="258"/>
      <c r="Q258" s="258"/>
      <c r="R258" s="258"/>
      <c r="S258" s="258"/>
      <c r="T258" s="258"/>
      <c r="U258" s="149"/>
      <c r="V258" s="149">
        <v>2</v>
      </c>
      <c r="W258" s="257"/>
      <c r="X258" s="258"/>
      <c r="Y258" s="258"/>
      <c r="Z258" s="258"/>
      <c r="AA258" s="258"/>
      <c r="AB258" s="149"/>
      <c r="AC258" s="259"/>
      <c r="AD258" s="149" t="s">
        <v>955</v>
      </c>
      <c r="AE258">
        <f t="shared" si="19"/>
        <v>30</v>
      </c>
      <c r="AF258">
        <f t="shared" si="20"/>
        <v>35</v>
      </c>
      <c r="AG258">
        <f t="shared" si="21"/>
        <v>0</v>
      </c>
      <c r="AH258" t="str">
        <f t="shared" si="18"/>
        <v/>
      </c>
      <c r="AJ258" t="s">
        <v>1446</v>
      </c>
      <c r="AK258" t="s">
        <v>1561</v>
      </c>
      <c r="AL258" t="s">
        <v>1634</v>
      </c>
    </row>
    <row r="259" spans="1:38" x14ac:dyDescent="0.25">
      <c r="A259" s="256" t="s">
        <v>454</v>
      </c>
      <c r="B259" s="257" t="s">
        <v>32</v>
      </c>
      <c r="C259" s="258"/>
      <c r="D259" s="258" t="s">
        <v>32</v>
      </c>
      <c r="E259" s="258"/>
      <c r="F259" s="258"/>
      <c r="G259" s="149">
        <v>30</v>
      </c>
      <c r="H259" s="259">
        <v>1</v>
      </c>
      <c r="I259" s="257"/>
      <c r="J259" s="258"/>
      <c r="K259" s="258"/>
      <c r="L259" s="258"/>
      <c r="M259" s="258"/>
      <c r="N259" s="149"/>
      <c r="O259" s="259">
        <v>1</v>
      </c>
      <c r="P259" s="258"/>
      <c r="Q259" s="258"/>
      <c r="R259" s="258"/>
      <c r="S259" s="258"/>
      <c r="T259" s="258"/>
      <c r="U259" s="149"/>
      <c r="V259" s="149">
        <v>2</v>
      </c>
      <c r="W259" s="257"/>
      <c r="X259" s="258"/>
      <c r="Y259" s="258"/>
      <c r="Z259" s="258"/>
      <c r="AA259" s="258"/>
      <c r="AB259" s="149"/>
      <c r="AC259" s="259"/>
      <c r="AD259" s="149" t="s">
        <v>955</v>
      </c>
      <c r="AE259">
        <f t="shared" si="19"/>
        <v>30</v>
      </c>
      <c r="AF259">
        <f t="shared" si="20"/>
        <v>0</v>
      </c>
      <c r="AG259">
        <f t="shared" si="21"/>
        <v>0</v>
      </c>
      <c r="AH259" t="str">
        <f t="shared" si="18"/>
        <v/>
      </c>
      <c r="AJ259" t="s">
        <v>1447</v>
      </c>
      <c r="AK259" t="s">
        <v>1562</v>
      </c>
      <c r="AL259" t="s">
        <v>1635</v>
      </c>
    </row>
    <row r="260" spans="1:38" x14ac:dyDescent="0.25">
      <c r="A260" s="256" t="s">
        <v>457</v>
      </c>
      <c r="B260" s="257"/>
      <c r="C260" s="258"/>
      <c r="D260" s="258"/>
      <c r="E260" s="258"/>
      <c r="F260" s="258"/>
      <c r="G260" s="149"/>
      <c r="H260" s="259">
        <v>1</v>
      </c>
      <c r="I260" s="257"/>
      <c r="J260" s="258"/>
      <c r="K260" s="258"/>
      <c r="L260" s="258"/>
      <c r="M260" s="258"/>
      <c r="N260" s="149"/>
      <c r="O260" s="259">
        <v>1</v>
      </c>
      <c r="P260" s="258"/>
      <c r="Q260" s="258"/>
      <c r="R260" s="258"/>
      <c r="S260" s="258"/>
      <c r="T260" s="258"/>
      <c r="U260" s="149"/>
      <c r="V260" s="149">
        <v>1</v>
      </c>
      <c r="W260" s="257"/>
      <c r="X260" s="258"/>
      <c r="Y260" s="258"/>
      <c r="Z260" s="258"/>
      <c r="AA260" s="258"/>
      <c r="AB260" s="149"/>
      <c r="AC260" s="259"/>
      <c r="AD260" s="149" t="s">
        <v>955</v>
      </c>
      <c r="AE260">
        <f t="shared" si="19"/>
        <v>0</v>
      </c>
      <c r="AF260">
        <f t="shared" si="20"/>
        <v>0</v>
      </c>
      <c r="AG260">
        <f t="shared" si="21"/>
        <v>0</v>
      </c>
      <c r="AH260" t="str">
        <f t="shared" si="18"/>
        <v/>
      </c>
      <c r="AJ260" t="s">
        <v>1448</v>
      </c>
      <c r="AK260" t="s">
        <v>1563</v>
      </c>
      <c r="AL260" t="s">
        <v>1636</v>
      </c>
    </row>
    <row r="261" spans="1:38" x14ac:dyDescent="0.25">
      <c r="A261" s="256" t="s">
        <v>1088</v>
      </c>
      <c r="B261" s="257"/>
      <c r="C261" s="258"/>
      <c r="D261" s="258"/>
      <c r="E261" s="258"/>
      <c r="F261" s="258"/>
      <c r="G261" s="149" t="s">
        <v>1130</v>
      </c>
      <c r="H261" s="259"/>
      <c r="I261" s="257"/>
      <c r="J261" s="258"/>
      <c r="K261" s="258"/>
      <c r="L261" s="258"/>
      <c r="M261" s="258"/>
      <c r="N261" s="149"/>
      <c r="O261" s="259">
        <v>1</v>
      </c>
      <c r="P261" s="258"/>
      <c r="Q261" s="258"/>
      <c r="R261" s="258"/>
      <c r="S261" s="258"/>
      <c r="T261" s="258"/>
      <c r="U261" s="149"/>
      <c r="V261" s="149"/>
      <c r="W261" s="257"/>
      <c r="X261" s="258"/>
      <c r="Y261" s="258"/>
      <c r="Z261" s="258"/>
      <c r="AA261" s="258"/>
      <c r="AB261" s="149"/>
      <c r="AC261" s="259"/>
      <c r="AD261" s="149" t="s">
        <v>955</v>
      </c>
      <c r="AE261" t="str">
        <f t="shared" si="19"/>
        <v/>
      </c>
      <c r="AF261">
        <f t="shared" si="20"/>
        <v>0</v>
      </c>
      <c r="AG261">
        <f t="shared" si="21"/>
        <v>0</v>
      </c>
      <c r="AH261" t="str">
        <f t="shared" si="18"/>
        <v/>
      </c>
    </row>
    <row r="262" spans="1:38" x14ac:dyDescent="0.25">
      <c r="A262" s="256" t="s">
        <v>1089</v>
      </c>
      <c r="B262" s="257"/>
      <c r="C262" s="258"/>
      <c r="D262" s="258"/>
      <c r="E262" s="258"/>
      <c r="F262" s="258"/>
      <c r="G262" s="149" t="s">
        <v>1130</v>
      </c>
      <c r="H262" s="259"/>
      <c r="I262" s="257"/>
      <c r="J262" s="258"/>
      <c r="K262" s="258"/>
      <c r="L262" s="258"/>
      <c r="M262" s="258"/>
      <c r="N262" s="149"/>
      <c r="O262" s="259">
        <v>1</v>
      </c>
      <c r="P262" s="258"/>
      <c r="Q262" s="258"/>
      <c r="R262" s="258"/>
      <c r="S262" s="258"/>
      <c r="T262" s="258"/>
      <c r="U262" s="149"/>
      <c r="V262" s="149"/>
      <c r="W262" s="257"/>
      <c r="X262" s="258"/>
      <c r="Y262" s="258"/>
      <c r="Z262" s="258"/>
      <c r="AA262" s="258"/>
      <c r="AB262" s="149"/>
      <c r="AC262" s="259"/>
      <c r="AD262" s="149" t="s">
        <v>955</v>
      </c>
      <c r="AE262" t="str">
        <f t="shared" si="19"/>
        <v/>
      </c>
      <c r="AF262">
        <f t="shared" si="20"/>
        <v>0</v>
      </c>
      <c r="AG262">
        <f t="shared" si="21"/>
        <v>0</v>
      </c>
      <c r="AH262" t="str">
        <f t="shared" si="18"/>
        <v/>
      </c>
    </row>
    <row r="263" spans="1:38" x14ac:dyDescent="0.25">
      <c r="A263" s="256" t="s">
        <v>460</v>
      </c>
      <c r="B263" s="257"/>
      <c r="C263" s="258"/>
      <c r="D263" s="258"/>
      <c r="E263" s="258"/>
      <c r="F263" s="258"/>
      <c r="G263" s="149" t="s">
        <v>1130</v>
      </c>
      <c r="H263" s="259">
        <v>1</v>
      </c>
      <c r="I263" s="257"/>
      <c r="J263" s="258"/>
      <c r="K263" s="258"/>
      <c r="L263" s="258"/>
      <c r="M263" s="258"/>
      <c r="N263" s="149"/>
      <c r="O263" s="259"/>
      <c r="P263" s="258"/>
      <c r="Q263" s="258"/>
      <c r="R263" s="258"/>
      <c r="S263" s="258"/>
      <c r="T263" s="258"/>
      <c r="U263" s="149"/>
      <c r="V263" s="149"/>
      <c r="W263" s="257"/>
      <c r="X263" s="258"/>
      <c r="Y263" s="258"/>
      <c r="Z263" s="258"/>
      <c r="AA263" s="258"/>
      <c r="AB263" s="149"/>
      <c r="AC263" s="259"/>
      <c r="AD263" s="149" t="s">
        <v>955</v>
      </c>
      <c r="AE263" t="str">
        <f>IF(G263="S",25,IF(G263="M",35,IF(G263="L",50,"")))</f>
        <v/>
      </c>
      <c r="AF263">
        <f t="shared" si="20"/>
        <v>0</v>
      </c>
      <c r="AG263">
        <f t="shared" si="21"/>
        <v>0</v>
      </c>
      <c r="AH263" t="str">
        <f t="shared" si="18"/>
        <v/>
      </c>
    </row>
    <row r="264" spans="1:38" x14ac:dyDescent="0.25">
      <c r="A264" s="256"/>
      <c r="B264" s="257"/>
      <c r="C264" s="258"/>
      <c r="D264" s="258"/>
      <c r="E264" s="258"/>
      <c r="F264" s="258"/>
      <c r="G264" s="149"/>
      <c r="H264" s="259"/>
      <c r="I264" s="257"/>
      <c r="J264" s="258"/>
      <c r="K264" s="258"/>
      <c r="L264" s="258"/>
      <c r="M264" s="258"/>
      <c r="N264" s="149"/>
      <c r="O264" s="259"/>
      <c r="P264" s="258"/>
      <c r="Q264" s="258"/>
      <c r="R264" s="258"/>
      <c r="S264" s="258"/>
      <c r="T264" s="258"/>
      <c r="U264" s="149"/>
      <c r="V264" s="149"/>
      <c r="W264" s="257"/>
      <c r="X264" s="258"/>
      <c r="Y264" s="258"/>
      <c r="Z264" s="258"/>
      <c r="AA264" s="258"/>
      <c r="AB264" s="149"/>
      <c r="AC264" s="259"/>
      <c r="AD264" s="149"/>
      <c r="AE264" t="str">
        <f>IF(G264="S",30,IF(G264="M",50,IF(G264="L",65,"")))</f>
        <v/>
      </c>
    </row>
    <row r="265" spans="1:38" x14ac:dyDescent="0.25">
      <c r="A265" s="256" t="s">
        <v>960</v>
      </c>
      <c r="B265" s="257" t="s">
        <v>32</v>
      </c>
      <c r="C265" s="258"/>
      <c r="D265" s="258" t="s">
        <v>32</v>
      </c>
      <c r="E265" s="258" t="s">
        <v>32</v>
      </c>
      <c r="F265" s="258"/>
      <c r="G265" s="149"/>
      <c r="H265" s="259">
        <v>1</v>
      </c>
      <c r="I265" s="260"/>
      <c r="J265" s="261"/>
      <c r="K265" s="261"/>
      <c r="L265" s="261"/>
      <c r="M265" s="261"/>
      <c r="N265" s="262"/>
      <c r="O265" s="263"/>
      <c r="P265" s="261"/>
      <c r="Q265" s="261"/>
      <c r="R265" s="261"/>
      <c r="S265" s="261"/>
      <c r="T265" s="261"/>
      <c r="U265" s="262"/>
      <c r="V265" s="262"/>
      <c r="W265" s="260"/>
      <c r="X265" s="261"/>
      <c r="Y265" s="261"/>
      <c r="Z265" s="261"/>
      <c r="AA265" s="261"/>
      <c r="AB265" s="262"/>
      <c r="AC265" s="263"/>
      <c r="AD265" s="149" t="s">
        <v>961</v>
      </c>
      <c r="AE265" t="str">
        <f>IF(G265="S",30,IF(G265="M",50,IF(G265="L",65,"")))</f>
        <v/>
      </c>
      <c r="AK265" t="s">
        <v>1564</v>
      </c>
    </row>
    <row r="266" spans="1:38" x14ac:dyDescent="0.25">
      <c r="A266" s="256"/>
      <c r="B266" s="257"/>
      <c r="C266" s="258"/>
      <c r="D266" s="258"/>
      <c r="E266" s="258"/>
      <c r="F266" s="258"/>
      <c r="G266" s="149"/>
      <c r="H266" s="259"/>
      <c r="I266" s="257"/>
      <c r="J266" s="258"/>
      <c r="K266" s="258"/>
      <c r="L266" s="258"/>
      <c r="M266" s="258"/>
      <c r="N266" s="149"/>
      <c r="O266" s="259"/>
      <c r="P266" s="258"/>
      <c r="Q266" s="258"/>
      <c r="R266" s="258"/>
      <c r="S266" s="258"/>
      <c r="T266" s="258"/>
      <c r="U266" s="149"/>
      <c r="V266" s="149"/>
      <c r="W266" s="257"/>
      <c r="X266" s="258"/>
      <c r="Y266" s="258"/>
      <c r="Z266" s="258"/>
      <c r="AA266" s="258"/>
      <c r="AB266" s="149"/>
      <c r="AC266" s="259"/>
      <c r="AD266" s="149"/>
    </row>
    <row r="267" spans="1:38" x14ac:dyDescent="0.25">
      <c r="A267" s="256" t="s">
        <v>683</v>
      </c>
      <c r="B267" s="257"/>
      <c r="C267" s="258"/>
      <c r="D267" s="258"/>
      <c r="E267" s="258"/>
      <c r="F267" s="258"/>
      <c r="G267" s="149" t="s">
        <v>954</v>
      </c>
      <c r="H267" s="259">
        <v>1</v>
      </c>
      <c r="I267" s="260"/>
      <c r="J267" s="261"/>
      <c r="K267" s="261"/>
      <c r="L267" s="261"/>
      <c r="M267" s="261"/>
      <c r="N267" s="262"/>
      <c r="O267" s="263"/>
      <c r="P267" s="261"/>
      <c r="Q267" s="261"/>
      <c r="R267" s="261"/>
      <c r="S267" s="261"/>
      <c r="T267" s="261"/>
      <c r="U267" s="262"/>
      <c r="V267" s="262"/>
      <c r="W267" s="260"/>
      <c r="X267" s="261"/>
      <c r="Y267" s="261"/>
      <c r="Z267" s="261"/>
      <c r="AA267" s="261"/>
      <c r="AB267" s="262"/>
      <c r="AC267" s="263"/>
      <c r="AD267" s="264" t="s">
        <v>684</v>
      </c>
    </row>
    <row r="268" spans="1:38" x14ac:dyDescent="0.25">
      <c r="A268" s="256" t="s">
        <v>1017</v>
      </c>
      <c r="B268" s="257"/>
      <c r="C268" s="258"/>
      <c r="D268" s="258"/>
      <c r="E268" s="258"/>
      <c r="F268" s="258"/>
      <c r="G268" s="149" t="s">
        <v>954</v>
      </c>
      <c r="H268" s="259"/>
      <c r="I268" s="260"/>
      <c r="J268" s="261"/>
      <c r="K268" s="261"/>
      <c r="L268" s="261"/>
      <c r="M268" s="261"/>
      <c r="N268" s="262"/>
      <c r="O268" s="263"/>
      <c r="P268" s="261"/>
      <c r="Q268" s="261"/>
      <c r="R268" s="261"/>
      <c r="S268" s="261"/>
      <c r="T268" s="261"/>
      <c r="U268" s="262"/>
      <c r="V268" s="262"/>
      <c r="W268" s="260"/>
      <c r="X268" s="261"/>
      <c r="Y268" s="261"/>
      <c r="Z268" s="261"/>
      <c r="AA268" s="261"/>
      <c r="AB268" s="262"/>
      <c r="AC268" s="263"/>
      <c r="AD268" s="149" t="s">
        <v>1017</v>
      </c>
    </row>
    <row r="269" spans="1:38" x14ac:dyDescent="0.25">
      <c r="A269" s="256"/>
      <c r="B269" s="257"/>
      <c r="C269" s="258"/>
      <c r="D269" s="258"/>
      <c r="E269" s="258"/>
      <c r="F269" s="258"/>
      <c r="G269" s="149"/>
      <c r="H269" s="259"/>
      <c r="I269" s="257"/>
      <c r="J269" s="258"/>
      <c r="K269" s="258"/>
      <c r="L269" s="258"/>
      <c r="M269" s="258"/>
      <c r="N269" s="149"/>
      <c r="O269" s="259"/>
      <c r="P269" s="258"/>
      <c r="Q269" s="258"/>
      <c r="R269" s="258"/>
      <c r="S269" s="258"/>
      <c r="T269" s="258"/>
      <c r="U269" s="149"/>
      <c r="V269" s="149"/>
      <c r="W269" s="257"/>
      <c r="X269" s="258"/>
      <c r="Y269" s="258"/>
      <c r="Z269" s="258"/>
      <c r="AA269" s="258"/>
      <c r="AB269" s="149"/>
      <c r="AC269" s="259"/>
      <c r="AD269" s="149"/>
    </row>
    <row r="270" spans="1:38" x14ac:dyDescent="0.25">
      <c r="A270" s="256" t="s">
        <v>717</v>
      </c>
      <c r="B270" s="257" t="s">
        <v>32</v>
      </c>
      <c r="C270" s="258"/>
      <c r="D270" s="258" t="s">
        <v>32</v>
      </c>
      <c r="E270" s="258" t="s">
        <v>32</v>
      </c>
      <c r="F270" s="258"/>
      <c r="G270" s="149" t="s">
        <v>954</v>
      </c>
      <c r="H270" s="259">
        <v>1</v>
      </c>
      <c r="I270" s="260"/>
      <c r="J270" s="261"/>
      <c r="K270" s="261"/>
      <c r="L270" s="261"/>
      <c r="M270" s="261"/>
      <c r="N270" s="262"/>
      <c r="O270" s="263"/>
      <c r="P270" s="261"/>
      <c r="Q270" s="261"/>
      <c r="R270" s="261"/>
      <c r="S270" s="261"/>
      <c r="T270" s="261"/>
      <c r="U270" s="262"/>
      <c r="V270" s="262"/>
      <c r="W270" s="260"/>
      <c r="X270" s="261"/>
      <c r="Y270" s="261"/>
      <c r="Z270" s="261"/>
      <c r="AA270" s="261"/>
      <c r="AB270" s="262"/>
      <c r="AC270" s="263"/>
      <c r="AD270" s="149" t="s">
        <v>962</v>
      </c>
      <c r="AE270">
        <v>40</v>
      </c>
    </row>
    <row r="271" spans="1:38" x14ac:dyDescent="0.25">
      <c r="A271" s="256" t="s">
        <v>720</v>
      </c>
      <c r="B271" s="257"/>
      <c r="C271" s="258"/>
      <c r="D271" s="258" t="s">
        <v>32</v>
      </c>
      <c r="E271" s="258"/>
      <c r="F271" s="258"/>
      <c r="G271" s="149" t="s">
        <v>954</v>
      </c>
      <c r="H271" s="259">
        <v>1</v>
      </c>
      <c r="I271" s="260"/>
      <c r="J271" s="261"/>
      <c r="K271" s="261"/>
      <c r="L271" s="261"/>
      <c r="M271" s="261"/>
      <c r="N271" s="262"/>
      <c r="O271" s="263"/>
      <c r="P271" s="261"/>
      <c r="Q271" s="261"/>
      <c r="R271" s="261"/>
      <c r="S271" s="261"/>
      <c r="T271" s="261"/>
      <c r="U271" s="262"/>
      <c r="V271" s="262"/>
      <c r="W271" s="260"/>
      <c r="X271" s="261"/>
      <c r="Y271" s="261"/>
      <c r="Z271" s="261"/>
      <c r="AA271" s="261"/>
      <c r="AB271" s="262"/>
      <c r="AC271" s="263"/>
      <c r="AD271" s="149" t="s">
        <v>962</v>
      </c>
      <c r="AE271">
        <v>40</v>
      </c>
    </row>
    <row r="272" spans="1:38" x14ac:dyDescent="0.25">
      <c r="A272" s="256" t="s">
        <v>722</v>
      </c>
      <c r="B272" s="257"/>
      <c r="C272" s="258"/>
      <c r="D272" s="258"/>
      <c r="E272" s="258"/>
      <c r="F272" s="258"/>
      <c r="G272" s="149" t="s">
        <v>954</v>
      </c>
      <c r="H272" s="259">
        <v>2</v>
      </c>
      <c r="I272" s="260"/>
      <c r="J272" s="261"/>
      <c r="K272" s="261"/>
      <c r="L272" s="261"/>
      <c r="M272" s="261"/>
      <c r="N272" s="262"/>
      <c r="O272" s="263"/>
      <c r="P272" s="261"/>
      <c r="Q272" s="261"/>
      <c r="R272" s="261"/>
      <c r="S272" s="261"/>
      <c r="T272" s="261"/>
      <c r="U272" s="262"/>
      <c r="V272" s="262"/>
      <c r="W272" s="260"/>
      <c r="X272" s="261"/>
      <c r="Y272" s="261"/>
      <c r="Z272" s="261"/>
      <c r="AA272" s="261"/>
      <c r="AB272" s="262"/>
      <c r="AC272" s="263"/>
      <c r="AD272" s="149" t="s">
        <v>962</v>
      </c>
      <c r="AE272">
        <v>40</v>
      </c>
    </row>
    <row r="273" spans="1:37" x14ac:dyDescent="0.25">
      <c r="A273" s="256" t="s">
        <v>724</v>
      </c>
      <c r="B273" s="257"/>
      <c r="C273" s="258"/>
      <c r="D273" s="258"/>
      <c r="E273" s="258"/>
      <c r="F273" s="258"/>
      <c r="G273" s="149" t="s">
        <v>954</v>
      </c>
      <c r="H273" s="259">
        <v>2</v>
      </c>
      <c r="I273" s="260"/>
      <c r="J273" s="261"/>
      <c r="K273" s="261"/>
      <c r="L273" s="261"/>
      <c r="M273" s="261"/>
      <c r="N273" s="262"/>
      <c r="O273" s="263"/>
      <c r="P273" s="261"/>
      <c r="Q273" s="261"/>
      <c r="R273" s="261"/>
      <c r="S273" s="261"/>
      <c r="T273" s="261"/>
      <c r="U273" s="262"/>
      <c r="V273" s="262"/>
      <c r="W273" s="260"/>
      <c r="X273" s="261"/>
      <c r="Y273" s="261"/>
      <c r="Z273" s="261"/>
      <c r="AA273" s="261"/>
      <c r="AB273" s="262"/>
      <c r="AC273" s="263"/>
      <c r="AD273" s="149" t="s">
        <v>962</v>
      </c>
      <c r="AE273">
        <v>40</v>
      </c>
    </row>
    <row r="274" spans="1:37" x14ac:dyDescent="0.25">
      <c r="A274" s="633" t="s">
        <v>1237</v>
      </c>
      <c r="B274" s="257"/>
      <c r="C274" s="258"/>
      <c r="D274" s="258"/>
      <c r="E274" s="258"/>
      <c r="F274" s="258"/>
      <c r="G274" s="149"/>
      <c r="H274" s="259"/>
      <c r="I274" s="260"/>
      <c r="J274" s="261"/>
      <c r="K274" s="261"/>
      <c r="L274" s="261"/>
      <c r="M274" s="261"/>
      <c r="N274" s="262"/>
      <c r="O274" s="263"/>
      <c r="P274" s="261"/>
      <c r="Q274" s="261"/>
      <c r="R274" s="261"/>
      <c r="S274" s="261"/>
      <c r="T274" s="261"/>
      <c r="U274" s="262"/>
      <c r="V274" s="262"/>
      <c r="W274" s="260"/>
      <c r="X274" s="261"/>
      <c r="Y274" s="261"/>
      <c r="Z274" s="261"/>
      <c r="AA274" s="261"/>
      <c r="AB274" s="262"/>
      <c r="AC274" s="263"/>
      <c r="AD274" s="149" t="s">
        <v>962</v>
      </c>
      <c r="AE274">
        <v>40</v>
      </c>
    </row>
    <row r="275" spans="1:37" x14ac:dyDescent="0.25">
      <c r="A275" s="763" t="s">
        <v>1782</v>
      </c>
      <c r="B275" s="257"/>
      <c r="C275" s="258"/>
      <c r="D275" s="258"/>
      <c r="E275" s="258"/>
      <c r="F275" s="258"/>
      <c r="G275" s="149"/>
      <c r="H275" s="259"/>
      <c r="I275" s="260"/>
      <c r="J275" s="261"/>
      <c r="K275" s="261"/>
      <c r="L275" s="261"/>
      <c r="M275" s="261"/>
      <c r="N275" s="262"/>
      <c r="O275" s="263"/>
      <c r="P275" s="261"/>
      <c r="Q275" s="261"/>
      <c r="R275" s="261"/>
      <c r="S275" s="261"/>
      <c r="T275" s="261"/>
      <c r="U275" s="262"/>
      <c r="V275" s="262"/>
      <c r="W275" s="260"/>
      <c r="X275" s="261"/>
      <c r="Y275" s="261"/>
      <c r="Z275" s="261"/>
      <c r="AA275" s="261"/>
      <c r="AB275" s="262"/>
      <c r="AC275" s="263"/>
      <c r="AD275" s="149" t="s">
        <v>962</v>
      </c>
      <c r="AE275">
        <v>40</v>
      </c>
    </row>
    <row r="276" spans="1:37" x14ac:dyDescent="0.25">
      <c r="A276" s="633" t="s">
        <v>1783</v>
      </c>
      <c r="B276" s="257"/>
      <c r="C276" s="258"/>
      <c r="D276" s="258"/>
      <c r="E276" s="258"/>
      <c r="F276" s="258"/>
      <c r="G276" s="149"/>
      <c r="H276" s="259"/>
      <c r="I276" s="260"/>
      <c r="J276" s="261"/>
      <c r="K276" s="261"/>
      <c r="L276" s="261"/>
      <c r="M276" s="261"/>
      <c r="N276" s="262"/>
      <c r="O276" s="263"/>
      <c r="P276" s="261"/>
      <c r="Q276" s="261"/>
      <c r="R276" s="261"/>
      <c r="S276" s="261"/>
      <c r="T276" s="261"/>
      <c r="U276" s="262"/>
      <c r="V276" s="262"/>
      <c r="W276" s="260"/>
      <c r="X276" s="261"/>
      <c r="Y276" s="261"/>
      <c r="Z276" s="261"/>
      <c r="AA276" s="261"/>
      <c r="AB276" s="262"/>
      <c r="AC276" s="263"/>
      <c r="AD276" s="149" t="s">
        <v>962</v>
      </c>
      <c r="AE276">
        <v>40</v>
      </c>
    </row>
    <row r="277" spans="1:37" x14ac:dyDescent="0.25">
      <c r="A277" s="633" t="s">
        <v>1761</v>
      </c>
      <c r="B277" s="257"/>
      <c r="C277" s="258"/>
      <c r="D277" s="258"/>
      <c r="E277" s="258"/>
      <c r="F277" s="258"/>
      <c r="G277" s="149" t="s">
        <v>956</v>
      </c>
      <c r="H277" s="259">
        <v>2</v>
      </c>
      <c r="I277" s="260"/>
      <c r="J277" s="261"/>
      <c r="K277" s="261"/>
      <c r="L277" s="261"/>
      <c r="M277" s="261"/>
      <c r="N277" s="262"/>
      <c r="O277" s="263"/>
      <c r="P277" s="261"/>
      <c r="Q277" s="261"/>
      <c r="R277" s="261"/>
      <c r="S277" s="261"/>
      <c r="T277" s="261"/>
      <c r="U277" s="262"/>
      <c r="V277" s="262"/>
      <c r="W277" s="260"/>
      <c r="X277" s="261"/>
      <c r="Y277" s="261"/>
      <c r="Z277" s="261"/>
      <c r="AA277" s="261"/>
      <c r="AB277" s="262"/>
      <c r="AC277" s="263"/>
      <c r="AD277" s="149" t="s">
        <v>962</v>
      </c>
      <c r="AE277">
        <v>40</v>
      </c>
    </row>
    <row r="278" spans="1:37" x14ac:dyDescent="0.25">
      <c r="A278" s="633" t="s">
        <v>1238</v>
      </c>
      <c r="B278" s="257"/>
      <c r="C278" s="258"/>
      <c r="D278" s="258"/>
      <c r="E278" s="258"/>
      <c r="F278" s="258"/>
      <c r="G278" s="149" t="s">
        <v>956</v>
      </c>
      <c r="H278" s="259">
        <v>2</v>
      </c>
      <c r="I278" s="260"/>
      <c r="J278" s="261"/>
      <c r="K278" s="261"/>
      <c r="L278" s="261"/>
      <c r="M278" s="261"/>
      <c r="N278" s="262"/>
      <c r="O278" s="263"/>
      <c r="P278" s="261"/>
      <c r="Q278" s="261"/>
      <c r="R278" s="261"/>
      <c r="S278" s="261"/>
      <c r="T278" s="261"/>
      <c r="U278" s="262"/>
      <c r="V278" s="262"/>
      <c r="W278" s="260"/>
      <c r="X278" s="261"/>
      <c r="Y278" s="261"/>
      <c r="Z278" s="261"/>
      <c r="AA278" s="261"/>
      <c r="AB278" s="262"/>
      <c r="AC278" s="263"/>
      <c r="AD278" s="149" t="s">
        <v>962</v>
      </c>
      <c r="AE278">
        <v>40</v>
      </c>
    </row>
    <row r="279" spans="1:37" x14ac:dyDescent="0.25">
      <c r="A279" s="768" t="s">
        <v>1784</v>
      </c>
      <c r="B279" s="257"/>
      <c r="C279" s="258"/>
      <c r="D279" s="258"/>
      <c r="E279" s="258"/>
      <c r="F279" s="258"/>
      <c r="G279" s="149" t="s">
        <v>956</v>
      </c>
      <c r="H279" s="259">
        <v>2</v>
      </c>
      <c r="I279" s="260"/>
      <c r="J279" s="261"/>
      <c r="K279" s="261"/>
      <c r="L279" s="261"/>
      <c r="M279" s="261"/>
      <c r="N279" s="262"/>
      <c r="O279" s="263"/>
      <c r="P279" s="261"/>
      <c r="Q279" s="261"/>
      <c r="R279" s="261"/>
      <c r="S279" s="261"/>
      <c r="T279" s="261"/>
      <c r="U279" s="262"/>
      <c r="V279" s="262"/>
      <c r="W279" s="260"/>
      <c r="X279" s="261"/>
      <c r="Y279" s="261"/>
      <c r="Z279" s="261"/>
      <c r="AA279" s="261"/>
      <c r="AB279" s="262"/>
      <c r="AC279" s="263"/>
      <c r="AD279" s="149" t="s">
        <v>962</v>
      </c>
      <c r="AE279">
        <v>40</v>
      </c>
    </row>
    <row r="280" spans="1:37" x14ac:dyDescent="0.25">
      <c r="A280" s="633" t="s">
        <v>1239</v>
      </c>
      <c r="B280" s="257"/>
      <c r="C280" s="258"/>
      <c r="D280" s="258"/>
      <c r="E280" s="258"/>
      <c r="F280" s="258"/>
      <c r="G280" s="149"/>
      <c r="H280" s="259"/>
      <c r="I280" s="260"/>
      <c r="J280" s="261"/>
      <c r="K280" s="261"/>
      <c r="L280" s="261"/>
      <c r="M280" s="261"/>
      <c r="N280" s="262"/>
      <c r="O280" s="263"/>
      <c r="P280" s="261"/>
      <c r="Q280" s="261"/>
      <c r="R280" s="261"/>
      <c r="S280" s="261"/>
      <c r="T280" s="261"/>
      <c r="U280" s="262"/>
      <c r="V280" s="262"/>
      <c r="W280" s="260"/>
      <c r="X280" s="261"/>
      <c r="Y280" s="261"/>
      <c r="Z280" s="261"/>
      <c r="AA280" s="261"/>
      <c r="AB280" s="262"/>
      <c r="AC280" s="263"/>
      <c r="AD280" s="149" t="s">
        <v>962</v>
      </c>
      <c r="AE280">
        <v>40</v>
      </c>
    </row>
    <row r="281" spans="1:37" x14ac:dyDescent="0.25">
      <c r="A281" s="763" t="s">
        <v>1776</v>
      </c>
      <c r="B281" s="257"/>
      <c r="C281" s="258"/>
      <c r="D281" s="258"/>
      <c r="E281" s="258"/>
      <c r="F281" s="258"/>
      <c r="G281" s="149" t="s">
        <v>956</v>
      </c>
      <c r="H281" s="259">
        <v>2</v>
      </c>
      <c r="I281" s="260"/>
      <c r="J281" s="261"/>
      <c r="K281" s="261"/>
      <c r="L281" s="261"/>
      <c r="M281" s="261"/>
      <c r="N281" s="262"/>
      <c r="O281" s="263"/>
      <c r="P281" s="261"/>
      <c r="Q281" s="261"/>
      <c r="R281" s="261"/>
      <c r="S281" s="261"/>
      <c r="T281" s="261"/>
      <c r="U281" s="262"/>
      <c r="V281" s="262"/>
      <c r="W281" s="260"/>
      <c r="X281" s="261"/>
      <c r="Y281" s="261"/>
      <c r="Z281" s="261"/>
      <c r="AA281" s="261"/>
      <c r="AB281" s="262"/>
      <c r="AC281" s="263"/>
      <c r="AD281" s="149"/>
    </row>
    <row r="282" spans="1:37" x14ac:dyDescent="0.25">
      <c r="A282" s="256"/>
      <c r="B282" s="257"/>
      <c r="C282" s="258"/>
      <c r="D282" s="258"/>
      <c r="E282" s="258"/>
      <c r="F282" s="258"/>
      <c r="G282" s="149"/>
      <c r="H282" s="259"/>
      <c r="I282" s="257"/>
      <c r="J282" s="258"/>
      <c r="K282" s="258"/>
      <c r="L282" s="258"/>
      <c r="M282" s="258"/>
      <c r="N282" s="149"/>
      <c r="O282" s="259"/>
      <c r="P282" s="258"/>
      <c r="Q282" s="258"/>
      <c r="R282" s="258"/>
      <c r="S282" s="258"/>
      <c r="T282" s="258"/>
      <c r="U282" s="149"/>
      <c r="V282" s="149"/>
      <c r="W282" s="257"/>
      <c r="X282" s="258"/>
      <c r="Y282" s="258"/>
      <c r="Z282" s="258"/>
      <c r="AA282" s="258"/>
      <c r="AB282" s="149"/>
      <c r="AC282" s="259"/>
      <c r="AD282" s="149"/>
    </row>
    <row r="283" spans="1:37" x14ac:dyDescent="0.25">
      <c r="A283" s="256" t="s">
        <v>466</v>
      </c>
      <c r="B283" s="257" t="s">
        <v>32</v>
      </c>
      <c r="C283" s="258"/>
      <c r="D283" s="258" t="s">
        <v>32</v>
      </c>
      <c r="E283" s="258"/>
      <c r="F283" s="258"/>
      <c r="G283" s="149" t="s">
        <v>957</v>
      </c>
      <c r="H283" s="259">
        <v>1</v>
      </c>
      <c r="I283" s="257" t="s">
        <v>32</v>
      </c>
      <c r="J283" s="258"/>
      <c r="K283" s="258" t="s">
        <v>32</v>
      </c>
      <c r="L283" s="258"/>
      <c r="M283" s="258"/>
      <c r="N283" s="149" t="s">
        <v>954</v>
      </c>
      <c r="O283" s="259">
        <v>1</v>
      </c>
      <c r="P283" s="261"/>
      <c r="Q283" s="261"/>
      <c r="R283" s="261"/>
      <c r="S283" s="261"/>
      <c r="T283" s="261"/>
      <c r="U283" s="262"/>
      <c r="V283" s="262"/>
      <c r="W283" s="260"/>
      <c r="X283" s="261"/>
      <c r="Y283" s="261"/>
      <c r="Z283" s="261"/>
      <c r="AA283" s="261"/>
      <c r="AB283" s="262"/>
      <c r="AC283" s="263"/>
      <c r="AD283" s="149" t="s">
        <v>735</v>
      </c>
      <c r="AE283">
        <v>25</v>
      </c>
      <c r="AF283">
        <v>30</v>
      </c>
      <c r="AJ283" t="s">
        <v>1637</v>
      </c>
      <c r="AK283" t="s">
        <v>1659</v>
      </c>
    </row>
    <row r="284" spans="1:37" x14ac:dyDescent="0.25">
      <c r="A284" s="256" t="s">
        <v>468</v>
      </c>
      <c r="B284" s="257"/>
      <c r="C284" s="258"/>
      <c r="D284" s="258"/>
      <c r="E284" s="258"/>
      <c r="F284" s="258"/>
      <c r="G284" s="149" t="s">
        <v>958</v>
      </c>
      <c r="H284" s="259">
        <v>2</v>
      </c>
      <c r="I284" s="257"/>
      <c r="J284" s="258"/>
      <c r="K284" s="258"/>
      <c r="L284" s="258"/>
      <c r="M284" s="258"/>
      <c r="N284" s="149" t="s">
        <v>958</v>
      </c>
      <c r="O284" s="259">
        <v>2</v>
      </c>
      <c r="P284" s="261"/>
      <c r="Q284" s="261"/>
      <c r="R284" s="261"/>
      <c r="S284" s="261"/>
      <c r="T284" s="261"/>
      <c r="U284" s="262"/>
      <c r="V284" s="262"/>
      <c r="W284" s="260"/>
      <c r="X284" s="261"/>
      <c r="Y284" s="261"/>
      <c r="Z284" s="261"/>
      <c r="AA284" s="261"/>
      <c r="AB284" s="262"/>
      <c r="AC284" s="263"/>
      <c r="AD284" s="149" t="s">
        <v>735</v>
      </c>
      <c r="AE284">
        <v>25</v>
      </c>
      <c r="AF284">
        <v>30</v>
      </c>
      <c r="AJ284" t="s">
        <v>1638</v>
      </c>
      <c r="AK284" t="s">
        <v>1660</v>
      </c>
    </row>
    <row r="285" spans="1:37" x14ac:dyDescent="0.25">
      <c r="A285" s="256" t="s">
        <v>1764</v>
      </c>
      <c r="B285" s="257"/>
      <c r="C285" s="258"/>
      <c r="D285" s="258"/>
      <c r="E285" s="258"/>
      <c r="F285" s="258"/>
      <c r="G285" s="149" t="s">
        <v>958</v>
      </c>
      <c r="H285" s="259">
        <v>2</v>
      </c>
      <c r="I285" s="257"/>
      <c r="J285" s="258"/>
      <c r="K285" s="258"/>
      <c r="L285" s="258"/>
      <c r="M285" s="258"/>
      <c r="N285" s="149"/>
      <c r="O285" s="259"/>
      <c r="P285" s="261"/>
      <c r="Q285" s="261"/>
      <c r="R285" s="261"/>
      <c r="S285" s="261"/>
      <c r="T285" s="261"/>
      <c r="U285" s="262"/>
      <c r="V285" s="262"/>
      <c r="W285" s="260"/>
      <c r="X285" s="261"/>
      <c r="Y285" s="261"/>
      <c r="Z285" s="261"/>
      <c r="AA285" s="261"/>
      <c r="AB285" s="262"/>
      <c r="AC285" s="263"/>
      <c r="AD285" s="149" t="s">
        <v>735</v>
      </c>
      <c r="AE285">
        <v>25</v>
      </c>
      <c r="AF285">
        <v>30</v>
      </c>
    </row>
    <row r="286" spans="1:37" x14ac:dyDescent="0.25">
      <c r="A286" s="256" t="s">
        <v>469</v>
      </c>
      <c r="B286" s="257"/>
      <c r="C286" s="258"/>
      <c r="D286" s="258"/>
      <c r="E286" s="258"/>
      <c r="F286" s="258"/>
      <c r="G286" s="149" t="s">
        <v>958</v>
      </c>
      <c r="H286" s="259">
        <v>1</v>
      </c>
      <c r="I286" s="257"/>
      <c r="J286" s="258"/>
      <c r="K286" s="258"/>
      <c r="L286" s="258"/>
      <c r="M286" s="258"/>
      <c r="N286" s="149" t="s">
        <v>957</v>
      </c>
      <c r="O286" s="259">
        <v>2</v>
      </c>
      <c r="P286" s="261"/>
      <c r="Q286" s="261"/>
      <c r="R286" s="261"/>
      <c r="S286" s="261"/>
      <c r="T286" s="261"/>
      <c r="U286" s="262"/>
      <c r="V286" s="262"/>
      <c r="W286" s="260"/>
      <c r="X286" s="261"/>
      <c r="Y286" s="261"/>
      <c r="Z286" s="261"/>
      <c r="AA286" s="261"/>
      <c r="AB286" s="262"/>
      <c r="AC286" s="263"/>
      <c r="AD286" s="149" t="s">
        <v>735</v>
      </c>
      <c r="AE286">
        <v>25</v>
      </c>
      <c r="AF286">
        <v>30</v>
      </c>
      <c r="AJ286" t="s">
        <v>1639</v>
      </c>
      <c r="AK286" t="s">
        <v>1661</v>
      </c>
    </row>
    <row r="287" spans="1:37" x14ac:dyDescent="0.25">
      <c r="A287" s="256" t="s">
        <v>472</v>
      </c>
      <c r="B287" s="257"/>
      <c r="C287" s="258"/>
      <c r="D287" s="258"/>
      <c r="E287" s="258"/>
      <c r="F287" s="258"/>
      <c r="G287" s="149" t="s">
        <v>957</v>
      </c>
      <c r="H287" s="259">
        <v>2</v>
      </c>
      <c r="I287" s="257"/>
      <c r="J287" s="258"/>
      <c r="K287" s="258"/>
      <c r="L287" s="258"/>
      <c r="M287" s="258"/>
      <c r="N287" s="149" t="s">
        <v>957</v>
      </c>
      <c r="O287" s="259">
        <v>2</v>
      </c>
      <c r="P287" s="261"/>
      <c r="Q287" s="261"/>
      <c r="R287" s="261"/>
      <c r="S287" s="261"/>
      <c r="T287" s="261"/>
      <c r="U287" s="262"/>
      <c r="V287" s="262"/>
      <c r="W287" s="260"/>
      <c r="X287" s="261"/>
      <c r="Y287" s="261"/>
      <c r="Z287" s="261"/>
      <c r="AA287" s="261"/>
      <c r="AB287" s="262"/>
      <c r="AC287" s="263"/>
      <c r="AD287" s="149" t="s">
        <v>735</v>
      </c>
      <c r="AE287">
        <v>25</v>
      </c>
      <c r="AF287">
        <v>30</v>
      </c>
      <c r="AJ287" t="s">
        <v>1642</v>
      </c>
      <c r="AK287" t="s">
        <v>1640</v>
      </c>
    </row>
    <row r="288" spans="1:37" x14ac:dyDescent="0.25">
      <c r="A288" s="256" t="s">
        <v>475</v>
      </c>
      <c r="B288" s="257" t="s">
        <v>32</v>
      </c>
      <c r="C288" s="258"/>
      <c r="D288" s="258" t="s">
        <v>32</v>
      </c>
      <c r="E288" s="258" t="s">
        <v>32</v>
      </c>
      <c r="F288" s="258"/>
      <c r="G288" s="149" t="s">
        <v>954</v>
      </c>
      <c r="H288" s="259">
        <v>1</v>
      </c>
      <c r="I288" s="257" t="s">
        <v>32</v>
      </c>
      <c r="J288" s="258"/>
      <c r="K288" s="258" t="s">
        <v>32</v>
      </c>
      <c r="L288" s="258"/>
      <c r="M288" s="258"/>
      <c r="N288" s="149" t="s">
        <v>954</v>
      </c>
      <c r="O288" s="259">
        <v>1</v>
      </c>
      <c r="P288" s="261"/>
      <c r="Q288" s="261"/>
      <c r="R288" s="261"/>
      <c r="S288" s="261"/>
      <c r="T288" s="261"/>
      <c r="U288" s="262"/>
      <c r="V288" s="262"/>
      <c r="W288" s="260"/>
      <c r="X288" s="261"/>
      <c r="Y288" s="261"/>
      <c r="Z288" s="261"/>
      <c r="AA288" s="261"/>
      <c r="AB288" s="262"/>
      <c r="AC288" s="263"/>
      <c r="AD288" s="149" t="s">
        <v>735</v>
      </c>
      <c r="AE288">
        <v>25</v>
      </c>
      <c r="AF288">
        <v>30</v>
      </c>
      <c r="AJ288" t="s">
        <v>1641</v>
      </c>
      <c r="AK288" t="s">
        <v>1662</v>
      </c>
    </row>
    <row r="289" spans="1:37" x14ac:dyDescent="0.25">
      <c r="A289" s="256" t="s">
        <v>478</v>
      </c>
      <c r="B289" s="257"/>
      <c r="C289" s="258"/>
      <c r="D289" s="258"/>
      <c r="E289" s="258"/>
      <c r="F289" s="258"/>
      <c r="G289" s="149" t="s">
        <v>958</v>
      </c>
      <c r="H289" s="259">
        <v>1</v>
      </c>
      <c r="I289" s="257"/>
      <c r="J289" s="258"/>
      <c r="K289" s="258"/>
      <c r="L289" s="258"/>
      <c r="M289" s="258"/>
      <c r="N289" s="149" t="s">
        <v>957</v>
      </c>
      <c r="O289" s="259">
        <v>1</v>
      </c>
      <c r="P289" s="261"/>
      <c r="Q289" s="261"/>
      <c r="R289" s="261"/>
      <c r="S289" s="261"/>
      <c r="T289" s="261"/>
      <c r="U289" s="262"/>
      <c r="V289" s="262"/>
      <c r="W289" s="260"/>
      <c r="X289" s="261"/>
      <c r="Y289" s="261"/>
      <c r="Z289" s="261"/>
      <c r="AA289" s="261"/>
      <c r="AB289" s="262"/>
      <c r="AC289" s="263"/>
      <c r="AD289" s="149" t="s">
        <v>735</v>
      </c>
      <c r="AE289">
        <v>25</v>
      </c>
      <c r="AF289">
        <v>30</v>
      </c>
      <c r="AJ289" t="s">
        <v>1643</v>
      </c>
      <c r="AK289" t="s">
        <v>1663</v>
      </c>
    </row>
    <row r="290" spans="1:37" x14ac:dyDescent="0.25">
      <c r="A290" s="256" t="s">
        <v>1255</v>
      </c>
      <c r="B290" s="257" t="s">
        <v>32</v>
      </c>
      <c r="C290" s="258"/>
      <c r="D290" s="258" t="s">
        <v>32</v>
      </c>
      <c r="E290" s="258"/>
      <c r="F290" s="258"/>
      <c r="G290" s="149" t="s">
        <v>958</v>
      </c>
      <c r="H290" s="259">
        <v>2</v>
      </c>
      <c r="I290" s="257"/>
      <c r="J290" s="258"/>
      <c r="K290" s="258"/>
      <c r="L290" s="258"/>
      <c r="M290" s="258"/>
      <c r="N290" s="149" t="s">
        <v>958</v>
      </c>
      <c r="O290" s="259">
        <v>2</v>
      </c>
      <c r="P290" s="261"/>
      <c r="Q290" s="261"/>
      <c r="R290" s="261"/>
      <c r="S290" s="261"/>
      <c r="T290" s="261"/>
      <c r="U290" s="262"/>
      <c r="V290" s="262"/>
      <c r="W290" s="260"/>
      <c r="X290" s="261"/>
      <c r="Y290" s="261"/>
      <c r="Z290" s="261"/>
      <c r="AA290" s="261"/>
      <c r="AB290" s="262"/>
      <c r="AC290" s="263"/>
      <c r="AD290" s="149" t="s">
        <v>735</v>
      </c>
      <c r="AE290">
        <v>25</v>
      </c>
      <c r="AF290">
        <v>30</v>
      </c>
      <c r="AJ290" t="s">
        <v>1644</v>
      </c>
      <c r="AK290" t="s">
        <v>1673</v>
      </c>
    </row>
    <row r="291" spans="1:37" x14ac:dyDescent="0.25">
      <c r="A291" s="256" t="s">
        <v>480</v>
      </c>
      <c r="B291" s="257" t="s">
        <v>32</v>
      </c>
      <c r="C291" s="258"/>
      <c r="D291" s="258" t="s">
        <v>32</v>
      </c>
      <c r="E291" s="258"/>
      <c r="F291" s="258"/>
      <c r="G291" s="149" t="s">
        <v>957</v>
      </c>
      <c r="H291" s="259">
        <v>2</v>
      </c>
      <c r="I291" s="257"/>
      <c r="J291" s="258"/>
      <c r="K291" s="258"/>
      <c r="L291" s="258"/>
      <c r="M291" s="258"/>
      <c r="N291" s="149" t="s">
        <v>957</v>
      </c>
      <c r="O291" s="259">
        <v>2</v>
      </c>
      <c r="P291" s="261"/>
      <c r="Q291" s="261"/>
      <c r="R291" s="261"/>
      <c r="S291" s="261"/>
      <c r="T291" s="261"/>
      <c r="U291" s="262"/>
      <c r="V291" s="262"/>
      <c r="W291" s="260"/>
      <c r="X291" s="261"/>
      <c r="Y291" s="261"/>
      <c r="Z291" s="261"/>
      <c r="AA291" s="261"/>
      <c r="AB291" s="262"/>
      <c r="AC291" s="263"/>
      <c r="AD291" s="149" t="s">
        <v>735</v>
      </c>
      <c r="AE291">
        <v>25</v>
      </c>
      <c r="AF291">
        <v>30</v>
      </c>
      <c r="AJ291" t="s">
        <v>1645</v>
      </c>
      <c r="AK291" t="s">
        <v>1664</v>
      </c>
    </row>
    <row r="292" spans="1:37" x14ac:dyDescent="0.25">
      <c r="A292" s="256" t="s">
        <v>483</v>
      </c>
      <c r="B292" s="257" t="s">
        <v>32</v>
      </c>
      <c r="C292" s="258"/>
      <c r="D292" s="258" t="s">
        <v>32</v>
      </c>
      <c r="E292" s="258" t="s">
        <v>32</v>
      </c>
      <c r="F292" s="258"/>
      <c r="G292" s="149" t="s">
        <v>957</v>
      </c>
      <c r="H292" s="259">
        <v>1</v>
      </c>
      <c r="I292" s="257" t="s">
        <v>32</v>
      </c>
      <c r="J292" s="258"/>
      <c r="K292" s="258" t="s">
        <v>32</v>
      </c>
      <c r="L292" s="258"/>
      <c r="M292" s="258"/>
      <c r="N292" s="149" t="s">
        <v>958</v>
      </c>
      <c r="O292" s="259">
        <v>2</v>
      </c>
      <c r="P292" s="261"/>
      <c r="Q292" s="261"/>
      <c r="R292" s="261"/>
      <c r="S292" s="261"/>
      <c r="T292" s="261"/>
      <c r="U292" s="262"/>
      <c r="V292" s="262"/>
      <c r="W292" s="260"/>
      <c r="X292" s="261"/>
      <c r="Y292" s="261"/>
      <c r="Z292" s="261"/>
      <c r="AA292" s="261"/>
      <c r="AB292" s="262"/>
      <c r="AC292" s="263"/>
      <c r="AD292" s="149" t="s">
        <v>735</v>
      </c>
      <c r="AE292">
        <v>25</v>
      </c>
      <c r="AF292">
        <v>30</v>
      </c>
      <c r="AJ292" t="s">
        <v>1646</v>
      </c>
      <c r="AK292" t="s">
        <v>1662</v>
      </c>
    </row>
    <row r="293" spans="1:37" x14ac:dyDescent="0.25">
      <c r="A293" s="256" t="s">
        <v>993</v>
      </c>
      <c r="B293" s="257" t="s">
        <v>32</v>
      </c>
      <c r="C293" s="258"/>
      <c r="D293" s="258" t="s">
        <v>32</v>
      </c>
      <c r="E293" s="258" t="s">
        <v>32</v>
      </c>
      <c r="F293" s="258"/>
      <c r="G293" s="149" t="s">
        <v>957</v>
      </c>
      <c r="H293" s="259">
        <v>2</v>
      </c>
      <c r="I293" s="257" t="s">
        <v>32</v>
      </c>
      <c r="J293" s="258" t="s">
        <v>32</v>
      </c>
      <c r="K293" s="258" t="s">
        <v>23</v>
      </c>
      <c r="L293" s="258"/>
      <c r="M293" s="258"/>
      <c r="N293" s="149" t="s">
        <v>958</v>
      </c>
      <c r="O293" s="259">
        <v>2</v>
      </c>
      <c r="P293" s="261"/>
      <c r="Q293" s="261"/>
      <c r="R293" s="261"/>
      <c r="S293" s="261"/>
      <c r="T293" s="261"/>
      <c r="U293" s="262"/>
      <c r="V293" s="262"/>
      <c r="W293" s="260"/>
      <c r="X293" s="261"/>
      <c r="Y293" s="261"/>
      <c r="Z293" s="261"/>
      <c r="AA293" s="261"/>
      <c r="AB293" s="262"/>
      <c r="AC293" s="263"/>
      <c r="AD293" s="149" t="s">
        <v>735</v>
      </c>
      <c r="AE293">
        <v>25</v>
      </c>
      <c r="AF293">
        <v>30</v>
      </c>
      <c r="AJ293" t="s">
        <v>1647</v>
      </c>
    </row>
    <row r="294" spans="1:37" x14ac:dyDescent="0.25">
      <c r="A294" s="256" t="s">
        <v>1260</v>
      </c>
      <c r="B294" s="257" t="s">
        <v>32</v>
      </c>
      <c r="C294" s="258"/>
      <c r="D294" s="258" t="s">
        <v>32</v>
      </c>
      <c r="E294" s="258"/>
      <c r="F294" s="258"/>
      <c r="G294" s="149" t="s">
        <v>958</v>
      </c>
      <c r="H294" s="259">
        <v>2</v>
      </c>
      <c r="I294" s="257"/>
      <c r="J294" s="258"/>
      <c r="K294" s="258"/>
      <c r="L294" s="258"/>
      <c r="M294" s="258"/>
      <c r="N294" s="149"/>
      <c r="O294" s="259"/>
      <c r="P294" s="261"/>
      <c r="Q294" s="261"/>
      <c r="R294" s="261"/>
      <c r="S294" s="261"/>
      <c r="T294" s="261"/>
      <c r="U294" s="262"/>
      <c r="V294" s="262"/>
      <c r="W294" s="260"/>
      <c r="X294" s="261"/>
      <c r="Y294" s="261"/>
      <c r="Z294" s="261"/>
      <c r="AA294" s="261"/>
      <c r="AB294" s="262"/>
      <c r="AC294" s="263"/>
      <c r="AD294" s="149" t="s">
        <v>735</v>
      </c>
      <c r="AE294">
        <v>25</v>
      </c>
      <c r="AF294">
        <v>30</v>
      </c>
      <c r="AJ294" t="s">
        <v>1648</v>
      </c>
    </row>
    <row r="295" spans="1:37" x14ac:dyDescent="0.25">
      <c r="A295" s="693" t="s">
        <v>1295</v>
      </c>
      <c r="B295" s="257"/>
      <c r="C295" s="258"/>
      <c r="D295" s="258"/>
      <c r="E295" s="258"/>
      <c r="F295" s="258"/>
      <c r="G295" s="149" t="s">
        <v>957</v>
      </c>
      <c r="H295" s="259">
        <v>1</v>
      </c>
      <c r="I295" s="257"/>
      <c r="J295" s="258"/>
      <c r="K295" s="258"/>
      <c r="L295" s="258"/>
      <c r="M295" s="258"/>
      <c r="N295" s="149" t="s">
        <v>958</v>
      </c>
      <c r="O295" s="259">
        <v>2</v>
      </c>
      <c r="P295" s="261"/>
      <c r="Q295" s="261"/>
      <c r="R295" s="261"/>
      <c r="S295" s="261"/>
      <c r="T295" s="261"/>
      <c r="U295" s="262"/>
      <c r="V295" s="262"/>
      <c r="W295" s="260"/>
      <c r="X295" s="261"/>
      <c r="Y295" s="261"/>
      <c r="Z295" s="261"/>
      <c r="AA295" s="261"/>
      <c r="AB295" s="262"/>
      <c r="AC295" s="263"/>
      <c r="AD295" s="149" t="s">
        <v>735</v>
      </c>
      <c r="AE295">
        <v>25</v>
      </c>
      <c r="AF295">
        <v>30</v>
      </c>
      <c r="AJ295" t="s">
        <v>1649</v>
      </c>
      <c r="AK295" t="s">
        <v>1665</v>
      </c>
    </row>
    <row r="296" spans="1:37" x14ac:dyDescent="0.25">
      <c r="A296" s="256" t="s">
        <v>1217</v>
      </c>
      <c r="B296" s="257" t="s">
        <v>32</v>
      </c>
      <c r="C296" s="258"/>
      <c r="D296" s="258" t="s">
        <v>32</v>
      </c>
      <c r="E296" s="258" t="s">
        <v>32</v>
      </c>
      <c r="F296" s="258"/>
      <c r="G296" s="149" t="s">
        <v>957</v>
      </c>
      <c r="H296" s="259">
        <v>1</v>
      </c>
      <c r="I296" s="257" t="s">
        <v>32</v>
      </c>
      <c r="J296" s="258" t="s">
        <v>32</v>
      </c>
      <c r="K296" s="258" t="s">
        <v>23</v>
      </c>
      <c r="L296" s="258"/>
      <c r="M296" s="258"/>
      <c r="N296" s="149" t="s">
        <v>957</v>
      </c>
      <c r="O296" s="259">
        <v>1</v>
      </c>
      <c r="P296" s="261"/>
      <c r="Q296" s="261"/>
      <c r="R296" s="261"/>
      <c r="S296" s="261"/>
      <c r="T296" s="261"/>
      <c r="U296" s="262"/>
      <c r="V296" s="262"/>
      <c r="W296" s="260"/>
      <c r="X296" s="261"/>
      <c r="Y296" s="261"/>
      <c r="Z296" s="261"/>
      <c r="AA296" s="261"/>
      <c r="AB296" s="262"/>
      <c r="AC296" s="263"/>
      <c r="AD296" s="149" t="s">
        <v>735</v>
      </c>
      <c r="AE296">
        <v>25</v>
      </c>
      <c r="AF296">
        <v>30</v>
      </c>
      <c r="AJ296" t="s">
        <v>1650</v>
      </c>
      <c r="AK296" t="s">
        <v>1666</v>
      </c>
    </row>
    <row r="297" spans="1:37" x14ac:dyDescent="0.25">
      <c r="A297" s="256" t="s">
        <v>488</v>
      </c>
      <c r="B297" s="257" t="s">
        <v>32</v>
      </c>
      <c r="C297" s="258"/>
      <c r="D297" s="258" t="s">
        <v>32</v>
      </c>
      <c r="E297" s="258" t="s">
        <v>32</v>
      </c>
      <c r="F297" s="258"/>
      <c r="G297" s="149" t="s">
        <v>957</v>
      </c>
      <c r="H297" s="259">
        <v>1</v>
      </c>
      <c r="I297" s="257"/>
      <c r="J297" s="258"/>
      <c r="K297" s="258"/>
      <c r="L297" s="258"/>
      <c r="M297" s="258"/>
      <c r="N297" s="149" t="s">
        <v>956</v>
      </c>
      <c r="O297" s="259">
        <v>2</v>
      </c>
      <c r="P297" s="261"/>
      <c r="Q297" s="261"/>
      <c r="R297" s="261"/>
      <c r="S297" s="261"/>
      <c r="T297" s="261"/>
      <c r="U297" s="262"/>
      <c r="V297" s="262"/>
      <c r="W297" s="260"/>
      <c r="X297" s="261"/>
      <c r="Y297" s="261"/>
      <c r="Z297" s="261"/>
      <c r="AA297" s="261"/>
      <c r="AB297" s="262"/>
      <c r="AC297" s="263"/>
      <c r="AD297" s="149" t="s">
        <v>735</v>
      </c>
      <c r="AE297">
        <v>25</v>
      </c>
      <c r="AF297">
        <v>30</v>
      </c>
      <c r="AJ297" t="s">
        <v>1651</v>
      </c>
      <c r="AK297" t="s">
        <v>1674</v>
      </c>
    </row>
    <row r="298" spans="1:37" x14ac:dyDescent="0.25">
      <c r="A298" s="256" t="s">
        <v>491</v>
      </c>
      <c r="B298" s="257"/>
      <c r="C298" s="258"/>
      <c r="D298" s="258"/>
      <c r="E298" s="258"/>
      <c r="F298" s="258"/>
      <c r="G298" s="149" t="s">
        <v>957</v>
      </c>
      <c r="H298" s="259">
        <v>2</v>
      </c>
      <c r="I298" s="257"/>
      <c r="J298" s="258"/>
      <c r="K298" s="258"/>
      <c r="L298" s="258"/>
      <c r="M298" s="258"/>
      <c r="N298" s="149" t="s">
        <v>958</v>
      </c>
      <c r="O298" s="259">
        <v>2</v>
      </c>
      <c r="P298" s="261"/>
      <c r="Q298" s="261"/>
      <c r="R298" s="261"/>
      <c r="S298" s="261"/>
      <c r="T298" s="261"/>
      <c r="U298" s="262"/>
      <c r="V298" s="262"/>
      <c r="W298" s="260"/>
      <c r="X298" s="261"/>
      <c r="Y298" s="261"/>
      <c r="Z298" s="261"/>
      <c r="AA298" s="261"/>
      <c r="AB298" s="262"/>
      <c r="AC298" s="263"/>
      <c r="AD298" s="149" t="s">
        <v>735</v>
      </c>
      <c r="AE298">
        <v>25</v>
      </c>
      <c r="AF298">
        <v>30</v>
      </c>
      <c r="AJ298" t="s">
        <v>1652</v>
      </c>
      <c r="AK298" t="s">
        <v>1667</v>
      </c>
    </row>
    <row r="299" spans="1:37" x14ac:dyDescent="0.25">
      <c r="A299" s="256" t="s">
        <v>495</v>
      </c>
      <c r="B299" s="257"/>
      <c r="C299" s="258"/>
      <c r="D299" s="258"/>
      <c r="E299" s="258"/>
      <c r="F299" s="258"/>
      <c r="G299" s="149" t="s">
        <v>957</v>
      </c>
      <c r="H299" s="259">
        <v>2</v>
      </c>
      <c r="I299" s="257"/>
      <c r="J299" s="258"/>
      <c r="K299" s="258"/>
      <c r="L299" s="258"/>
      <c r="M299" s="258"/>
      <c r="N299" s="149" t="s">
        <v>957</v>
      </c>
      <c r="O299" s="259">
        <v>2</v>
      </c>
      <c r="P299" s="261"/>
      <c r="Q299" s="261"/>
      <c r="R299" s="261"/>
      <c r="S299" s="261"/>
      <c r="T299" s="261"/>
      <c r="U299" s="262"/>
      <c r="V299" s="262"/>
      <c r="W299" s="260"/>
      <c r="X299" s="261"/>
      <c r="Y299" s="261"/>
      <c r="Z299" s="261"/>
      <c r="AA299" s="261"/>
      <c r="AB299" s="262"/>
      <c r="AC299" s="263"/>
      <c r="AD299" s="149" t="s">
        <v>735</v>
      </c>
      <c r="AE299">
        <v>25</v>
      </c>
      <c r="AF299">
        <v>30</v>
      </c>
      <c r="AJ299" t="s">
        <v>1653</v>
      </c>
      <c r="AK299" t="s">
        <v>1668</v>
      </c>
    </row>
    <row r="300" spans="1:37" x14ac:dyDescent="0.25">
      <c r="A300" s="256" t="s">
        <v>498</v>
      </c>
      <c r="B300" s="257"/>
      <c r="C300" s="258"/>
      <c r="D300" s="258"/>
      <c r="E300" s="258"/>
      <c r="F300" s="258"/>
      <c r="G300" s="149" t="s">
        <v>957</v>
      </c>
      <c r="H300" s="259">
        <v>3</v>
      </c>
      <c r="I300" s="257"/>
      <c r="J300" s="258"/>
      <c r="K300" s="258"/>
      <c r="L300" s="258"/>
      <c r="M300" s="258"/>
      <c r="N300" s="149" t="s">
        <v>958</v>
      </c>
      <c r="O300" s="259">
        <v>2</v>
      </c>
      <c r="P300" s="261"/>
      <c r="Q300" s="261"/>
      <c r="R300" s="261"/>
      <c r="S300" s="261"/>
      <c r="T300" s="261"/>
      <c r="U300" s="262"/>
      <c r="V300" s="262"/>
      <c r="W300" s="260"/>
      <c r="X300" s="261"/>
      <c r="Y300" s="261"/>
      <c r="Z300" s="261"/>
      <c r="AA300" s="261"/>
      <c r="AB300" s="262"/>
      <c r="AC300" s="263"/>
      <c r="AD300" s="149" t="s">
        <v>735</v>
      </c>
      <c r="AE300">
        <v>25</v>
      </c>
      <c r="AF300">
        <v>30</v>
      </c>
      <c r="AJ300" t="s">
        <v>1654</v>
      </c>
      <c r="AK300" t="s">
        <v>1669</v>
      </c>
    </row>
    <row r="301" spans="1:37" x14ac:dyDescent="0.25">
      <c r="A301" s="256" t="s">
        <v>971</v>
      </c>
      <c r="B301" s="257"/>
      <c r="C301" s="258"/>
      <c r="D301" s="258"/>
      <c r="E301" s="258"/>
      <c r="F301" s="258"/>
      <c r="G301" s="149" t="s">
        <v>958</v>
      </c>
      <c r="H301" s="259">
        <v>2</v>
      </c>
      <c r="I301" s="257"/>
      <c r="J301" s="258"/>
      <c r="K301" s="258"/>
      <c r="L301" s="258"/>
      <c r="M301" s="258"/>
      <c r="N301" s="149"/>
      <c r="O301" s="259"/>
      <c r="P301" s="261"/>
      <c r="Q301" s="261"/>
      <c r="R301" s="261"/>
      <c r="S301" s="261"/>
      <c r="T301" s="261"/>
      <c r="U301" s="262"/>
      <c r="V301" s="262"/>
      <c r="W301" s="260"/>
      <c r="X301" s="261"/>
      <c r="Y301" s="261"/>
      <c r="Z301" s="261"/>
      <c r="AA301" s="261"/>
      <c r="AB301" s="262"/>
      <c r="AC301" s="263"/>
      <c r="AD301" s="149" t="s">
        <v>735</v>
      </c>
      <c r="AE301">
        <v>25</v>
      </c>
      <c r="AF301">
        <v>30</v>
      </c>
      <c r="AJ301" t="s">
        <v>1655</v>
      </c>
      <c r="AK301" t="s">
        <v>1670</v>
      </c>
    </row>
    <row r="302" spans="1:37" x14ac:dyDescent="0.25">
      <c r="A302" s="267" t="s">
        <v>987</v>
      </c>
      <c r="B302" s="257" t="s">
        <v>32</v>
      </c>
      <c r="C302" s="258"/>
      <c r="D302" s="258" t="s">
        <v>32</v>
      </c>
      <c r="E302" s="258" t="s">
        <v>32</v>
      </c>
      <c r="F302" s="258"/>
      <c r="G302" s="149" t="s">
        <v>958</v>
      </c>
      <c r="H302" s="259">
        <v>2</v>
      </c>
      <c r="I302" s="257"/>
      <c r="J302" s="258"/>
      <c r="K302" s="258"/>
      <c r="L302" s="258"/>
      <c r="M302" s="258"/>
      <c r="N302" s="149"/>
      <c r="O302" s="259"/>
      <c r="P302" s="261"/>
      <c r="Q302" s="261"/>
      <c r="R302" s="261"/>
      <c r="S302" s="261"/>
      <c r="T302" s="261"/>
      <c r="U302" s="262"/>
      <c r="V302" s="262"/>
      <c r="W302" s="260"/>
      <c r="X302" s="261"/>
      <c r="Y302" s="261"/>
      <c r="Z302" s="261"/>
      <c r="AA302" s="261"/>
      <c r="AB302" s="262"/>
      <c r="AC302" s="263"/>
      <c r="AD302" s="149" t="s">
        <v>735</v>
      </c>
      <c r="AE302">
        <v>25</v>
      </c>
      <c r="AF302">
        <v>30</v>
      </c>
      <c r="AJ302" t="s">
        <v>1656</v>
      </c>
    </row>
    <row r="303" spans="1:37" x14ac:dyDescent="0.25">
      <c r="A303" s="256" t="s">
        <v>500</v>
      </c>
      <c r="B303" s="257" t="s">
        <v>32</v>
      </c>
      <c r="C303" s="258"/>
      <c r="D303" s="258" t="s">
        <v>32</v>
      </c>
      <c r="E303" s="258" t="s">
        <v>32</v>
      </c>
      <c r="F303" s="258"/>
      <c r="G303" s="149" t="s">
        <v>958</v>
      </c>
      <c r="H303" s="259">
        <v>1</v>
      </c>
      <c r="I303" s="257" t="s">
        <v>32</v>
      </c>
      <c r="J303" s="258"/>
      <c r="K303" s="258" t="s">
        <v>32</v>
      </c>
      <c r="L303" s="258"/>
      <c r="M303" s="258"/>
      <c r="N303" s="149" t="s">
        <v>954</v>
      </c>
      <c r="O303" s="259">
        <v>1</v>
      </c>
      <c r="P303" s="261"/>
      <c r="Q303" s="261"/>
      <c r="R303" s="261"/>
      <c r="S303" s="261"/>
      <c r="T303" s="261"/>
      <c r="U303" s="262"/>
      <c r="V303" s="262"/>
      <c r="W303" s="260"/>
      <c r="X303" s="261"/>
      <c r="Y303" s="261"/>
      <c r="Z303" s="261"/>
      <c r="AA303" s="261"/>
      <c r="AB303" s="262"/>
      <c r="AC303" s="263"/>
      <c r="AD303" s="149" t="s">
        <v>735</v>
      </c>
      <c r="AE303">
        <v>25</v>
      </c>
      <c r="AF303">
        <v>35</v>
      </c>
      <c r="AJ303" t="s">
        <v>1657</v>
      </c>
      <c r="AK303" t="s">
        <v>1671</v>
      </c>
    </row>
    <row r="304" spans="1:37" x14ac:dyDescent="0.25">
      <c r="A304" s="256" t="s">
        <v>503</v>
      </c>
      <c r="B304" s="257" t="s">
        <v>32</v>
      </c>
      <c r="C304" s="258"/>
      <c r="D304" s="258" t="s">
        <v>32</v>
      </c>
      <c r="E304" s="258" t="s">
        <v>32</v>
      </c>
      <c r="F304" s="258"/>
      <c r="G304" s="149" t="s">
        <v>957</v>
      </c>
      <c r="H304" s="259">
        <v>3</v>
      </c>
      <c r="I304" s="257"/>
      <c r="J304" s="258"/>
      <c r="K304" s="258"/>
      <c r="L304" s="258"/>
      <c r="M304" s="258"/>
      <c r="N304" s="149" t="s">
        <v>957</v>
      </c>
      <c r="O304" s="259">
        <v>2</v>
      </c>
      <c r="P304" s="261"/>
      <c r="Q304" s="261"/>
      <c r="R304" s="261"/>
      <c r="S304" s="261"/>
      <c r="T304" s="261"/>
      <c r="U304" s="262"/>
      <c r="V304" s="262"/>
      <c r="W304" s="260"/>
      <c r="X304" s="261"/>
      <c r="Y304" s="261"/>
      <c r="Z304" s="261"/>
      <c r="AA304" s="261"/>
      <c r="AB304" s="262"/>
      <c r="AC304" s="263"/>
      <c r="AD304" s="149" t="s">
        <v>735</v>
      </c>
      <c r="AE304">
        <v>25</v>
      </c>
      <c r="AF304">
        <v>30</v>
      </c>
      <c r="AJ304" t="s">
        <v>1658</v>
      </c>
      <c r="AK304" t="s">
        <v>1672</v>
      </c>
    </row>
    <row r="305" spans="1:37" x14ac:dyDescent="0.25">
      <c r="A305" s="256"/>
      <c r="B305" s="257"/>
      <c r="C305" s="258"/>
      <c r="D305" s="258"/>
      <c r="E305" s="258"/>
      <c r="F305" s="258"/>
      <c r="G305" s="149"/>
      <c r="H305" s="259"/>
      <c r="I305" s="257"/>
      <c r="J305" s="258"/>
      <c r="K305" s="258"/>
      <c r="L305" s="258"/>
      <c r="M305" s="258"/>
      <c r="N305" s="149"/>
      <c r="O305" s="259"/>
      <c r="P305" s="258"/>
      <c r="Q305" s="258"/>
      <c r="R305" s="258"/>
      <c r="S305" s="258"/>
      <c r="T305" s="258"/>
      <c r="U305" s="149"/>
      <c r="V305" s="149"/>
      <c r="W305" s="257"/>
      <c r="X305" s="258"/>
      <c r="Y305" s="258"/>
      <c r="Z305" s="258"/>
      <c r="AA305" s="258"/>
      <c r="AB305" s="149"/>
      <c r="AC305" s="259"/>
      <c r="AD305" s="149"/>
    </row>
    <row r="306" spans="1:37" x14ac:dyDescent="0.25">
      <c r="A306" s="256" t="s">
        <v>877</v>
      </c>
      <c r="B306" s="257"/>
      <c r="C306" s="258"/>
      <c r="D306" s="258"/>
      <c r="E306" s="258"/>
      <c r="F306" s="258"/>
      <c r="G306" s="149"/>
      <c r="H306" s="259">
        <v>1</v>
      </c>
      <c r="I306" s="257" t="s">
        <v>32</v>
      </c>
      <c r="J306" s="258"/>
      <c r="K306" s="258" t="s">
        <v>32</v>
      </c>
      <c r="L306" s="258"/>
      <c r="M306" s="258"/>
      <c r="N306" s="149"/>
      <c r="O306" s="259">
        <v>1</v>
      </c>
      <c r="P306" s="261"/>
      <c r="Q306" s="261"/>
      <c r="R306" s="261"/>
      <c r="S306" s="261"/>
      <c r="T306" s="261"/>
      <c r="U306" s="262"/>
      <c r="V306" s="262"/>
      <c r="W306" s="260"/>
      <c r="X306" s="261"/>
      <c r="Y306" s="261"/>
      <c r="Z306" s="261"/>
      <c r="AA306" s="261"/>
      <c r="AB306" s="262"/>
      <c r="AC306" s="263"/>
      <c r="AD306" s="149" t="s">
        <v>963</v>
      </c>
      <c r="AE306">
        <v>25</v>
      </c>
      <c r="AF306">
        <v>30</v>
      </c>
      <c r="AK306" t="s">
        <v>1675</v>
      </c>
    </row>
    <row r="307" spans="1:37" x14ac:dyDescent="0.25">
      <c r="A307" s="256" t="s">
        <v>878</v>
      </c>
      <c r="B307" s="257" t="s">
        <v>32</v>
      </c>
      <c r="C307" s="258"/>
      <c r="D307" s="258" t="s">
        <v>32</v>
      </c>
      <c r="E307" s="258"/>
      <c r="F307" s="258"/>
      <c r="G307" s="149"/>
      <c r="H307" s="259">
        <v>1</v>
      </c>
      <c r="I307" s="257" t="s">
        <v>32</v>
      </c>
      <c r="J307" s="258"/>
      <c r="K307" s="258" t="s">
        <v>32</v>
      </c>
      <c r="L307" s="258"/>
      <c r="M307" s="258"/>
      <c r="N307" s="149" t="s">
        <v>954</v>
      </c>
      <c r="O307" s="259">
        <v>1</v>
      </c>
      <c r="P307" s="261"/>
      <c r="Q307" s="261"/>
      <c r="R307" s="261"/>
      <c r="S307" s="261"/>
      <c r="T307" s="261"/>
      <c r="U307" s="262"/>
      <c r="V307" s="262"/>
      <c r="W307" s="260"/>
      <c r="X307" s="261"/>
      <c r="Y307" s="261"/>
      <c r="Z307" s="261"/>
      <c r="AA307" s="261"/>
      <c r="AB307" s="262"/>
      <c r="AC307" s="263"/>
      <c r="AD307" s="149" t="s">
        <v>963</v>
      </c>
      <c r="AE307">
        <v>25</v>
      </c>
      <c r="AF307">
        <v>30</v>
      </c>
      <c r="AK307" t="s">
        <v>1676</v>
      </c>
    </row>
    <row r="308" spans="1:37" x14ac:dyDescent="0.25">
      <c r="A308" s="256" t="s">
        <v>880</v>
      </c>
      <c r="B308" s="257"/>
      <c r="C308" s="258"/>
      <c r="D308" s="258"/>
      <c r="E308" s="258"/>
      <c r="F308" s="258"/>
      <c r="G308" s="149"/>
      <c r="H308" s="259">
        <v>3</v>
      </c>
      <c r="I308" s="257"/>
      <c r="J308" s="258"/>
      <c r="K308" s="258"/>
      <c r="L308" s="258"/>
      <c r="M308" s="258"/>
      <c r="N308" s="149"/>
      <c r="O308" s="259">
        <v>3</v>
      </c>
      <c r="P308" s="261"/>
      <c r="Q308" s="261"/>
      <c r="R308" s="261"/>
      <c r="S308" s="261"/>
      <c r="T308" s="261"/>
      <c r="U308" s="262"/>
      <c r="V308" s="262"/>
      <c r="W308" s="260"/>
      <c r="X308" s="261"/>
      <c r="Y308" s="261"/>
      <c r="Z308" s="261"/>
      <c r="AA308" s="261"/>
      <c r="AB308" s="262"/>
      <c r="AC308" s="263"/>
      <c r="AD308" s="149" t="s">
        <v>963</v>
      </c>
      <c r="AE308">
        <v>25</v>
      </c>
      <c r="AF308">
        <v>30</v>
      </c>
      <c r="AK308" t="s">
        <v>1677</v>
      </c>
    </row>
    <row r="309" spans="1:37" x14ac:dyDescent="0.25">
      <c r="A309" s="256" t="s">
        <v>882</v>
      </c>
      <c r="B309" s="257" t="s">
        <v>32</v>
      </c>
      <c r="C309" s="258"/>
      <c r="D309" s="258" t="s">
        <v>32</v>
      </c>
      <c r="E309" s="258"/>
      <c r="F309" s="258"/>
      <c r="G309" s="149"/>
      <c r="H309" s="259">
        <v>2</v>
      </c>
      <c r="I309" s="257" t="s">
        <v>32</v>
      </c>
      <c r="J309" s="258"/>
      <c r="K309" s="258" t="s">
        <v>32</v>
      </c>
      <c r="L309" s="258"/>
      <c r="M309" s="258"/>
      <c r="N309" s="149"/>
      <c r="O309" s="259">
        <v>2</v>
      </c>
      <c r="P309" s="261"/>
      <c r="Q309" s="261"/>
      <c r="R309" s="261"/>
      <c r="S309" s="261"/>
      <c r="T309" s="261"/>
      <c r="U309" s="262"/>
      <c r="V309" s="262"/>
      <c r="W309" s="260"/>
      <c r="X309" s="261"/>
      <c r="Y309" s="261"/>
      <c r="Z309" s="261"/>
      <c r="AA309" s="261"/>
      <c r="AB309" s="262"/>
      <c r="AC309" s="263"/>
      <c r="AD309" s="149" t="s">
        <v>963</v>
      </c>
      <c r="AE309">
        <v>25</v>
      </c>
      <c r="AF309">
        <v>30</v>
      </c>
      <c r="AK309" t="s">
        <v>1678</v>
      </c>
    </row>
    <row r="310" spans="1:37" x14ac:dyDescent="0.25">
      <c r="A310" s="256" t="s">
        <v>885</v>
      </c>
      <c r="B310" s="257"/>
      <c r="C310" s="258"/>
      <c r="D310" s="258"/>
      <c r="E310" s="258"/>
      <c r="F310" s="258"/>
      <c r="G310" s="149"/>
      <c r="H310" s="259">
        <v>2</v>
      </c>
      <c r="I310" s="257"/>
      <c r="J310" s="258"/>
      <c r="K310" s="258"/>
      <c r="L310" s="258"/>
      <c r="M310" s="258"/>
      <c r="N310" s="149"/>
      <c r="O310" s="259">
        <v>2</v>
      </c>
      <c r="P310" s="261"/>
      <c r="Q310" s="261"/>
      <c r="R310" s="261"/>
      <c r="S310" s="261"/>
      <c r="T310" s="261"/>
      <c r="U310" s="262"/>
      <c r="V310" s="262"/>
      <c r="W310" s="260"/>
      <c r="X310" s="261"/>
      <c r="Y310" s="261"/>
      <c r="Z310" s="261"/>
      <c r="AA310" s="261"/>
      <c r="AB310" s="262"/>
      <c r="AC310" s="263"/>
      <c r="AD310" s="149" t="s">
        <v>963</v>
      </c>
      <c r="AE310">
        <v>25</v>
      </c>
      <c r="AF310">
        <v>30</v>
      </c>
      <c r="AK310" t="s">
        <v>1679</v>
      </c>
    </row>
    <row r="311" spans="1:37" x14ac:dyDescent="0.25">
      <c r="A311" s="256" t="s">
        <v>888</v>
      </c>
      <c r="B311" s="257" t="s">
        <v>32</v>
      </c>
      <c r="C311" s="258"/>
      <c r="D311" s="258" t="s">
        <v>32</v>
      </c>
      <c r="E311" s="258"/>
      <c r="F311" s="258"/>
      <c r="G311" s="149"/>
      <c r="H311" s="259">
        <v>2</v>
      </c>
      <c r="I311" s="257" t="s">
        <v>32</v>
      </c>
      <c r="J311" s="258"/>
      <c r="K311" s="258" t="s">
        <v>32</v>
      </c>
      <c r="L311" s="258"/>
      <c r="M311" s="258"/>
      <c r="N311" s="149"/>
      <c r="O311" s="259">
        <v>2</v>
      </c>
      <c r="P311" s="261"/>
      <c r="Q311" s="261"/>
      <c r="R311" s="261"/>
      <c r="S311" s="261"/>
      <c r="T311" s="261"/>
      <c r="U311" s="262"/>
      <c r="V311" s="262"/>
      <c r="W311" s="260"/>
      <c r="X311" s="261"/>
      <c r="Y311" s="261"/>
      <c r="Z311" s="261"/>
      <c r="AA311" s="261"/>
      <c r="AB311" s="262"/>
      <c r="AC311" s="263"/>
      <c r="AD311" s="149" t="s">
        <v>963</v>
      </c>
      <c r="AE311">
        <v>25</v>
      </c>
      <c r="AF311">
        <v>30</v>
      </c>
      <c r="AK311" t="s">
        <v>1680</v>
      </c>
    </row>
    <row r="312" spans="1:37" x14ac:dyDescent="0.25">
      <c r="A312" s="256" t="s">
        <v>1779</v>
      </c>
      <c r="B312" s="257"/>
      <c r="C312" s="258"/>
      <c r="D312" s="258"/>
      <c r="E312" s="258"/>
      <c r="F312" s="258"/>
      <c r="G312" s="149"/>
      <c r="H312" s="259"/>
      <c r="I312" s="257"/>
      <c r="J312" s="258"/>
      <c r="K312" s="258"/>
      <c r="L312" s="258"/>
      <c r="M312" s="258"/>
      <c r="N312" s="149"/>
      <c r="O312" s="259"/>
      <c r="P312" s="261"/>
      <c r="Q312" s="261"/>
      <c r="R312" s="261"/>
      <c r="S312" s="261"/>
      <c r="T312" s="261"/>
      <c r="U312" s="262"/>
      <c r="V312" s="262"/>
      <c r="W312" s="260"/>
      <c r="X312" s="261"/>
      <c r="Y312" s="261"/>
      <c r="Z312" s="261"/>
      <c r="AA312" s="261"/>
      <c r="AB312" s="262"/>
      <c r="AC312" s="263"/>
      <c r="AD312" s="149"/>
    </row>
    <row r="313" spans="1:37" x14ac:dyDescent="0.25">
      <c r="A313" s="256" t="s">
        <v>891</v>
      </c>
      <c r="B313" s="257"/>
      <c r="C313" s="258"/>
      <c r="D313" s="258"/>
      <c r="E313" s="258"/>
      <c r="F313" s="258"/>
      <c r="G313" s="149"/>
      <c r="H313" s="259">
        <v>3</v>
      </c>
      <c r="I313" s="257"/>
      <c r="J313" s="258"/>
      <c r="K313" s="258"/>
      <c r="L313" s="258"/>
      <c r="M313" s="258"/>
      <c r="N313" s="149"/>
      <c r="O313" s="259">
        <v>3</v>
      </c>
      <c r="P313" s="261"/>
      <c r="Q313" s="261"/>
      <c r="R313" s="261"/>
      <c r="S313" s="261"/>
      <c r="T313" s="261"/>
      <c r="U313" s="262"/>
      <c r="V313" s="262"/>
      <c r="W313" s="260"/>
      <c r="X313" s="261"/>
      <c r="Y313" s="261"/>
      <c r="Z313" s="261"/>
      <c r="AA313" s="261"/>
      <c r="AB313" s="262"/>
      <c r="AC313" s="263"/>
      <c r="AD313" s="149" t="s">
        <v>963</v>
      </c>
      <c r="AE313">
        <v>25</v>
      </c>
      <c r="AF313">
        <v>30</v>
      </c>
    </row>
    <row r="314" spans="1:37" x14ac:dyDescent="0.25">
      <c r="A314" s="256" t="s">
        <v>979</v>
      </c>
      <c r="B314" s="257"/>
      <c r="C314" s="258"/>
      <c r="D314" s="258"/>
      <c r="E314" s="258"/>
      <c r="F314" s="258"/>
      <c r="G314" s="149"/>
      <c r="H314" s="259">
        <v>2</v>
      </c>
      <c r="I314" s="257" t="s">
        <v>32</v>
      </c>
      <c r="J314" s="258" t="s">
        <v>32</v>
      </c>
      <c r="K314" s="258"/>
      <c r="L314" s="258"/>
      <c r="M314" s="258"/>
      <c r="N314" s="149"/>
      <c r="O314" s="259">
        <v>2</v>
      </c>
      <c r="P314" s="261"/>
      <c r="Q314" s="261"/>
      <c r="R314" s="261"/>
      <c r="S314" s="261"/>
      <c r="T314" s="261"/>
      <c r="U314" s="262"/>
      <c r="V314" s="262"/>
      <c r="W314" s="260"/>
      <c r="X314" s="261"/>
      <c r="Y314" s="261"/>
      <c r="Z314" s="261"/>
      <c r="AA314" s="261"/>
      <c r="AB314" s="262"/>
      <c r="AC314" s="263"/>
      <c r="AD314" s="149" t="s">
        <v>963</v>
      </c>
      <c r="AE314">
        <v>25</v>
      </c>
      <c r="AF314">
        <v>30</v>
      </c>
      <c r="AK314" t="s">
        <v>1681</v>
      </c>
    </row>
    <row r="315" spans="1:37" ht="15" customHeight="1" x14ac:dyDescent="0.25">
      <c r="A315" s="256"/>
      <c r="B315" s="257"/>
      <c r="C315" s="258"/>
      <c r="D315" s="258"/>
      <c r="E315" s="258"/>
      <c r="F315" s="258"/>
      <c r="G315" s="149"/>
      <c r="H315" s="259"/>
      <c r="I315" s="257"/>
      <c r="J315" s="258"/>
      <c r="K315" s="258"/>
      <c r="L315" s="258"/>
      <c r="M315" s="258"/>
      <c r="N315" s="149"/>
      <c r="O315" s="259"/>
      <c r="P315" s="258"/>
      <c r="Q315" s="258"/>
      <c r="R315" s="258"/>
      <c r="S315" s="258"/>
      <c r="T315" s="258"/>
      <c r="U315" s="149"/>
      <c r="V315" s="149"/>
      <c r="W315" s="257"/>
      <c r="X315" s="258"/>
      <c r="Y315" s="258"/>
      <c r="Z315" s="258"/>
      <c r="AA315" s="258"/>
      <c r="AB315" s="149"/>
      <c r="AC315" s="259"/>
      <c r="AD315" s="149"/>
    </row>
    <row r="316" spans="1:37" ht="15" customHeight="1" x14ac:dyDescent="0.25">
      <c r="A316" s="256" t="s">
        <v>762</v>
      </c>
      <c r="B316" s="257"/>
      <c r="C316" s="258"/>
      <c r="D316" s="258"/>
      <c r="E316" s="258"/>
      <c r="F316" s="258"/>
      <c r="G316" s="149"/>
      <c r="H316" s="259">
        <v>1</v>
      </c>
      <c r="I316" s="257" t="s">
        <v>32</v>
      </c>
      <c r="J316" s="258"/>
      <c r="K316" s="258" t="s">
        <v>32</v>
      </c>
      <c r="L316" s="258"/>
      <c r="M316" s="258"/>
      <c r="N316" s="149"/>
      <c r="O316" s="259">
        <v>1</v>
      </c>
      <c r="P316" s="257"/>
      <c r="Q316" s="258"/>
      <c r="R316" s="258"/>
      <c r="S316" s="258"/>
      <c r="T316" s="258"/>
      <c r="U316" s="149"/>
      <c r="V316" s="149"/>
      <c r="W316" s="258"/>
      <c r="X316" s="258"/>
      <c r="Y316" s="258"/>
      <c r="Z316" s="258"/>
      <c r="AA316" s="258"/>
      <c r="AB316" s="149"/>
      <c r="AC316" s="149">
        <v>2</v>
      </c>
      <c r="AD316" s="149" t="s">
        <v>964</v>
      </c>
      <c r="AE316">
        <v>25</v>
      </c>
      <c r="AF316">
        <v>30</v>
      </c>
      <c r="AG316" s="2">
        <v>40</v>
      </c>
      <c r="AH316" s="2">
        <v>45</v>
      </c>
      <c r="AK316" t="s">
        <v>1682</v>
      </c>
    </row>
    <row r="317" spans="1:37" ht="15" customHeight="1" x14ac:dyDescent="0.25">
      <c r="A317" s="256" t="s">
        <v>765</v>
      </c>
      <c r="B317" s="257" t="s">
        <v>32</v>
      </c>
      <c r="C317" s="258"/>
      <c r="D317" s="258"/>
      <c r="E317" s="258"/>
      <c r="F317" s="258"/>
      <c r="G317" s="149"/>
      <c r="H317" s="259">
        <v>1</v>
      </c>
      <c r="I317" s="257" t="s">
        <v>32</v>
      </c>
      <c r="J317" s="258"/>
      <c r="K317" s="258" t="s">
        <v>32</v>
      </c>
      <c r="L317" s="258"/>
      <c r="M317" s="258"/>
      <c r="N317" s="149"/>
      <c r="O317" s="259">
        <v>1</v>
      </c>
      <c r="P317" s="257"/>
      <c r="Q317" s="258"/>
      <c r="R317" s="258"/>
      <c r="S317" s="258"/>
      <c r="T317" s="258"/>
      <c r="U317" s="149"/>
      <c r="V317" s="149"/>
      <c r="W317" s="258"/>
      <c r="X317" s="258"/>
      <c r="Y317" s="258"/>
      <c r="Z317" s="258"/>
      <c r="AA317" s="258"/>
      <c r="AB317" s="149"/>
      <c r="AC317" s="149">
        <v>2</v>
      </c>
      <c r="AD317" s="149" t="s">
        <v>964</v>
      </c>
      <c r="AE317">
        <v>25</v>
      </c>
      <c r="AF317">
        <v>30</v>
      </c>
      <c r="AG317" s="2">
        <v>40</v>
      </c>
      <c r="AH317" s="2">
        <v>45</v>
      </c>
      <c r="AK317" t="s">
        <v>1683</v>
      </c>
    </row>
    <row r="318" spans="1:37" ht="15" customHeight="1" x14ac:dyDescent="0.25">
      <c r="A318" s="256" t="s">
        <v>766</v>
      </c>
      <c r="B318" s="257" t="s">
        <v>32</v>
      </c>
      <c r="C318" s="258"/>
      <c r="D318" s="258"/>
      <c r="E318" s="258"/>
      <c r="F318" s="258"/>
      <c r="G318" s="149"/>
      <c r="H318" s="259">
        <v>1</v>
      </c>
      <c r="I318" s="257" t="s">
        <v>32</v>
      </c>
      <c r="J318" s="258"/>
      <c r="K318" s="258" t="s">
        <v>32</v>
      </c>
      <c r="L318" s="258"/>
      <c r="M318" s="258"/>
      <c r="N318" s="149"/>
      <c r="O318" s="259">
        <v>1</v>
      </c>
      <c r="P318" s="257"/>
      <c r="Q318" s="258"/>
      <c r="R318" s="258"/>
      <c r="S318" s="258"/>
      <c r="T318" s="258"/>
      <c r="U318" s="149"/>
      <c r="V318" s="149"/>
      <c r="W318" s="258"/>
      <c r="X318" s="258"/>
      <c r="Y318" s="258"/>
      <c r="Z318" s="258"/>
      <c r="AA318" s="258"/>
      <c r="AB318" s="149"/>
      <c r="AC318" s="149">
        <v>2</v>
      </c>
      <c r="AD318" s="149" t="s">
        <v>964</v>
      </c>
      <c r="AE318">
        <v>25</v>
      </c>
      <c r="AF318">
        <v>30</v>
      </c>
      <c r="AG318" s="2">
        <v>40</v>
      </c>
      <c r="AH318" s="2">
        <v>45</v>
      </c>
      <c r="AK318" t="s">
        <v>1684</v>
      </c>
    </row>
    <row r="319" spans="1:37" ht="15" customHeight="1" x14ac:dyDescent="0.25">
      <c r="A319" s="256" t="s">
        <v>767</v>
      </c>
      <c r="B319" s="257" t="s">
        <v>32</v>
      </c>
      <c r="C319" s="258"/>
      <c r="D319" s="258"/>
      <c r="E319" s="258"/>
      <c r="F319" s="258"/>
      <c r="G319" s="149"/>
      <c r="H319" s="259">
        <v>1</v>
      </c>
      <c r="I319" s="257" t="s">
        <v>32</v>
      </c>
      <c r="J319" s="258"/>
      <c r="K319" s="258" t="s">
        <v>32</v>
      </c>
      <c r="L319" s="258"/>
      <c r="M319" s="258"/>
      <c r="N319" s="149"/>
      <c r="O319" s="259">
        <v>1</v>
      </c>
      <c r="P319" s="257"/>
      <c r="Q319" s="258"/>
      <c r="R319" s="258"/>
      <c r="S319" s="258"/>
      <c r="T319" s="258"/>
      <c r="U319" s="149"/>
      <c r="V319" s="149"/>
      <c r="W319" s="258"/>
      <c r="X319" s="258"/>
      <c r="Y319" s="258"/>
      <c r="Z319" s="258"/>
      <c r="AA319" s="258"/>
      <c r="AB319" s="149"/>
      <c r="AC319" s="149">
        <v>2</v>
      </c>
      <c r="AD319" s="149" t="s">
        <v>964</v>
      </c>
      <c r="AE319">
        <v>25</v>
      </c>
      <c r="AF319">
        <v>30</v>
      </c>
      <c r="AG319" s="2">
        <v>40</v>
      </c>
      <c r="AH319" s="2">
        <v>45</v>
      </c>
      <c r="AK319" t="s">
        <v>1685</v>
      </c>
    </row>
    <row r="320" spans="1:37" ht="15" customHeight="1" x14ac:dyDescent="0.25">
      <c r="A320" s="256" t="s">
        <v>768</v>
      </c>
      <c r="B320" s="257" t="s">
        <v>32</v>
      </c>
      <c r="C320" s="258"/>
      <c r="D320" s="258"/>
      <c r="E320" s="258"/>
      <c r="F320" s="258"/>
      <c r="G320" s="149"/>
      <c r="H320" s="259">
        <v>1</v>
      </c>
      <c r="I320" s="257" t="s">
        <v>32</v>
      </c>
      <c r="J320" s="258"/>
      <c r="K320" s="258" t="s">
        <v>32</v>
      </c>
      <c r="L320" s="258"/>
      <c r="M320" s="258"/>
      <c r="N320" s="149"/>
      <c r="O320" s="259">
        <v>1</v>
      </c>
      <c r="P320" s="257"/>
      <c r="Q320" s="258"/>
      <c r="R320" s="258"/>
      <c r="S320" s="258"/>
      <c r="T320" s="258"/>
      <c r="U320" s="149"/>
      <c r="V320" s="149"/>
      <c r="W320" s="258"/>
      <c r="X320" s="258"/>
      <c r="Y320" s="258"/>
      <c r="Z320" s="258"/>
      <c r="AA320" s="258"/>
      <c r="AB320" s="149"/>
      <c r="AC320" s="149">
        <v>2</v>
      </c>
      <c r="AD320" s="149" t="s">
        <v>964</v>
      </c>
      <c r="AE320">
        <v>25</v>
      </c>
      <c r="AF320">
        <v>30</v>
      </c>
      <c r="AG320" s="2">
        <v>40</v>
      </c>
      <c r="AH320" s="2">
        <v>45</v>
      </c>
      <c r="AK320" t="s">
        <v>1686</v>
      </c>
    </row>
    <row r="321" spans="1:37" ht="15" customHeight="1" x14ac:dyDescent="0.25">
      <c r="A321" s="256" t="s">
        <v>769</v>
      </c>
      <c r="B321" s="257"/>
      <c r="C321" s="258"/>
      <c r="D321" s="258"/>
      <c r="E321" s="258"/>
      <c r="F321" s="258"/>
      <c r="G321" s="149"/>
      <c r="H321" s="259">
        <v>1</v>
      </c>
      <c r="I321" s="257"/>
      <c r="J321" s="258"/>
      <c r="K321" s="258"/>
      <c r="L321" s="258"/>
      <c r="M321" s="258"/>
      <c r="N321" s="149"/>
      <c r="O321" s="259">
        <v>1</v>
      </c>
      <c r="P321" s="258"/>
      <c r="Q321" s="258"/>
      <c r="R321" s="258"/>
      <c r="S321" s="258"/>
      <c r="T321" s="258"/>
      <c r="U321" s="149"/>
      <c r="V321" s="149"/>
      <c r="W321" s="257"/>
      <c r="X321" s="258"/>
      <c r="Y321" s="258"/>
      <c r="Z321" s="258"/>
      <c r="AA321" s="258"/>
      <c r="AB321" s="149"/>
      <c r="AC321" s="259"/>
      <c r="AD321" s="149" t="s">
        <v>964</v>
      </c>
      <c r="AE321">
        <v>25</v>
      </c>
      <c r="AF321">
        <v>30</v>
      </c>
      <c r="AG321" s="2">
        <v>40</v>
      </c>
      <c r="AH321" s="2">
        <v>45</v>
      </c>
      <c r="AK321" t="s">
        <v>1687</v>
      </c>
    </row>
    <row r="322" spans="1:37" ht="15" customHeight="1" x14ac:dyDescent="0.25">
      <c r="A322" s="256" t="s">
        <v>770</v>
      </c>
      <c r="B322" s="257"/>
      <c r="C322" s="258"/>
      <c r="D322" s="258"/>
      <c r="E322" s="258"/>
      <c r="F322" s="258"/>
      <c r="G322" s="149"/>
      <c r="H322" s="259">
        <v>1</v>
      </c>
      <c r="I322" s="257"/>
      <c r="J322" s="258"/>
      <c r="K322" s="258"/>
      <c r="L322" s="258"/>
      <c r="M322" s="258"/>
      <c r="N322" s="149"/>
      <c r="O322" s="259">
        <v>1</v>
      </c>
      <c r="P322" s="258"/>
      <c r="Q322" s="258"/>
      <c r="R322" s="258"/>
      <c r="S322" s="258"/>
      <c r="T322" s="258"/>
      <c r="U322" s="149"/>
      <c r="V322" s="149">
        <v>1</v>
      </c>
      <c r="W322" s="257"/>
      <c r="X322" s="258"/>
      <c r="Y322" s="258"/>
      <c r="Z322" s="258"/>
      <c r="AA322" s="258"/>
      <c r="AB322" s="149"/>
      <c r="AC322" s="259">
        <v>1</v>
      </c>
      <c r="AD322" s="149" t="s">
        <v>964</v>
      </c>
      <c r="AE322">
        <v>25</v>
      </c>
      <c r="AF322">
        <v>30</v>
      </c>
      <c r="AG322" s="2">
        <v>40</v>
      </c>
      <c r="AH322" s="2">
        <v>45</v>
      </c>
    </row>
    <row r="323" spans="1:37" ht="15" customHeight="1" x14ac:dyDescent="0.25">
      <c r="A323" s="256"/>
      <c r="B323" s="257"/>
      <c r="C323" s="258"/>
      <c r="D323" s="258"/>
      <c r="E323" s="258"/>
      <c r="F323" s="258"/>
      <c r="G323" s="149"/>
      <c r="H323" s="259"/>
      <c r="I323" s="257"/>
      <c r="J323" s="258"/>
      <c r="K323" s="258"/>
      <c r="L323" s="258"/>
      <c r="M323" s="258"/>
      <c r="N323" s="149"/>
      <c r="O323" s="259"/>
      <c r="P323" s="258"/>
      <c r="Q323" s="258"/>
      <c r="R323" s="258"/>
      <c r="S323" s="258"/>
      <c r="T323" s="258"/>
      <c r="U323" s="149"/>
      <c r="V323" s="149"/>
      <c r="W323" s="257"/>
      <c r="X323" s="258"/>
      <c r="Y323" s="258"/>
      <c r="Z323" s="258"/>
      <c r="AA323" s="258"/>
      <c r="AB323" s="149"/>
      <c r="AC323" s="259"/>
      <c r="AD323" s="149"/>
    </row>
    <row r="324" spans="1:37" x14ac:dyDescent="0.25">
      <c r="A324" s="265" t="s">
        <v>771</v>
      </c>
      <c r="B324" s="257"/>
      <c r="C324" s="258"/>
      <c r="D324" s="258"/>
      <c r="E324" s="258"/>
      <c r="F324" s="258"/>
      <c r="G324" s="149"/>
      <c r="H324" s="259">
        <v>1</v>
      </c>
      <c r="I324" s="257"/>
      <c r="J324" s="258"/>
      <c r="K324" s="258"/>
      <c r="L324" s="258"/>
      <c r="M324" s="258"/>
      <c r="N324" s="149"/>
      <c r="O324" s="259"/>
      <c r="P324" s="261"/>
      <c r="Q324" s="261"/>
      <c r="R324" s="261"/>
      <c r="S324" s="261"/>
      <c r="T324" s="261"/>
      <c r="U324" s="262"/>
      <c r="V324" s="262"/>
      <c r="W324" s="260"/>
      <c r="X324" s="261"/>
      <c r="Y324" s="261"/>
      <c r="Z324" s="261"/>
      <c r="AA324" s="261"/>
      <c r="AB324" s="262"/>
      <c r="AC324" s="263"/>
      <c r="AD324" s="149" t="s">
        <v>965</v>
      </c>
      <c r="AE324">
        <v>25</v>
      </c>
    </row>
    <row r="325" spans="1:37" x14ac:dyDescent="0.25">
      <c r="A325" s="256" t="s">
        <v>773</v>
      </c>
      <c r="B325" s="257"/>
      <c r="C325" s="258"/>
      <c r="D325" s="258"/>
      <c r="E325" s="258"/>
      <c r="F325" s="258"/>
      <c r="G325" s="149"/>
      <c r="H325" s="259">
        <v>1</v>
      </c>
      <c r="I325" s="257"/>
      <c r="J325" s="258"/>
      <c r="K325" s="258"/>
      <c r="L325" s="258"/>
      <c r="M325" s="258"/>
      <c r="N325" s="149"/>
      <c r="O325" s="259"/>
      <c r="P325" s="261"/>
      <c r="Q325" s="261"/>
      <c r="R325" s="261"/>
      <c r="S325" s="261"/>
      <c r="T325" s="261"/>
      <c r="U325" s="262"/>
      <c r="V325" s="262"/>
      <c r="W325" s="260"/>
      <c r="X325" s="261"/>
      <c r="Y325" s="261"/>
      <c r="Z325" s="261"/>
      <c r="AA325" s="261"/>
      <c r="AB325" s="262"/>
      <c r="AC325" s="263"/>
      <c r="AD325" s="149" t="s">
        <v>965</v>
      </c>
      <c r="AE325">
        <v>25</v>
      </c>
    </row>
    <row r="326" spans="1:37" x14ac:dyDescent="0.25">
      <c r="A326" s="265" t="s">
        <v>774</v>
      </c>
      <c r="B326" s="257"/>
      <c r="C326" s="258"/>
      <c r="D326" s="258"/>
      <c r="E326" s="258"/>
      <c r="F326" s="258"/>
      <c r="G326" s="149"/>
      <c r="H326" s="259">
        <v>1</v>
      </c>
      <c r="I326" s="257"/>
      <c r="J326" s="258"/>
      <c r="K326" s="258"/>
      <c r="L326" s="258"/>
      <c r="M326" s="258"/>
      <c r="N326" s="149"/>
      <c r="O326" s="259"/>
      <c r="P326" s="261"/>
      <c r="Q326" s="261"/>
      <c r="R326" s="261"/>
      <c r="S326" s="261"/>
      <c r="T326" s="261"/>
      <c r="U326" s="262"/>
      <c r="V326" s="262"/>
      <c r="W326" s="260"/>
      <c r="X326" s="261"/>
      <c r="Y326" s="261"/>
      <c r="Z326" s="261"/>
      <c r="AA326" s="261"/>
      <c r="AB326" s="262"/>
      <c r="AC326" s="263"/>
      <c r="AD326" s="149" t="s">
        <v>965</v>
      </c>
      <c r="AE326">
        <v>25</v>
      </c>
    </row>
    <row r="327" spans="1:37" x14ac:dyDescent="0.25">
      <c r="A327" s="265" t="s">
        <v>775</v>
      </c>
      <c r="B327" s="257"/>
      <c r="C327" s="258"/>
      <c r="D327" s="258"/>
      <c r="E327" s="258"/>
      <c r="F327" s="258"/>
      <c r="G327" s="149"/>
      <c r="H327" s="259">
        <v>1</v>
      </c>
      <c r="I327" s="257"/>
      <c r="J327" s="258"/>
      <c r="K327" s="258"/>
      <c r="L327" s="258"/>
      <c r="M327" s="258"/>
      <c r="N327" s="149"/>
      <c r="O327" s="259"/>
      <c r="P327" s="261"/>
      <c r="Q327" s="261"/>
      <c r="R327" s="261"/>
      <c r="S327" s="261"/>
      <c r="T327" s="261"/>
      <c r="U327" s="262"/>
      <c r="V327" s="262"/>
      <c r="W327" s="260"/>
      <c r="X327" s="261"/>
      <c r="Y327" s="261"/>
      <c r="Z327" s="261"/>
      <c r="AA327" s="261"/>
      <c r="AB327" s="262"/>
      <c r="AC327" s="263"/>
      <c r="AD327" s="149" t="s">
        <v>965</v>
      </c>
      <c r="AE327">
        <v>25</v>
      </c>
    </row>
    <row r="328" spans="1:37" x14ac:dyDescent="0.25">
      <c r="A328" s="265" t="s">
        <v>1256</v>
      </c>
      <c r="B328" s="257"/>
      <c r="C328" s="258"/>
      <c r="D328" s="258"/>
      <c r="E328" s="258"/>
      <c r="F328" s="258"/>
      <c r="G328" s="149" t="s">
        <v>958</v>
      </c>
      <c r="H328" s="259">
        <v>1</v>
      </c>
      <c r="I328" s="257"/>
      <c r="J328" s="258"/>
      <c r="K328" s="258"/>
      <c r="L328" s="258"/>
      <c r="M328" s="258"/>
      <c r="N328" s="149"/>
      <c r="O328" s="259"/>
      <c r="P328" s="261"/>
      <c r="Q328" s="261"/>
      <c r="R328" s="261"/>
      <c r="S328" s="261"/>
      <c r="T328" s="261"/>
      <c r="U328" s="262"/>
      <c r="V328" s="262"/>
      <c r="W328" s="260"/>
      <c r="X328" s="261"/>
      <c r="Y328" s="261"/>
      <c r="Z328" s="261"/>
      <c r="AA328" s="261"/>
      <c r="AB328" s="262"/>
      <c r="AC328" s="263"/>
      <c r="AD328" s="149" t="s">
        <v>965</v>
      </c>
      <c r="AE328">
        <v>25</v>
      </c>
    </row>
    <row r="329" spans="1:37" x14ac:dyDescent="0.25">
      <c r="A329" s="265" t="s">
        <v>1853</v>
      </c>
      <c r="B329" s="257" t="s">
        <v>32</v>
      </c>
      <c r="C329" s="258"/>
      <c r="D329" s="258"/>
      <c r="E329" s="258"/>
      <c r="F329" s="258"/>
      <c r="G329" s="149"/>
      <c r="H329" s="259"/>
      <c r="I329" s="257"/>
      <c r="J329" s="258"/>
      <c r="K329" s="258"/>
      <c r="L329" s="258"/>
      <c r="M329" s="258"/>
      <c r="N329" s="149"/>
      <c r="O329" s="259"/>
      <c r="P329" s="261"/>
      <c r="Q329" s="261"/>
      <c r="R329" s="261"/>
      <c r="S329" s="261"/>
      <c r="T329" s="261"/>
      <c r="U329" s="262"/>
      <c r="V329" s="262"/>
      <c r="W329" s="260"/>
      <c r="X329" s="261"/>
      <c r="Y329" s="261"/>
      <c r="Z329" s="261"/>
      <c r="AA329" s="261"/>
      <c r="AB329" s="262"/>
      <c r="AC329" s="263"/>
      <c r="AD329" s="149"/>
    </row>
    <row r="330" spans="1:37" x14ac:dyDescent="0.25">
      <c r="A330" s="265" t="s">
        <v>989</v>
      </c>
      <c r="B330" s="257"/>
      <c r="C330" s="258"/>
      <c r="D330" s="258"/>
      <c r="E330" s="258"/>
      <c r="F330" s="258"/>
      <c r="G330" s="149" t="s">
        <v>957</v>
      </c>
      <c r="H330" s="259">
        <v>1</v>
      </c>
      <c r="I330" s="257"/>
      <c r="J330" s="258"/>
      <c r="K330" s="258"/>
      <c r="L330" s="258"/>
      <c r="M330" s="258"/>
      <c r="N330" s="149"/>
      <c r="O330" s="259"/>
      <c r="P330" s="261"/>
      <c r="Q330" s="261"/>
      <c r="R330" s="261"/>
      <c r="S330" s="261"/>
      <c r="T330" s="261"/>
      <c r="U330" s="262"/>
      <c r="V330" s="262"/>
      <c r="W330" s="260"/>
      <c r="X330" s="261"/>
      <c r="Y330" s="261"/>
      <c r="Z330" s="261"/>
      <c r="AA330" s="261"/>
      <c r="AB330" s="262"/>
      <c r="AC330" s="263"/>
      <c r="AD330" s="149" t="s">
        <v>965</v>
      </c>
      <c r="AE330">
        <v>25</v>
      </c>
    </row>
    <row r="331" spans="1:37" x14ac:dyDescent="0.25">
      <c r="A331" s="265" t="s">
        <v>776</v>
      </c>
      <c r="B331" s="257"/>
      <c r="C331" s="258"/>
      <c r="D331" s="258"/>
      <c r="E331" s="258"/>
      <c r="F331" s="258"/>
      <c r="G331" s="149"/>
      <c r="H331" s="259">
        <v>1</v>
      </c>
      <c r="I331" s="257"/>
      <c r="J331" s="258"/>
      <c r="K331" s="258"/>
      <c r="L331" s="258"/>
      <c r="M331" s="258"/>
      <c r="N331" s="149"/>
      <c r="O331" s="259"/>
      <c r="P331" s="261"/>
      <c r="Q331" s="261"/>
      <c r="R331" s="261"/>
      <c r="S331" s="261"/>
      <c r="T331" s="261"/>
      <c r="U331" s="262"/>
      <c r="V331" s="262"/>
      <c r="W331" s="260"/>
      <c r="X331" s="261"/>
      <c r="Y331" s="261"/>
      <c r="Z331" s="261"/>
      <c r="AA331" s="261"/>
      <c r="AB331" s="262"/>
      <c r="AC331" s="263"/>
      <c r="AD331" s="149" t="s">
        <v>965</v>
      </c>
      <c r="AE331">
        <v>25</v>
      </c>
    </row>
    <row r="332" spans="1:37" x14ac:dyDescent="0.25">
      <c r="A332" s="349" t="s">
        <v>777</v>
      </c>
      <c r="B332" s="257"/>
      <c r="C332" s="258"/>
      <c r="D332" s="258"/>
      <c r="E332" s="258"/>
      <c r="F332" s="258"/>
      <c r="G332" s="149" t="s">
        <v>958</v>
      </c>
      <c r="H332" s="259">
        <v>1</v>
      </c>
      <c r="I332" s="257"/>
      <c r="J332" s="258"/>
      <c r="K332" s="258"/>
      <c r="L332" s="258"/>
      <c r="M332" s="258"/>
      <c r="N332" s="149"/>
      <c r="O332" s="259"/>
      <c r="P332" s="261"/>
      <c r="Q332" s="261"/>
      <c r="R332" s="261"/>
      <c r="S332" s="261"/>
      <c r="T332" s="261"/>
      <c r="U332" s="262"/>
      <c r="V332" s="262"/>
      <c r="W332" s="260"/>
      <c r="X332" s="261"/>
      <c r="Y332" s="261"/>
      <c r="Z332" s="261"/>
      <c r="AA332" s="261"/>
      <c r="AB332" s="262"/>
      <c r="AC332" s="263"/>
      <c r="AD332" s="149" t="s">
        <v>965</v>
      </c>
      <c r="AE332">
        <v>25</v>
      </c>
    </row>
    <row r="333" spans="1:37" x14ac:dyDescent="0.25">
      <c r="A333" s="351" t="s">
        <v>1028</v>
      </c>
      <c r="B333" s="257"/>
      <c r="C333" s="258"/>
      <c r="D333" s="258"/>
      <c r="E333" s="258"/>
      <c r="F333" s="258"/>
      <c r="G333" s="149" t="s">
        <v>957</v>
      </c>
      <c r="H333" s="259">
        <v>1</v>
      </c>
      <c r="I333" s="257"/>
      <c r="J333" s="258"/>
      <c r="K333" s="258"/>
      <c r="L333" s="258"/>
      <c r="M333" s="258"/>
      <c r="N333" s="149"/>
      <c r="O333" s="259"/>
      <c r="P333" s="261"/>
      <c r="Q333" s="261"/>
      <c r="R333" s="261"/>
      <c r="S333" s="261"/>
      <c r="T333" s="261"/>
      <c r="U333" s="262"/>
      <c r="V333" s="262"/>
      <c r="W333" s="260"/>
      <c r="X333" s="261"/>
      <c r="Y333" s="261"/>
      <c r="Z333" s="261"/>
      <c r="AA333" s="261"/>
      <c r="AB333" s="262"/>
      <c r="AC333" s="263"/>
      <c r="AD333" s="2" t="s">
        <v>967</v>
      </c>
      <c r="AE333">
        <v>25</v>
      </c>
    </row>
    <row r="334" spans="1:37" x14ac:dyDescent="0.25">
      <c r="A334" s="351" t="s">
        <v>1029</v>
      </c>
      <c r="B334" s="257"/>
      <c r="C334" s="258"/>
      <c r="D334" s="258"/>
      <c r="E334" s="258"/>
      <c r="F334" s="258"/>
      <c r="G334" s="149" t="s">
        <v>957</v>
      </c>
      <c r="H334" s="259">
        <v>1</v>
      </c>
      <c r="I334" s="257"/>
      <c r="J334" s="258"/>
      <c r="K334" s="258"/>
      <c r="L334" s="258"/>
      <c r="M334" s="258"/>
      <c r="N334" s="149"/>
      <c r="O334" s="259"/>
      <c r="P334" s="261"/>
      <c r="Q334" s="261"/>
      <c r="R334" s="261"/>
      <c r="S334" s="261"/>
      <c r="T334" s="261"/>
      <c r="U334" s="262"/>
      <c r="V334" s="262"/>
      <c r="W334" s="260"/>
      <c r="X334" s="261"/>
      <c r="Y334" s="261"/>
      <c r="Z334" s="261"/>
      <c r="AA334" s="261"/>
      <c r="AB334" s="262"/>
      <c r="AC334" s="263"/>
      <c r="AD334" s="2" t="s">
        <v>967</v>
      </c>
      <c r="AE334">
        <v>25</v>
      </c>
    </row>
    <row r="335" spans="1:37" x14ac:dyDescent="0.25">
      <c r="A335" s="351" t="s">
        <v>1030</v>
      </c>
      <c r="B335" s="257"/>
      <c r="C335" s="258"/>
      <c r="D335" s="258"/>
      <c r="E335" s="258"/>
      <c r="F335" s="258"/>
      <c r="G335" s="149" t="s">
        <v>957</v>
      </c>
      <c r="H335" s="259">
        <v>1</v>
      </c>
      <c r="I335" s="257"/>
      <c r="J335" s="258"/>
      <c r="K335" s="258"/>
      <c r="L335" s="258"/>
      <c r="M335" s="258"/>
      <c r="N335" s="149"/>
      <c r="O335" s="259"/>
      <c r="P335" s="261"/>
      <c r="Q335" s="261"/>
      <c r="R335" s="261"/>
      <c r="S335" s="261"/>
      <c r="T335" s="261"/>
      <c r="U335" s="262"/>
      <c r="V335" s="262"/>
      <c r="W335" s="260"/>
      <c r="X335" s="261"/>
      <c r="Y335" s="261"/>
      <c r="Z335" s="261"/>
      <c r="AA335" s="261"/>
      <c r="AB335" s="262"/>
      <c r="AC335" s="263"/>
      <c r="AD335" s="2" t="s">
        <v>967</v>
      </c>
      <c r="AE335">
        <v>25</v>
      </c>
    </row>
    <row r="336" spans="1:37" x14ac:dyDescent="0.25">
      <c r="A336" s="350"/>
      <c r="B336" s="257"/>
      <c r="C336" s="258"/>
      <c r="D336" s="258"/>
      <c r="E336" s="258"/>
      <c r="F336" s="258"/>
      <c r="G336" s="149"/>
      <c r="H336" s="259"/>
      <c r="I336" s="257"/>
      <c r="J336" s="258"/>
      <c r="K336" s="258"/>
      <c r="L336" s="258"/>
      <c r="M336" s="258"/>
      <c r="N336" s="149"/>
      <c r="O336" s="259"/>
      <c r="P336" s="258"/>
      <c r="Q336" s="258"/>
      <c r="R336" s="258"/>
      <c r="S336" s="258"/>
      <c r="T336" s="258"/>
      <c r="U336" s="149"/>
      <c r="V336" s="149"/>
      <c r="W336" s="257"/>
      <c r="X336" s="258"/>
      <c r="Y336" s="258"/>
      <c r="Z336" s="258"/>
      <c r="AA336" s="258"/>
      <c r="AB336" s="149"/>
      <c r="AC336" s="259"/>
      <c r="AD336" s="2"/>
    </row>
    <row r="337" spans="1:37" x14ac:dyDescent="0.25">
      <c r="A337" s="267" t="s">
        <v>753</v>
      </c>
      <c r="B337" s="268"/>
      <c r="H337" s="269">
        <v>1</v>
      </c>
      <c r="I337" s="270"/>
      <c r="J337" s="271"/>
      <c r="K337" s="271"/>
      <c r="L337" s="271"/>
      <c r="M337" s="271"/>
      <c r="N337" s="271"/>
      <c r="O337" s="272"/>
      <c r="P337" s="273"/>
      <c r="Q337" s="271"/>
      <c r="R337" s="271"/>
      <c r="S337" s="271"/>
      <c r="T337" s="271"/>
      <c r="U337" s="271"/>
      <c r="V337" s="271"/>
      <c r="W337" s="270"/>
      <c r="X337" s="271"/>
      <c r="Y337" s="271"/>
      <c r="Z337" s="271"/>
      <c r="AA337" s="271"/>
      <c r="AB337" s="271"/>
      <c r="AC337" s="272"/>
      <c r="AD337" t="s">
        <v>966</v>
      </c>
      <c r="AE337">
        <v>35</v>
      </c>
    </row>
    <row r="338" spans="1:37" x14ac:dyDescent="0.25">
      <c r="A338" s="267" t="s">
        <v>754</v>
      </c>
      <c r="B338" s="268"/>
      <c r="H338" s="269">
        <v>1</v>
      </c>
      <c r="I338" s="270"/>
      <c r="J338" s="271"/>
      <c r="K338" s="271"/>
      <c r="L338" s="271"/>
      <c r="M338" s="271"/>
      <c r="N338" s="271"/>
      <c r="O338" s="272"/>
      <c r="P338" s="273"/>
      <c r="Q338" s="271"/>
      <c r="R338" s="271"/>
      <c r="S338" s="271"/>
      <c r="T338" s="271"/>
      <c r="U338" s="271"/>
      <c r="V338" s="271"/>
      <c r="W338" s="270"/>
      <c r="X338" s="271"/>
      <c r="Y338" s="271"/>
      <c r="Z338" s="271"/>
      <c r="AA338" s="271"/>
      <c r="AB338" s="271"/>
      <c r="AC338" s="272"/>
      <c r="AD338" t="s">
        <v>966</v>
      </c>
      <c r="AE338">
        <v>35</v>
      </c>
    </row>
    <row r="339" spans="1:37" x14ac:dyDescent="0.25">
      <c r="A339" s="267" t="s">
        <v>755</v>
      </c>
      <c r="B339" s="268"/>
      <c r="H339" s="269">
        <v>1</v>
      </c>
      <c r="I339" s="270"/>
      <c r="J339" s="271"/>
      <c r="K339" s="271"/>
      <c r="L339" s="271"/>
      <c r="M339" s="271"/>
      <c r="N339" s="271"/>
      <c r="O339" s="272"/>
      <c r="P339" s="273"/>
      <c r="Q339" s="271"/>
      <c r="R339" s="271"/>
      <c r="S339" s="271"/>
      <c r="T339" s="271"/>
      <c r="U339" s="271"/>
      <c r="V339" s="271"/>
      <c r="W339" s="270"/>
      <c r="X339" s="271"/>
      <c r="Y339" s="271"/>
      <c r="Z339" s="271"/>
      <c r="AA339" s="271"/>
      <c r="AB339" s="271"/>
      <c r="AC339" s="272"/>
      <c r="AD339" t="s">
        <v>966</v>
      </c>
      <c r="AE339">
        <v>35</v>
      </c>
    </row>
    <row r="340" spans="1:37" x14ac:dyDescent="0.25">
      <c r="A340" s="267" t="s">
        <v>756</v>
      </c>
      <c r="B340" s="268"/>
      <c r="H340" s="269">
        <v>1</v>
      </c>
      <c r="I340" s="270"/>
      <c r="J340" s="271"/>
      <c r="K340" s="271"/>
      <c r="L340" s="271"/>
      <c r="M340" s="271"/>
      <c r="N340" s="271"/>
      <c r="O340" s="272"/>
      <c r="P340" s="273"/>
      <c r="Q340" s="271"/>
      <c r="R340" s="271"/>
      <c r="S340" s="271"/>
      <c r="T340" s="271"/>
      <c r="U340" s="271"/>
      <c r="V340" s="271"/>
      <c r="W340" s="270"/>
      <c r="X340" s="271"/>
      <c r="Y340" s="271"/>
      <c r="Z340" s="271"/>
      <c r="AA340" s="271"/>
      <c r="AB340" s="271"/>
      <c r="AC340" s="272"/>
      <c r="AD340" t="s">
        <v>966</v>
      </c>
      <c r="AE340">
        <v>35</v>
      </c>
    </row>
    <row r="341" spans="1:37" x14ac:dyDescent="0.25">
      <c r="A341" s="267" t="s">
        <v>757</v>
      </c>
      <c r="B341" s="268"/>
      <c r="H341" s="269">
        <v>1</v>
      </c>
      <c r="I341" s="270"/>
      <c r="J341" s="271"/>
      <c r="K341" s="271"/>
      <c r="L341" s="271"/>
      <c r="M341" s="271"/>
      <c r="N341" s="271"/>
      <c r="O341" s="272"/>
      <c r="P341" s="273"/>
      <c r="Q341" s="271"/>
      <c r="R341" s="271"/>
      <c r="S341" s="271"/>
      <c r="T341" s="271"/>
      <c r="U341" s="271"/>
      <c r="V341" s="271"/>
      <c r="W341" s="270"/>
      <c r="X341" s="271"/>
      <c r="Y341" s="271"/>
      <c r="Z341" s="271"/>
      <c r="AA341" s="271"/>
      <c r="AB341" s="271"/>
      <c r="AC341" s="272"/>
      <c r="AD341" t="s">
        <v>966</v>
      </c>
      <c r="AE341">
        <v>35</v>
      </c>
    </row>
    <row r="342" spans="1:37" x14ac:dyDescent="0.25">
      <c r="A342" s="267" t="s">
        <v>1004</v>
      </c>
      <c r="B342" s="268"/>
      <c r="H342" s="269"/>
      <c r="I342" s="270"/>
      <c r="J342" s="271"/>
      <c r="K342" s="271"/>
      <c r="L342" s="271"/>
      <c r="M342" s="271"/>
      <c r="N342" s="271"/>
      <c r="O342" s="272"/>
      <c r="P342" s="273"/>
      <c r="Q342" s="271"/>
      <c r="R342" s="271"/>
      <c r="S342" s="271"/>
      <c r="T342" s="271"/>
      <c r="U342" s="271"/>
      <c r="V342" s="271"/>
      <c r="W342" s="270"/>
      <c r="X342" s="271"/>
      <c r="Y342" s="271"/>
      <c r="Z342" s="271"/>
      <c r="AA342" s="271"/>
      <c r="AB342" s="271"/>
      <c r="AC342" s="272"/>
      <c r="AD342" t="s">
        <v>966</v>
      </c>
      <c r="AE342">
        <v>35</v>
      </c>
    </row>
    <row r="343" spans="1:37" x14ac:dyDescent="0.25">
      <c r="A343" s="256"/>
      <c r="B343" s="266"/>
      <c r="C343" s="258"/>
      <c r="D343" s="258"/>
      <c r="E343" s="258"/>
      <c r="F343" s="258"/>
      <c r="G343" s="149"/>
      <c r="H343" s="259"/>
      <c r="I343" s="266"/>
      <c r="J343" s="258"/>
      <c r="K343" s="258"/>
      <c r="L343" s="258"/>
      <c r="M343" s="258"/>
      <c r="N343" s="149"/>
      <c r="O343" s="259"/>
      <c r="P343" s="274"/>
      <c r="Q343" s="258"/>
      <c r="R343" s="258"/>
      <c r="S343" s="258"/>
      <c r="T343" s="258"/>
      <c r="U343" s="149"/>
      <c r="V343" s="149"/>
      <c r="W343" s="266"/>
      <c r="X343" s="258"/>
      <c r="Y343" s="258"/>
      <c r="Z343" s="258"/>
      <c r="AA343" s="258"/>
      <c r="AB343" s="149"/>
      <c r="AC343" s="259"/>
    </row>
    <row r="344" spans="1:37" x14ac:dyDescent="0.25">
      <c r="A344" s="256" t="s">
        <v>762</v>
      </c>
      <c r="B344" s="260"/>
      <c r="C344" s="261"/>
      <c r="D344" s="261"/>
      <c r="E344" s="261"/>
      <c r="F344" s="261"/>
      <c r="G344" s="262"/>
      <c r="H344" s="263"/>
      <c r="I344" s="257" t="s">
        <v>32</v>
      </c>
      <c r="J344" s="258"/>
      <c r="K344" s="258"/>
      <c r="L344" s="258"/>
      <c r="M344" s="258"/>
      <c r="N344" s="149"/>
      <c r="O344" s="259">
        <v>1</v>
      </c>
      <c r="P344" s="261"/>
      <c r="Q344" s="261"/>
      <c r="R344" s="261"/>
      <c r="S344" s="261"/>
      <c r="T344" s="261"/>
      <c r="U344" s="262"/>
      <c r="V344" s="262"/>
      <c r="W344" s="260"/>
      <c r="X344" s="261"/>
      <c r="Y344" s="261"/>
      <c r="Z344" s="261"/>
      <c r="AA344" s="261"/>
      <c r="AB344" s="262"/>
      <c r="AC344" s="263"/>
      <c r="AD344" s="149" t="s">
        <v>779</v>
      </c>
      <c r="AF344">
        <v>30</v>
      </c>
      <c r="AK344" t="s">
        <v>1682</v>
      </c>
    </row>
    <row r="345" spans="1:37" x14ac:dyDescent="0.25">
      <c r="A345" s="256" t="s">
        <v>765</v>
      </c>
      <c r="B345" s="260"/>
      <c r="C345" s="261"/>
      <c r="D345" s="261"/>
      <c r="E345" s="261"/>
      <c r="F345" s="261"/>
      <c r="G345" s="262"/>
      <c r="H345" s="263"/>
      <c r="I345" s="257" t="s">
        <v>32</v>
      </c>
      <c r="J345" s="258"/>
      <c r="K345" s="258"/>
      <c r="L345" s="258"/>
      <c r="M345" s="258"/>
      <c r="N345" s="149"/>
      <c r="O345" s="259">
        <v>1</v>
      </c>
      <c r="P345" s="261"/>
      <c r="Q345" s="261"/>
      <c r="R345" s="261"/>
      <c r="S345" s="261"/>
      <c r="T345" s="261"/>
      <c r="U345" s="262"/>
      <c r="V345" s="262"/>
      <c r="W345" s="260"/>
      <c r="X345" s="261"/>
      <c r="Y345" s="261"/>
      <c r="Z345" s="261"/>
      <c r="AA345" s="261"/>
      <c r="AB345" s="262"/>
      <c r="AC345" s="263"/>
      <c r="AD345" s="149" t="s">
        <v>779</v>
      </c>
      <c r="AF345">
        <v>30</v>
      </c>
      <c r="AK345" t="s">
        <v>1683</v>
      </c>
    </row>
    <row r="346" spans="1:37" x14ac:dyDescent="0.25">
      <c r="A346" s="256" t="s">
        <v>766</v>
      </c>
      <c r="B346" s="260"/>
      <c r="C346" s="261"/>
      <c r="D346" s="261"/>
      <c r="E346" s="261"/>
      <c r="F346" s="261"/>
      <c r="G346" s="262"/>
      <c r="H346" s="263"/>
      <c r="I346" s="257" t="s">
        <v>32</v>
      </c>
      <c r="J346" s="258"/>
      <c r="K346" s="258"/>
      <c r="L346" s="258"/>
      <c r="M346" s="258"/>
      <c r="N346" s="149"/>
      <c r="O346" s="259">
        <v>1</v>
      </c>
      <c r="P346" s="261"/>
      <c r="Q346" s="261"/>
      <c r="R346" s="261"/>
      <c r="S346" s="261"/>
      <c r="T346" s="261"/>
      <c r="U346" s="262"/>
      <c r="V346" s="262"/>
      <c r="W346" s="260"/>
      <c r="X346" s="261"/>
      <c r="Y346" s="261"/>
      <c r="Z346" s="261"/>
      <c r="AA346" s="261"/>
      <c r="AB346" s="262"/>
      <c r="AC346" s="263"/>
      <c r="AD346" s="149" t="s">
        <v>779</v>
      </c>
      <c r="AF346">
        <v>30</v>
      </c>
      <c r="AK346" t="s">
        <v>1684</v>
      </c>
    </row>
    <row r="347" spans="1:37" x14ac:dyDescent="0.25">
      <c r="A347" s="256" t="s">
        <v>767</v>
      </c>
      <c r="B347" s="260"/>
      <c r="C347" s="261"/>
      <c r="D347" s="261"/>
      <c r="E347" s="261"/>
      <c r="F347" s="261"/>
      <c r="G347" s="262"/>
      <c r="H347" s="263"/>
      <c r="I347" s="257" t="s">
        <v>32</v>
      </c>
      <c r="J347" s="258"/>
      <c r="K347" s="258"/>
      <c r="L347" s="258"/>
      <c r="M347" s="258"/>
      <c r="N347" s="149"/>
      <c r="O347" s="259">
        <v>1</v>
      </c>
      <c r="P347" s="261"/>
      <c r="Q347" s="261"/>
      <c r="R347" s="261"/>
      <c r="S347" s="261"/>
      <c r="T347" s="261"/>
      <c r="U347" s="262"/>
      <c r="V347" s="262"/>
      <c r="W347" s="260"/>
      <c r="X347" s="261"/>
      <c r="Y347" s="261"/>
      <c r="Z347" s="261"/>
      <c r="AA347" s="261"/>
      <c r="AB347" s="262"/>
      <c r="AC347" s="263"/>
      <c r="AD347" s="149" t="s">
        <v>779</v>
      </c>
      <c r="AF347">
        <v>30</v>
      </c>
      <c r="AK347" t="s">
        <v>1685</v>
      </c>
    </row>
    <row r="348" spans="1:37" x14ac:dyDescent="0.25">
      <c r="A348" s="256" t="s">
        <v>768</v>
      </c>
      <c r="B348" s="260"/>
      <c r="C348" s="261"/>
      <c r="D348" s="261"/>
      <c r="E348" s="261"/>
      <c r="F348" s="261"/>
      <c r="G348" s="262"/>
      <c r="H348" s="263"/>
      <c r="I348" s="257" t="s">
        <v>32</v>
      </c>
      <c r="J348" s="258"/>
      <c r="K348" s="258"/>
      <c r="L348" s="258"/>
      <c r="M348" s="258"/>
      <c r="N348" s="149"/>
      <c r="O348" s="259">
        <v>1</v>
      </c>
      <c r="P348" s="261"/>
      <c r="Q348" s="261"/>
      <c r="R348" s="261"/>
      <c r="S348" s="261"/>
      <c r="T348" s="261"/>
      <c r="U348" s="262"/>
      <c r="V348" s="262"/>
      <c r="W348" s="260"/>
      <c r="X348" s="261"/>
      <c r="Y348" s="261"/>
      <c r="Z348" s="261"/>
      <c r="AA348" s="261"/>
      <c r="AB348" s="262"/>
      <c r="AC348" s="263"/>
      <c r="AD348" s="149" t="s">
        <v>779</v>
      </c>
      <c r="AF348">
        <v>30</v>
      </c>
      <c r="AK348" t="s">
        <v>1686</v>
      </c>
    </row>
    <row r="349" spans="1:37" x14ac:dyDescent="0.25">
      <c r="A349" s="256" t="s">
        <v>769</v>
      </c>
      <c r="B349" s="260"/>
      <c r="C349" s="261"/>
      <c r="D349" s="261"/>
      <c r="E349" s="261"/>
      <c r="F349" s="261"/>
      <c r="G349" s="262"/>
      <c r="H349" s="263"/>
      <c r="I349" s="257"/>
      <c r="J349" s="258"/>
      <c r="K349" s="258"/>
      <c r="L349" s="258"/>
      <c r="M349" s="258"/>
      <c r="N349" s="149"/>
      <c r="O349" s="259">
        <v>1</v>
      </c>
      <c r="P349" s="261"/>
      <c r="Q349" s="261"/>
      <c r="R349" s="261"/>
      <c r="S349" s="261"/>
      <c r="T349" s="261"/>
      <c r="U349" s="262"/>
      <c r="V349" s="262"/>
      <c r="W349" s="260"/>
      <c r="X349" s="261"/>
      <c r="Y349" s="261"/>
      <c r="Z349" s="261"/>
      <c r="AA349" s="261"/>
      <c r="AB349" s="262"/>
      <c r="AC349" s="263"/>
      <c r="AD349" s="149" t="s">
        <v>779</v>
      </c>
      <c r="AF349">
        <v>30</v>
      </c>
      <c r="AK349" t="s">
        <v>1687</v>
      </c>
    </row>
    <row r="350" spans="1:37" x14ac:dyDescent="0.25">
      <c r="A350" s="256"/>
      <c r="B350" s="257"/>
      <c r="C350" s="258"/>
      <c r="D350" s="258"/>
      <c r="E350" s="258"/>
      <c r="F350" s="258"/>
      <c r="G350" s="149"/>
      <c r="H350" s="259"/>
      <c r="I350" s="257"/>
      <c r="J350" s="258"/>
      <c r="K350" s="258"/>
      <c r="L350" s="258"/>
      <c r="M350" s="258"/>
      <c r="N350" s="149"/>
      <c r="O350" s="259"/>
      <c r="P350" s="258"/>
      <c r="Q350" s="258"/>
      <c r="R350" s="258"/>
      <c r="S350" s="258"/>
      <c r="T350" s="258"/>
      <c r="U350" s="149"/>
      <c r="V350" s="149"/>
      <c r="W350" s="257"/>
      <c r="X350" s="258"/>
      <c r="Y350" s="258"/>
      <c r="Z350" s="258"/>
      <c r="AA350" s="258"/>
      <c r="AB350" s="149"/>
      <c r="AC350" s="259"/>
      <c r="AD350" s="149"/>
    </row>
    <row r="351" spans="1:37" x14ac:dyDescent="0.25">
      <c r="A351" s="256" t="s">
        <v>782</v>
      </c>
      <c r="B351" s="260"/>
      <c r="C351" s="261"/>
      <c r="D351" s="261"/>
      <c r="E351" s="261"/>
      <c r="F351" s="261"/>
      <c r="G351" s="262"/>
      <c r="H351" s="263"/>
      <c r="I351" s="257"/>
      <c r="J351" s="258"/>
      <c r="K351" s="258"/>
      <c r="L351" s="258"/>
      <c r="M351" s="258"/>
      <c r="N351" s="149"/>
      <c r="O351" s="259">
        <v>1</v>
      </c>
      <c r="P351" s="261"/>
      <c r="Q351" s="261"/>
      <c r="R351" s="261"/>
      <c r="S351" s="261"/>
      <c r="T351" s="261"/>
      <c r="U351" s="262"/>
      <c r="V351" s="262"/>
      <c r="W351" s="260"/>
      <c r="X351" s="261"/>
      <c r="Y351" s="261"/>
      <c r="Z351" s="261"/>
      <c r="AA351" s="261"/>
      <c r="AB351" s="262"/>
      <c r="AC351" s="263"/>
      <c r="AD351" s="149" t="s">
        <v>967</v>
      </c>
      <c r="AF351">
        <v>30</v>
      </c>
    </row>
    <row r="352" spans="1:37" x14ac:dyDescent="0.25">
      <c r="A352" s="256" t="s">
        <v>784</v>
      </c>
      <c r="B352" s="260"/>
      <c r="C352" s="261"/>
      <c r="D352" s="261"/>
      <c r="E352" s="261"/>
      <c r="F352" s="261"/>
      <c r="G352" s="262"/>
      <c r="H352" s="263"/>
      <c r="I352" s="257" t="s">
        <v>32</v>
      </c>
      <c r="J352" s="258" t="s">
        <v>32</v>
      </c>
      <c r="K352" s="258"/>
      <c r="L352" s="258"/>
      <c r="M352" s="258"/>
      <c r="N352" s="149"/>
      <c r="O352" s="259">
        <v>1</v>
      </c>
      <c r="P352" s="261"/>
      <c r="Q352" s="261"/>
      <c r="R352" s="261"/>
      <c r="S352" s="261"/>
      <c r="T352" s="261"/>
      <c r="U352" s="262"/>
      <c r="V352" s="262"/>
      <c r="W352" s="260"/>
      <c r="X352" s="261"/>
      <c r="Y352" s="261"/>
      <c r="Z352" s="261"/>
      <c r="AA352" s="261"/>
      <c r="AB352" s="262"/>
      <c r="AC352" s="263"/>
      <c r="AD352" s="149" t="s">
        <v>967</v>
      </c>
      <c r="AF352">
        <v>30</v>
      </c>
      <c r="AK352" t="s">
        <v>1688</v>
      </c>
    </row>
    <row r="353" spans="1:37" x14ac:dyDescent="0.25">
      <c r="A353" s="256" t="s">
        <v>786</v>
      </c>
      <c r="B353" s="260"/>
      <c r="C353" s="261"/>
      <c r="D353" s="261"/>
      <c r="E353" s="261"/>
      <c r="F353" s="261"/>
      <c r="G353" s="262"/>
      <c r="H353" s="263"/>
      <c r="I353" s="257" t="s">
        <v>32</v>
      </c>
      <c r="J353" s="258"/>
      <c r="K353" s="258"/>
      <c r="L353" s="258"/>
      <c r="M353" s="258"/>
      <c r="N353" s="149"/>
      <c r="O353" s="259">
        <v>1</v>
      </c>
      <c r="P353" s="261"/>
      <c r="Q353" s="261"/>
      <c r="R353" s="261"/>
      <c r="S353" s="261"/>
      <c r="T353" s="261"/>
      <c r="U353" s="262"/>
      <c r="V353" s="262"/>
      <c r="W353" s="260"/>
      <c r="X353" s="261"/>
      <c r="Y353" s="261"/>
      <c r="Z353" s="261"/>
      <c r="AA353" s="261"/>
      <c r="AB353" s="262"/>
      <c r="AC353" s="263"/>
      <c r="AD353" s="149" t="s">
        <v>967</v>
      </c>
      <c r="AF353">
        <v>30</v>
      </c>
      <c r="AK353" t="s">
        <v>1689</v>
      </c>
    </row>
    <row r="354" spans="1:37" x14ac:dyDescent="0.25">
      <c r="A354" s="256" t="s">
        <v>854</v>
      </c>
      <c r="B354" s="260"/>
      <c r="C354" s="261"/>
      <c r="D354" s="261"/>
      <c r="E354" s="261"/>
      <c r="F354" s="261"/>
      <c r="G354" s="262"/>
      <c r="H354" s="263"/>
      <c r="I354" s="257"/>
      <c r="J354" s="258"/>
      <c r="K354" s="258"/>
      <c r="L354" s="258"/>
      <c r="M354" s="258"/>
      <c r="N354" s="149"/>
      <c r="O354" s="259">
        <v>1</v>
      </c>
      <c r="P354" s="261"/>
      <c r="Q354" s="261"/>
      <c r="R354" s="261"/>
      <c r="S354" s="261"/>
      <c r="T354" s="261"/>
      <c r="U354" s="262"/>
      <c r="V354" s="262"/>
      <c r="W354" s="260"/>
      <c r="X354" s="261"/>
      <c r="Y354" s="261"/>
      <c r="Z354" s="261"/>
      <c r="AA354" s="261"/>
      <c r="AB354" s="262"/>
      <c r="AC354" s="263"/>
      <c r="AD354" s="149" t="s">
        <v>967</v>
      </c>
      <c r="AF354">
        <v>30</v>
      </c>
      <c r="AK354" t="s">
        <v>1690</v>
      </c>
    </row>
    <row r="355" spans="1:37" ht="15.75" customHeight="1" x14ac:dyDescent="0.25">
      <c r="A355" s="256" t="s">
        <v>788</v>
      </c>
      <c r="B355" s="260"/>
      <c r="C355" s="261"/>
      <c r="D355" s="261"/>
      <c r="E355" s="261"/>
      <c r="F355" s="261"/>
      <c r="G355" s="262"/>
      <c r="H355" s="263"/>
      <c r="I355" s="257" t="s">
        <v>32</v>
      </c>
      <c r="J355" s="258"/>
      <c r="K355" s="258"/>
      <c r="L355" s="258"/>
      <c r="M355" s="258"/>
      <c r="N355" s="149"/>
      <c r="O355" s="259">
        <v>1</v>
      </c>
      <c r="P355" s="261"/>
      <c r="Q355" s="261"/>
      <c r="R355" s="261"/>
      <c r="S355" s="261"/>
      <c r="T355" s="261"/>
      <c r="U355" s="262"/>
      <c r="V355" s="262"/>
      <c r="W355" s="260"/>
      <c r="X355" s="261"/>
      <c r="Y355" s="261"/>
      <c r="Z355" s="261"/>
      <c r="AA355" s="261"/>
      <c r="AB355" s="262"/>
      <c r="AC355" s="263"/>
      <c r="AD355" s="149" t="s">
        <v>967</v>
      </c>
      <c r="AF355">
        <v>30</v>
      </c>
      <c r="AK355" t="s">
        <v>1691</v>
      </c>
    </row>
    <row r="356" spans="1:37" x14ac:dyDescent="0.25">
      <c r="A356" s="256" t="s">
        <v>1047</v>
      </c>
      <c r="B356" s="260"/>
      <c r="C356" s="261"/>
      <c r="D356" s="261"/>
      <c r="E356" s="261"/>
      <c r="F356" s="261"/>
      <c r="G356" s="262"/>
      <c r="H356" s="263"/>
      <c r="I356" s="257"/>
      <c r="J356" s="258"/>
      <c r="K356" s="258"/>
      <c r="L356" s="258"/>
      <c r="M356" s="258"/>
      <c r="N356" s="149"/>
      <c r="O356" s="259"/>
      <c r="P356" s="261"/>
      <c r="Q356" s="261"/>
      <c r="R356" s="261"/>
      <c r="S356" s="261"/>
      <c r="T356" s="261"/>
      <c r="U356" s="262"/>
      <c r="V356" s="262"/>
      <c r="W356" s="260"/>
      <c r="X356" s="261"/>
      <c r="Y356" s="261"/>
      <c r="Z356" s="261"/>
      <c r="AA356" s="261"/>
      <c r="AB356" s="262"/>
      <c r="AC356" s="263"/>
      <c r="AD356" s="149" t="s">
        <v>967</v>
      </c>
      <c r="AF356">
        <v>30</v>
      </c>
      <c r="AK356" t="s">
        <v>1692</v>
      </c>
    </row>
    <row r="357" spans="1:37" x14ac:dyDescent="0.25">
      <c r="A357" s="256" t="s">
        <v>790</v>
      </c>
      <c r="B357" s="260"/>
      <c r="C357" s="261"/>
      <c r="D357" s="261"/>
      <c r="E357" s="261"/>
      <c r="F357" s="261"/>
      <c r="G357" s="262"/>
      <c r="H357" s="263"/>
      <c r="I357" s="257"/>
      <c r="J357" s="258"/>
      <c r="K357" s="258"/>
      <c r="L357" s="258"/>
      <c r="M357" s="258"/>
      <c r="N357" s="149"/>
      <c r="O357" s="259">
        <v>1</v>
      </c>
      <c r="P357" s="261"/>
      <c r="Q357" s="261"/>
      <c r="R357" s="261"/>
      <c r="S357" s="261"/>
      <c r="T357" s="261"/>
      <c r="U357" s="262"/>
      <c r="V357" s="262"/>
      <c r="W357" s="260"/>
      <c r="X357" s="261"/>
      <c r="Y357" s="261"/>
      <c r="Z357" s="261"/>
      <c r="AA357" s="261"/>
      <c r="AB357" s="262"/>
      <c r="AC357" s="263"/>
      <c r="AD357" s="149" t="s">
        <v>967</v>
      </c>
      <c r="AF357">
        <v>30</v>
      </c>
      <c r="AK357" t="s">
        <v>1693</v>
      </c>
    </row>
    <row r="358" spans="1:37" x14ac:dyDescent="0.25">
      <c r="A358" s="256" t="s">
        <v>1074</v>
      </c>
      <c r="B358" s="260"/>
      <c r="C358" s="261"/>
      <c r="D358" s="261"/>
      <c r="E358" s="261"/>
      <c r="F358" s="261"/>
      <c r="G358" s="262"/>
      <c r="H358" s="263"/>
      <c r="I358" s="257"/>
      <c r="J358" s="258"/>
      <c r="K358" s="258"/>
      <c r="L358" s="258"/>
      <c r="M358" s="258"/>
      <c r="N358" s="149"/>
      <c r="O358" s="259"/>
      <c r="P358" s="261"/>
      <c r="Q358" s="261"/>
      <c r="R358" s="261"/>
      <c r="S358" s="261"/>
      <c r="T358" s="261"/>
      <c r="U358" s="262"/>
      <c r="V358" s="262"/>
      <c r="W358" s="260"/>
      <c r="X358" s="261"/>
      <c r="Y358" s="261"/>
      <c r="Z358" s="261"/>
      <c r="AA358" s="261"/>
      <c r="AB358" s="262"/>
      <c r="AC358" s="263"/>
      <c r="AD358" s="149" t="s">
        <v>967</v>
      </c>
      <c r="AF358">
        <v>30</v>
      </c>
      <c r="AK358" t="s">
        <v>1694</v>
      </c>
    </row>
    <row r="359" spans="1:37" x14ac:dyDescent="0.25">
      <c r="A359" s="256" t="s">
        <v>791</v>
      </c>
      <c r="B359" s="260"/>
      <c r="C359" s="261"/>
      <c r="D359" s="261"/>
      <c r="E359" s="261"/>
      <c r="F359" s="261"/>
      <c r="G359" s="262"/>
      <c r="H359" s="263"/>
      <c r="I359" s="257" t="s">
        <v>32</v>
      </c>
      <c r="J359" s="258"/>
      <c r="K359" s="258"/>
      <c r="L359" s="258"/>
      <c r="M359" s="258"/>
      <c r="N359" s="149"/>
      <c r="O359" s="259">
        <v>1</v>
      </c>
      <c r="P359" s="261"/>
      <c r="Q359" s="261"/>
      <c r="R359" s="261"/>
      <c r="S359" s="261"/>
      <c r="T359" s="261"/>
      <c r="U359" s="262"/>
      <c r="V359" s="262"/>
      <c r="W359" s="260"/>
      <c r="X359" s="261"/>
      <c r="Y359" s="261"/>
      <c r="Z359" s="261"/>
      <c r="AA359" s="261"/>
      <c r="AB359" s="262"/>
      <c r="AC359" s="263"/>
      <c r="AD359" s="149" t="s">
        <v>967</v>
      </c>
      <c r="AF359">
        <v>30</v>
      </c>
      <c r="AK359" t="s">
        <v>1695</v>
      </c>
    </row>
    <row r="360" spans="1:37" x14ac:dyDescent="0.25">
      <c r="A360" s="256" t="s">
        <v>793</v>
      </c>
      <c r="B360" s="260"/>
      <c r="C360" s="261"/>
      <c r="D360" s="261"/>
      <c r="E360" s="261"/>
      <c r="F360" s="261"/>
      <c r="G360" s="262"/>
      <c r="H360" s="263"/>
      <c r="I360" s="257"/>
      <c r="J360" s="258"/>
      <c r="K360" s="258"/>
      <c r="L360" s="258"/>
      <c r="M360" s="258"/>
      <c r="N360" s="149"/>
      <c r="O360" s="259">
        <v>1</v>
      </c>
      <c r="P360" s="261"/>
      <c r="Q360" s="261"/>
      <c r="R360" s="261"/>
      <c r="S360" s="261"/>
      <c r="T360" s="261"/>
      <c r="U360" s="262"/>
      <c r="V360" s="262"/>
      <c r="W360" s="260"/>
      <c r="X360" s="261"/>
      <c r="Y360" s="261"/>
      <c r="Z360" s="261"/>
      <c r="AA360" s="261"/>
      <c r="AB360" s="262"/>
      <c r="AC360" s="263"/>
      <c r="AD360" s="149" t="s">
        <v>967</v>
      </c>
      <c r="AF360">
        <v>30</v>
      </c>
      <c r="AK360" t="s">
        <v>1696</v>
      </c>
    </row>
    <row r="361" spans="1:37" x14ac:dyDescent="0.25">
      <c r="A361" s="256" t="s">
        <v>795</v>
      </c>
      <c r="B361" s="260"/>
      <c r="C361" s="261"/>
      <c r="D361" s="261"/>
      <c r="E361" s="261"/>
      <c r="F361" s="261"/>
      <c r="G361" s="262"/>
      <c r="H361" s="263"/>
      <c r="I361" s="257" t="s">
        <v>32</v>
      </c>
      <c r="J361" s="258"/>
      <c r="K361" s="258"/>
      <c r="L361" s="258"/>
      <c r="M361" s="258"/>
      <c r="N361" s="149"/>
      <c r="O361" s="259">
        <v>1</v>
      </c>
      <c r="P361" s="261"/>
      <c r="Q361" s="261"/>
      <c r="R361" s="261"/>
      <c r="S361" s="261"/>
      <c r="T361" s="261"/>
      <c r="U361" s="262"/>
      <c r="V361" s="262"/>
      <c r="W361" s="260"/>
      <c r="X361" s="261"/>
      <c r="Y361" s="261"/>
      <c r="Z361" s="261"/>
      <c r="AA361" s="261"/>
      <c r="AB361" s="262"/>
      <c r="AC361" s="263"/>
      <c r="AD361" s="149" t="s">
        <v>967</v>
      </c>
      <c r="AF361">
        <v>30</v>
      </c>
      <c r="AK361" t="s">
        <v>1697</v>
      </c>
    </row>
    <row r="362" spans="1:37" x14ac:dyDescent="0.25">
      <c r="A362" s="256" t="s">
        <v>796</v>
      </c>
      <c r="B362" s="260"/>
      <c r="C362" s="261"/>
      <c r="D362" s="261"/>
      <c r="E362" s="261"/>
      <c r="F362" s="261"/>
      <c r="G362" s="262"/>
      <c r="H362" s="263"/>
      <c r="I362" s="257"/>
      <c r="J362" s="258"/>
      <c r="K362" s="258"/>
      <c r="L362" s="258"/>
      <c r="M362" s="258"/>
      <c r="N362" s="149"/>
      <c r="O362" s="259">
        <v>1</v>
      </c>
      <c r="P362" s="261"/>
      <c r="Q362" s="261"/>
      <c r="R362" s="261"/>
      <c r="S362" s="261"/>
      <c r="T362" s="261"/>
      <c r="U362" s="262"/>
      <c r="V362" s="262"/>
      <c r="W362" s="260"/>
      <c r="X362" s="261"/>
      <c r="Y362" s="261"/>
      <c r="Z362" s="261"/>
      <c r="AA362" s="261"/>
      <c r="AB362" s="262"/>
      <c r="AC362" s="263"/>
      <c r="AD362" s="149" t="s">
        <v>967</v>
      </c>
      <c r="AF362">
        <v>30</v>
      </c>
      <c r="AK362" t="s">
        <v>1698</v>
      </c>
    </row>
    <row r="363" spans="1:37" x14ac:dyDescent="0.25">
      <c r="A363" s="256" t="s">
        <v>797</v>
      </c>
      <c r="B363" s="260"/>
      <c r="C363" s="261"/>
      <c r="D363" s="261"/>
      <c r="E363" s="261"/>
      <c r="F363" s="261"/>
      <c r="G363" s="262"/>
      <c r="H363" s="263"/>
      <c r="I363" s="257"/>
      <c r="J363" s="258"/>
      <c r="K363" s="258"/>
      <c r="L363" s="258"/>
      <c r="M363" s="258"/>
      <c r="N363" s="149"/>
      <c r="O363" s="259">
        <v>1</v>
      </c>
      <c r="P363" s="261"/>
      <c r="Q363" s="261"/>
      <c r="R363" s="261"/>
      <c r="S363" s="261"/>
      <c r="T363" s="261"/>
      <c r="U363" s="262"/>
      <c r="V363" s="262"/>
      <c r="W363" s="260"/>
      <c r="X363" s="261"/>
      <c r="Y363" s="261"/>
      <c r="Z363" s="261"/>
      <c r="AA363" s="261"/>
      <c r="AB363" s="262"/>
      <c r="AC363" s="263"/>
      <c r="AD363" s="149" t="s">
        <v>967</v>
      </c>
      <c r="AF363">
        <v>30</v>
      </c>
      <c r="AK363" t="s">
        <v>1699</v>
      </c>
    </row>
    <row r="364" spans="1:37" x14ac:dyDescent="0.25">
      <c r="A364" s="256" t="s">
        <v>799</v>
      </c>
      <c r="B364" s="260"/>
      <c r="C364" s="261"/>
      <c r="D364" s="261"/>
      <c r="E364" s="261"/>
      <c r="F364" s="261"/>
      <c r="G364" s="262"/>
      <c r="H364" s="263"/>
      <c r="I364" s="257"/>
      <c r="J364" s="258"/>
      <c r="K364" s="258"/>
      <c r="L364" s="258"/>
      <c r="M364" s="258"/>
      <c r="N364" s="149"/>
      <c r="O364" s="259">
        <v>1</v>
      </c>
      <c r="P364" s="261"/>
      <c r="Q364" s="261"/>
      <c r="R364" s="261"/>
      <c r="S364" s="261"/>
      <c r="T364" s="261"/>
      <c r="U364" s="262"/>
      <c r="V364" s="262"/>
      <c r="W364" s="260"/>
      <c r="X364" s="261"/>
      <c r="Y364" s="261"/>
      <c r="Z364" s="261"/>
      <c r="AA364" s="261"/>
      <c r="AB364" s="262"/>
      <c r="AC364" s="263"/>
      <c r="AD364" s="149" t="s">
        <v>967</v>
      </c>
      <c r="AF364">
        <v>30</v>
      </c>
      <c r="AK364" t="s">
        <v>1700</v>
      </c>
    </row>
    <row r="365" spans="1:37" x14ac:dyDescent="0.25">
      <c r="A365" s="256" t="s">
        <v>800</v>
      </c>
      <c r="B365" s="260"/>
      <c r="C365" s="261"/>
      <c r="D365" s="261"/>
      <c r="E365" s="261"/>
      <c r="F365" s="261"/>
      <c r="G365" s="262"/>
      <c r="H365" s="263"/>
      <c r="I365" s="257"/>
      <c r="J365" s="258"/>
      <c r="K365" s="258"/>
      <c r="L365" s="258"/>
      <c r="M365" s="258"/>
      <c r="N365" s="149"/>
      <c r="O365" s="259">
        <v>1</v>
      </c>
      <c r="P365" s="261"/>
      <c r="Q365" s="261"/>
      <c r="R365" s="261"/>
      <c r="S365" s="261"/>
      <c r="T365" s="261"/>
      <c r="U365" s="262"/>
      <c r="V365" s="262"/>
      <c r="W365" s="260"/>
      <c r="X365" s="261"/>
      <c r="Y365" s="261"/>
      <c r="Z365" s="261"/>
      <c r="AA365" s="261"/>
      <c r="AB365" s="262"/>
      <c r="AC365" s="263"/>
      <c r="AD365" s="149" t="s">
        <v>967</v>
      </c>
      <c r="AF365">
        <v>30</v>
      </c>
      <c r="AK365" t="s">
        <v>1701</v>
      </c>
    </row>
    <row r="366" spans="1:37" x14ac:dyDescent="0.25">
      <c r="A366" s="256" t="s">
        <v>802</v>
      </c>
      <c r="B366" s="260"/>
      <c r="C366" s="261"/>
      <c r="D366" s="261"/>
      <c r="E366" s="261"/>
      <c r="F366" s="261"/>
      <c r="G366" s="262"/>
      <c r="H366" s="263"/>
      <c r="I366" s="257"/>
      <c r="J366" s="258"/>
      <c r="K366" s="258"/>
      <c r="L366" s="258"/>
      <c r="M366" s="258"/>
      <c r="N366" s="149"/>
      <c r="O366" s="259">
        <v>1</v>
      </c>
      <c r="P366" s="261"/>
      <c r="Q366" s="261"/>
      <c r="R366" s="261"/>
      <c r="S366" s="261"/>
      <c r="T366" s="261"/>
      <c r="U366" s="262"/>
      <c r="V366" s="262"/>
      <c r="W366" s="260"/>
      <c r="X366" s="261"/>
      <c r="Y366" s="261"/>
      <c r="Z366" s="261"/>
      <c r="AA366" s="261"/>
      <c r="AB366" s="262"/>
      <c r="AC366" s="263"/>
      <c r="AD366" s="149" t="s">
        <v>967</v>
      </c>
      <c r="AF366">
        <v>30</v>
      </c>
      <c r="AK366" t="s">
        <v>1702</v>
      </c>
    </row>
    <row r="367" spans="1:37" x14ac:dyDescent="0.25">
      <c r="A367" s="256" t="s">
        <v>803</v>
      </c>
      <c r="B367" s="260"/>
      <c r="C367" s="261"/>
      <c r="D367" s="261"/>
      <c r="E367" s="261"/>
      <c r="F367" s="261"/>
      <c r="G367" s="262"/>
      <c r="H367" s="263"/>
      <c r="I367" s="257"/>
      <c r="J367" s="258"/>
      <c r="K367" s="258"/>
      <c r="L367" s="258"/>
      <c r="M367" s="258"/>
      <c r="N367" s="149"/>
      <c r="O367" s="259">
        <v>1</v>
      </c>
      <c r="P367" s="261"/>
      <c r="Q367" s="261"/>
      <c r="R367" s="261"/>
      <c r="S367" s="261"/>
      <c r="T367" s="261"/>
      <c r="U367" s="262"/>
      <c r="V367" s="262"/>
      <c r="W367" s="260"/>
      <c r="X367" s="261"/>
      <c r="Y367" s="261"/>
      <c r="Z367" s="261"/>
      <c r="AA367" s="261"/>
      <c r="AB367" s="262"/>
      <c r="AC367" s="263"/>
      <c r="AD367" s="149" t="s">
        <v>967</v>
      </c>
      <c r="AF367">
        <v>30</v>
      </c>
      <c r="AK367" t="s">
        <v>1703</v>
      </c>
    </row>
    <row r="368" spans="1:37" x14ac:dyDescent="0.25">
      <c r="A368" s="256" t="s">
        <v>804</v>
      </c>
      <c r="B368" s="260"/>
      <c r="C368" s="261"/>
      <c r="D368" s="261"/>
      <c r="E368" s="261"/>
      <c r="F368" s="261"/>
      <c r="G368" s="262"/>
      <c r="H368" s="263"/>
      <c r="I368" s="257"/>
      <c r="J368" s="258"/>
      <c r="K368" s="258"/>
      <c r="L368" s="258"/>
      <c r="M368" s="258"/>
      <c r="N368" s="149"/>
      <c r="O368" s="259">
        <v>1</v>
      </c>
      <c r="P368" s="261"/>
      <c r="Q368" s="261"/>
      <c r="R368" s="261"/>
      <c r="S368" s="261"/>
      <c r="T368" s="261"/>
      <c r="U368" s="262"/>
      <c r="V368" s="262"/>
      <c r="W368" s="260"/>
      <c r="X368" s="261"/>
      <c r="Y368" s="261"/>
      <c r="Z368" s="261"/>
      <c r="AA368" s="261"/>
      <c r="AB368" s="262"/>
      <c r="AC368" s="263"/>
      <c r="AD368" s="149" t="s">
        <v>967</v>
      </c>
      <c r="AF368">
        <v>30</v>
      </c>
      <c r="AK368" t="s">
        <v>1704</v>
      </c>
    </row>
    <row r="369" spans="1:37" x14ac:dyDescent="0.25">
      <c r="A369" s="256" t="s">
        <v>805</v>
      </c>
      <c r="B369" s="260"/>
      <c r="C369" s="261"/>
      <c r="D369" s="261"/>
      <c r="E369" s="261"/>
      <c r="F369" s="261"/>
      <c r="G369" s="262"/>
      <c r="H369" s="263"/>
      <c r="I369" s="257" t="s">
        <v>32</v>
      </c>
      <c r="J369" s="258"/>
      <c r="K369" s="258"/>
      <c r="L369" s="258"/>
      <c r="M369" s="258"/>
      <c r="N369" s="149"/>
      <c r="O369" s="259">
        <v>1</v>
      </c>
      <c r="P369" s="261"/>
      <c r="Q369" s="261"/>
      <c r="R369" s="261"/>
      <c r="S369" s="261"/>
      <c r="T369" s="261"/>
      <c r="U369" s="262"/>
      <c r="V369" s="262"/>
      <c r="W369" s="260"/>
      <c r="X369" s="261"/>
      <c r="Y369" s="261"/>
      <c r="Z369" s="261"/>
      <c r="AA369" s="261"/>
      <c r="AB369" s="262"/>
      <c r="AC369" s="263"/>
      <c r="AD369" s="149" t="s">
        <v>967</v>
      </c>
      <c r="AF369">
        <v>30</v>
      </c>
      <c r="AK369" t="s">
        <v>1705</v>
      </c>
    </row>
    <row r="370" spans="1:37" x14ac:dyDescent="0.25">
      <c r="A370" s="256" t="s">
        <v>807</v>
      </c>
      <c r="B370" s="260"/>
      <c r="C370" s="261"/>
      <c r="D370" s="261"/>
      <c r="E370" s="261"/>
      <c r="F370" s="261"/>
      <c r="G370" s="262"/>
      <c r="H370" s="263"/>
      <c r="I370" s="257"/>
      <c r="J370" s="258"/>
      <c r="K370" s="258"/>
      <c r="L370" s="258"/>
      <c r="M370" s="258"/>
      <c r="N370" s="149"/>
      <c r="O370" s="259">
        <v>1</v>
      </c>
      <c r="P370" s="261"/>
      <c r="Q370" s="261"/>
      <c r="R370" s="261"/>
      <c r="S370" s="261"/>
      <c r="T370" s="261"/>
      <c r="U370" s="262"/>
      <c r="V370" s="262"/>
      <c r="W370" s="260"/>
      <c r="X370" s="261"/>
      <c r="Y370" s="261"/>
      <c r="Z370" s="261"/>
      <c r="AA370" s="261"/>
      <c r="AB370" s="262"/>
      <c r="AC370" s="263"/>
      <c r="AD370" s="149" t="s">
        <v>967</v>
      </c>
      <c r="AF370">
        <v>30</v>
      </c>
      <c r="AK370" t="s">
        <v>1706</v>
      </c>
    </row>
    <row r="371" spans="1:37" x14ac:dyDescent="0.25">
      <c r="A371" s="256" t="s">
        <v>808</v>
      </c>
      <c r="B371" s="260"/>
      <c r="C371" s="261"/>
      <c r="D371" s="261"/>
      <c r="E371" s="261"/>
      <c r="F371" s="261"/>
      <c r="G371" s="262"/>
      <c r="H371" s="263"/>
      <c r="I371" s="257"/>
      <c r="J371" s="258"/>
      <c r="K371" s="258"/>
      <c r="L371" s="258"/>
      <c r="M371" s="258"/>
      <c r="N371" s="149"/>
      <c r="O371" s="259">
        <v>1</v>
      </c>
      <c r="P371" s="261"/>
      <c r="Q371" s="261"/>
      <c r="R371" s="261"/>
      <c r="S371" s="261"/>
      <c r="T371" s="261"/>
      <c r="U371" s="262"/>
      <c r="V371" s="262"/>
      <c r="W371" s="260"/>
      <c r="X371" s="261"/>
      <c r="Y371" s="261"/>
      <c r="Z371" s="261"/>
      <c r="AA371" s="261"/>
      <c r="AB371" s="262"/>
      <c r="AC371" s="263"/>
      <c r="AD371" s="149" t="s">
        <v>967</v>
      </c>
      <c r="AF371">
        <v>30</v>
      </c>
      <c r="AK371" t="s">
        <v>1707</v>
      </c>
    </row>
    <row r="372" spans="1:37" x14ac:dyDescent="0.25">
      <c r="A372" s="256" t="s">
        <v>809</v>
      </c>
      <c r="B372" s="260"/>
      <c r="C372" s="261"/>
      <c r="D372" s="261"/>
      <c r="E372" s="261"/>
      <c r="F372" s="261"/>
      <c r="G372" s="262"/>
      <c r="H372" s="263"/>
      <c r="I372" s="257" t="s">
        <v>32</v>
      </c>
      <c r="J372" s="258"/>
      <c r="K372" s="258"/>
      <c r="L372" s="258"/>
      <c r="M372" s="258"/>
      <c r="N372" s="149"/>
      <c r="O372" s="259">
        <v>1</v>
      </c>
      <c r="P372" s="261"/>
      <c r="Q372" s="261"/>
      <c r="R372" s="261"/>
      <c r="S372" s="261"/>
      <c r="T372" s="261"/>
      <c r="U372" s="262"/>
      <c r="V372" s="262"/>
      <c r="W372" s="260"/>
      <c r="X372" s="261"/>
      <c r="Y372" s="261"/>
      <c r="Z372" s="261"/>
      <c r="AA372" s="261"/>
      <c r="AB372" s="262"/>
      <c r="AC372" s="263"/>
      <c r="AD372" s="149" t="s">
        <v>967</v>
      </c>
      <c r="AF372">
        <v>30</v>
      </c>
      <c r="AK372" t="s">
        <v>1708</v>
      </c>
    </row>
    <row r="373" spans="1:37" x14ac:dyDescent="0.25">
      <c r="A373" s="256" t="s">
        <v>811</v>
      </c>
      <c r="B373" s="260"/>
      <c r="C373" s="261"/>
      <c r="D373" s="261"/>
      <c r="E373" s="261"/>
      <c r="F373" s="261"/>
      <c r="G373" s="262"/>
      <c r="H373" s="263"/>
      <c r="I373" s="257"/>
      <c r="J373" s="258"/>
      <c r="K373" s="258"/>
      <c r="L373" s="258"/>
      <c r="M373" s="258"/>
      <c r="N373" s="149"/>
      <c r="O373" s="259">
        <v>1</v>
      </c>
      <c r="P373" s="261"/>
      <c r="Q373" s="261"/>
      <c r="R373" s="261"/>
      <c r="S373" s="261"/>
      <c r="T373" s="261"/>
      <c r="U373" s="262"/>
      <c r="V373" s="262"/>
      <c r="W373" s="260"/>
      <c r="X373" s="261"/>
      <c r="Y373" s="261"/>
      <c r="Z373" s="261"/>
      <c r="AA373" s="261"/>
      <c r="AB373" s="262"/>
      <c r="AC373" s="263"/>
      <c r="AD373" s="149" t="s">
        <v>967</v>
      </c>
      <c r="AF373">
        <v>30</v>
      </c>
      <c r="AK373" t="s">
        <v>1709</v>
      </c>
    </row>
    <row r="374" spans="1:37" x14ac:dyDescent="0.25">
      <c r="A374" s="256" t="s">
        <v>813</v>
      </c>
      <c r="B374" s="260"/>
      <c r="C374" s="261"/>
      <c r="D374" s="261"/>
      <c r="E374" s="261"/>
      <c r="F374" s="261"/>
      <c r="G374" s="262"/>
      <c r="H374" s="263"/>
      <c r="I374" s="257" t="s">
        <v>32</v>
      </c>
      <c r="J374" s="258" t="s">
        <v>32</v>
      </c>
      <c r="K374" s="258"/>
      <c r="L374" s="258"/>
      <c r="M374" s="258"/>
      <c r="N374" s="149"/>
      <c r="O374" s="259">
        <v>1</v>
      </c>
      <c r="P374" s="261"/>
      <c r="Q374" s="261"/>
      <c r="R374" s="261"/>
      <c r="S374" s="261"/>
      <c r="T374" s="261"/>
      <c r="U374" s="262"/>
      <c r="V374" s="262"/>
      <c r="W374" s="260"/>
      <c r="X374" s="261"/>
      <c r="Y374" s="261"/>
      <c r="Z374" s="261"/>
      <c r="AA374" s="261"/>
      <c r="AB374" s="262"/>
      <c r="AC374" s="263"/>
      <c r="AD374" s="149" t="s">
        <v>967</v>
      </c>
      <c r="AF374">
        <v>30</v>
      </c>
      <c r="AK374" t="s">
        <v>1710</v>
      </c>
    </row>
    <row r="375" spans="1:37" x14ac:dyDescent="0.25">
      <c r="A375" s="256" t="s">
        <v>815</v>
      </c>
      <c r="B375" s="260"/>
      <c r="C375" s="261"/>
      <c r="D375" s="261"/>
      <c r="E375" s="261"/>
      <c r="F375" s="261"/>
      <c r="G375" s="262"/>
      <c r="H375" s="263"/>
      <c r="I375" s="257" t="s">
        <v>32</v>
      </c>
      <c r="J375" s="258"/>
      <c r="K375" s="258"/>
      <c r="L375" s="258"/>
      <c r="M375" s="258"/>
      <c r="N375" s="149"/>
      <c r="O375" s="259">
        <v>1</v>
      </c>
      <c r="P375" s="261"/>
      <c r="Q375" s="261"/>
      <c r="R375" s="261"/>
      <c r="S375" s="261"/>
      <c r="T375" s="261"/>
      <c r="U375" s="262"/>
      <c r="V375" s="262"/>
      <c r="W375" s="260"/>
      <c r="X375" s="261"/>
      <c r="Y375" s="261"/>
      <c r="Z375" s="261"/>
      <c r="AA375" s="261"/>
      <c r="AB375" s="262"/>
      <c r="AC375" s="263"/>
      <c r="AD375" s="149" t="s">
        <v>967</v>
      </c>
      <c r="AF375">
        <v>30</v>
      </c>
      <c r="AK375" t="s">
        <v>1711</v>
      </c>
    </row>
    <row r="376" spans="1:37" x14ac:dyDescent="0.25">
      <c r="A376" s="256" t="s">
        <v>817</v>
      </c>
      <c r="B376" s="260"/>
      <c r="C376" s="261"/>
      <c r="D376" s="261"/>
      <c r="E376" s="261"/>
      <c r="F376" s="261"/>
      <c r="G376" s="262"/>
      <c r="H376" s="263"/>
      <c r="I376" s="257"/>
      <c r="J376" s="258"/>
      <c r="K376" s="258"/>
      <c r="L376" s="258"/>
      <c r="M376" s="258"/>
      <c r="N376" s="149"/>
      <c r="O376" s="259">
        <v>1</v>
      </c>
      <c r="P376" s="261"/>
      <c r="Q376" s="261"/>
      <c r="R376" s="261"/>
      <c r="S376" s="261"/>
      <c r="T376" s="261"/>
      <c r="U376" s="262"/>
      <c r="V376" s="262"/>
      <c r="W376" s="260"/>
      <c r="X376" s="261"/>
      <c r="Y376" s="261"/>
      <c r="Z376" s="261"/>
      <c r="AA376" s="261"/>
      <c r="AB376" s="262"/>
      <c r="AC376" s="263"/>
      <c r="AD376" s="149" t="s">
        <v>967</v>
      </c>
      <c r="AF376">
        <v>30</v>
      </c>
      <c r="AK376" t="s">
        <v>1712</v>
      </c>
    </row>
    <row r="377" spans="1:37" x14ac:dyDescent="0.25">
      <c r="A377" s="256" t="s">
        <v>1010</v>
      </c>
      <c r="B377" s="260"/>
      <c r="C377" s="261"/>
      <c r="D377" s="261"/>
      <c r="E377" s="261"/>
      <c r="F377" s="261"/>
      <c r="G377" s="262"/>
      <c r="H377" s="263"/>
      <c r="I377" s="257"/>
      <c r="J377" s="258"/>
      <c r="K377" s="258"/>
      <c r="L377" s="258"/>
      <c r="M377" s="258"/>
      <c r="N377" s="149"/>
      <c r="O377" s="259">
        <v>1</v>
      </c>
      <c r="P377" s="261"/>
      <c r="Q377" s="261"/>
      <c r="R377" s="261"/>
      <c r="S377" s="261"/>
      <c r="T377" s="261"/>
      <c r="U377" s="262"/>
      <c r="V377" s="262"/>
      <c r="W377" s="260"/>
      <c r="X377" s="261"/>
      <c r="Y377" s="261"/>
      <c r="Z377" s="261"/>
      <c r="AA377" s="261"/>
      <c r="AB377" s="262"/>
      <c r="AC377" s="263"/>
      <c r="AD377" s="149" t="s">
        <v>967</v>
      </c>
      <c r="AF377">
        <v>30</v>
      </c>
      <c r="AK377" t="s">
        <v>1707</v>
      </c>
    </row>
    <row r="378" spans="1:37" x14ac:dyDescent="0.25">
      <c r="A378" s="256" t="s">
        <v>819</v>
      </c>
      <c r="B378" s="260"/>
      <c r="C378" s="261"/>
      <c r="D378" s="261"/>
      <c r="E378" s="261"/>
      <c r="F378" s="261"/>
      <c r="G378" s="262"/>
      <c r="H378" s="263"/>
      <c r="I378" s="257"/>
      <c r="J378" s="258"/>
      <c r="K378" s="258"/>
      <c r="L378" s="258"/>
      <c r="M378" s="258"/>
      <c r="N378" s="149"/>
      <c r="O378" s="259">
        <v>1</v>
      </c>
      <c r="P378" s="261"/>
      <c r="Q378" s="261"/>
      <c r="R378" s="261"/>
      <c r="S378" s="261"/>
      <c r="T378" s="261"/>
      <c r="U378" s="262"/>
      <c r="V378" s="262"/>
      <c r="W378" s="260"/>
      <c r="X378" s="261"/>
      <c r="Y378" s="261"/>
      <c r="Z378" s="261"/>
      <c r="AA378" s="261"/>
      <c r="AB378" s="262"/>
      <c r="AC378" s="263"/>
      <c r="AD378" s="149" t="s">
        <v>967</v>
      </c>
      <c r="AF378">
        <v>30</v>
      </c>
      <c r="AK378" t="s">
        <v>1713</v>
      </c>
    </row>
    <row r="379" spans="1:37" x14ac:dyDescent="0.25">
      <c r="A379" s="256" t="s">
        <v>821</v>
      </c>
      <c r="B379" s="260"/>
      <c r="C379" s="261"/>
      <c r="D379" s="261"/>
      <c r="E379" s="261"/>
      <c r="F379" s="261"/>
      <c r="G379" s="262"/>
      <c r="H379" s="263"/>
      <c r="I379" s="257" t="s">
        <v>32</v>
      </c>
      <c r="J379" s="258"/>
      <c r="K379" s="258"/>
      <c r="L379" s="258"/>
      <c r="M379" s="258"/>
      <c r="N379" s="149"/>
      <c r="O379" s="259">
        <v>1</v>
      </c>
      <c r="P379" s="261"/>
      <c r="Q379" s="261"/>
      <c r="R379" s="261"/>
      <c r="S379" s="261"/>
      <c r="T379" s="261"/>
      <c r="U379" s="262"/>
      <c r="V379" s="262"/>
      <c r="W379" s="260"/>
      <c r="X379" s="261"/>
      <c r="Y379" s="261"/>
      <c r="Z379" s="261"/>
      <c r="AA379" s="261"/>
      <c r="AB379" s="262"/>
      <c r="AC379" s="263"/>
      <c r="AD379" s="149" t="s">
        <v>967</v>
      </c>
      <c r="AF379">
        <v>30</v>
      </c>
      <c r="AK379" t="s">
        <v>1714</v>
      </c>
    </row>
    <row r="380" spans="1:37" x14ac:dyDescent="0.25">
      <c r="A380" s="256" t="s">
        <v>823</v>
      </c>
      <c r="B380" s="260"/>
      <c r="C380" s="261"/>
      <c r="D380" s="261"/>
      <c r="E380" s="261"/>
      <c r="F380" s="261"/>
      <c r="G380" s="262"/>
      <c r="H380" s="263"/>
      <c r="I380" s="257" t="s">
        <v>32</v>
      </c>
      <c r="J380" s="258"/>
      <c r="K380" s="258"/>
      <c r="L380" s="258"/>
      <c r="M380" s="258"/>
      <c r="N380" s="149"/>
      <c r="O380" s="259">
        <v>1</v>
      </c>
      <c r="P380" s="261"/>
      <c r="Q380" s="261"/>
      <c r="R380" s="261"/>
      <c r="S380" s="261"/>
      <c r="T380" s="261"/>
      <c r="U380" s="262"/>
      <c r="V380" s="262"/>
      <c r="W380" s="260"/>
      <c r="X380" s="261"/>
      <c r="Y380" s="261"/>
      <c r="Z380" s="261"/>
      <c r="AA380" s="261"/>
      <c r="AB380" s="262"/>
      <c r="AC380" s="263"/>
      <c r="AD380" s="149" t="s">
        <v>967</v>
      </c>
      <c r="AF380">
        <v>30</v>
      </c>
      <c r="AK380" t="s">
        <v>1715</v>
      </c>
    </row>
    <row r="381" spans="1:37" x14ac:dyDescent="0.25">
      <c r="A381" s="256" t="s">
        <v>825</v>
      </c>
      <c r="B381" s="260"/>
      <c r="C381" s="261"/>
      <c r="D381" s="261"/>
      <c r="E381" s="261"/>
      <c r="F381" s="261"/>
      <c r="G381" s="262"/>
      <c r="H381" s="263"/>
      <c r="I381" s="257"/>
      <c r="J381" s="258"/>
      <c r="K381" s="258"/>
      <c r="L381" s="258"/>
      <c r="M381" s="258"/>
      <c r="N381" s="149"/>
      <c r="O381" s="259">
        <v>1</v>
      </c>
      <c r="P381" s="261"/>
      <c r="Q381" s="261"/>
      <c r="R381" s="261"/>
      <c r="S381" s="261"/>
      <c r="T381" s="261"/>
      <c r="U381" s="262"/>
      <c r="V381" s="262"/>
      <c r="W381" s="260"/>
      <c r="X381" s="261"/>
      <c r="Y381" s="261"/>
      <c r="Z381" s="261"/>
      <c r="AA381" s="261"/>
      <c r="AB381" s="262"/>
      <c r="AC381" s="263"/>
      <c r="AD381" s="149" t="s">
        <v>967</v>
      </c>
      <c r="AF381">
        <v>30</v>
      </c>
      <c r="AK381" t="s">
        <v>1716</v>
      </c>
    </row>
    <row r="382" spans="1:37" x14ac:dyDescent="0.25">
      <c r="A382" s="256" t="s">
        <v>827</v>
      </c>
      <c r="B382" s="260"/>
      <c r="C382" s="261"/>
      <c r="D382" s="261"/>
      <c r="E382" s="261"/>
      <c r="F382" s="261"/>
      <c r="G382" s="262"/>
      <c r="H382" s="263"/>
      <c r="I382" s="257"/>
      <c r="J382" s="258"/>
      <c r="K382" s="258"/>
      <c r="L382" s="258"/>
      <c r="M382" s="258"/>
      <c r="N382" s="149"/>
      <c r="O382" s="259">
        <v>1</v>
      </c>
      <c r="P382" s="261"/>
      <c r="Q382" s="261"/>
      <c r="R382" s="261"/>
      <c r="S382" s="261"/>
      <c r="T382" s="261"/>
      <c r="U382" s="262"/>
      <c r="V382" s="262"/>
      <c r="W382" s="260"/>
      <c r="X382" s="261"/>
      <c r="Y382" s="261"/>
      <c r="Z382" s="261"/>
      <c r="AA382" s="261"/>
      <c r="AB382" s="262"/>
      <c r="AC382" s="263"/>
      <c r="AD382" s="149" t="s">
        <v>967</v>
      </c>
      <c r="AF382">
        <v>30</v>
      </c>
      <c r="AK382" t="s">
        <v>1717</v>
      </c>
    </row>
    <row r="383" spans="1:37" x14ac:dyDescent="0.25">
      <c r="A383" s="256" t="s">
        <v>829</v>
      </c>
      <c r="B383" s="260"/>
      <c r="C383" s="261"/>
      <c r="D383" s="261"/>
      <c r="E383" s="261"/>
      <c r="F383" s="261"/>
      <c r="G383" s="262"/>
      <c r="H383" s="263"/>
      <c r="I383" s="257"/>
      <c r="J383" s="258"/>
      <c r="K383" s="258"/>
      <c r="L383" s="258"/>
      <c r="M383" s="258"/>
      <c r="N383" s="149"/>
      <c r="O383" s="259">
        <v>1</v>
      </c>
      <c r="P383" s="261"/>
      <c r="Q383" s="261"/>
      <c r="R383" s="261"/>
      <c r="S383" s="261"/>
      <c r="T383" s="261"/>
      <c r="U383" s="262"/>
      <c r="V383" s="262"/>
      <c r="W383" s="260"/>
      <c r="X383" s="261"/>
      <c r="Y383" s="261"/>
      <c r="Z383" s="261"/>
      <c r="AA383" s="261"/>
      <c r="AB383" s="262"/>
      <c r="AC383" s="263"/>
      <c r="AD383" s="149" t="s">
        <v>967</v>
      </c>
      <c r="AF383">
        <v>30</v>
      </c>
      <c r="AK383" t="s">
        <v>1718</v>
      </c>
    </row>
    <row r="384" spans="1:37" x14ac:dyDescent="0.25">
      <c r="A384" s="256" t="s">
        <v>831</v>
      </c>
      <c r="B384" s="260"/>
      <c r="C384" s="261"/>
      <c r="D384" s="261"/>
      <c r="E384" s="261"/>
      <c r="F384" s="261"/>
      <c r="G384" s="262"/>
      <c r="H384" s="263"/>
      <c r="I384" s="257"/>
      <c r="J384" s="258"/>
      <c r="K384" s="258"/>
      <c r="L384" s="258"/>
      <c r="M384" s="258"/>
      <c r="N384" s="149"/>
      <c r="O384" s="259">
        <v>1</v>
      </c>
      <c r="P384" s="261"/>
      <c r="Q384" s="261"/>
      <c r="R384" s="261"/>
      <c r="S384" s="261"/>
      <c r="T384" s="261"/>
      <c r="U384" s="262"/>
      <c r="V384" s="262"/>
      <c r="W384" s="260"/>
      <c r="X384" s="261"/>
      <c r="Y384" s="261"/>
      <c r="Z384" s="261"/>
      <c r="AA384" s="261"/>
      <c r="AB384" s="262"/>
      <c r="AC384" s="263"/>
      <c r="AD384" s="149" t="s">
        <v>967</v>
      </c>
      <c r="AF384">
        <v>30</v>
      </c>
      <c r="AK384" t="s">
        <v>1719</v>
      </c>
    </row>
    <row r="385" spans="1:37" x14ac:dyDescent="0.25">
      <c r="A385" s="256" t="s">
        <v>832</v>
      </c>
      <c r="B385" s="260"/>
      <c r="C385" s="261"/>
      <c r="D385" s="261"/>
      <c r="E385" s="261"/>
      <c r="F385" s="261"/>
      <c r="G385" s="262"/>
      <c r="H385" s="263"/>
      <c r="I385" s="257"/>
      <c r="J385" s="258"/>
      <c r="K385" s="258"/>
      <c r="L385" s="258"/>
      <c r="M385" s="258"/>
      <c r="N385" s="149"/>
      <c r="O385" s="259">
        <v>1</v>
      </c>
      <c r="P385" s="261"/>
      <c r="Q385" s="261"/>
      <c r="R385" s="261"/>
      <c r="S385" s="261"/>
      <c r="T385" s="261"/>
      <c r="U385" s="262"/>
      <c r="V385" s="262"/>
      <c r="W385" s="260"/>
      <c r="X385" s="261"/>
      <c r="Y385" s="261"/>
      <c r="Z385" s="261"/>
      <c r="AA385" s="261"/>
      <c r="AB385" s="262"/>
      <c r="AC385" s="263"/>
      <c r="AD385" s="149" t="s">
        <v>967</v>
      </c>
      <c r="AF385">
        <v>30</v>
      </c>
      <c r="AK385" t="s">
        <v>1720</v>
      </c>
    </row>
    <row r="386" spans="1:37" x14ac:dyDescent="0.25">
      <c r="A386" s="256" t="s">
        <v>834</v>
      </c>
      <c r="B386" s="260"/>
      <c r="C386" s="261"/>
      <c r="D386" s="261"/>
      <c r="E386" s="261"/>
      <c r="F386" s="261"/>
      <c r="G386" s="262"/>
      <c r="H386" s="263"/>
      <c r="I386" s="257"/>
      <c r="J386" s="258"/>
      <c r="K386" s="258"/>
      <c r="L386" s="258"/>
      <c r="M386" s="258"/>
      <c r="N386" s="149"/>
      <c r="O386" s="259">
        <v>1</v>
      </c>
      <c r="P386" s="261"/>
      <c r="Q386" s="261"/>
      <c r="R386" s="261"/>
      <c r="S386" s="261"/>
      <c r="T386" s="261"/>
      <c r="U386" s="262"/>
      <c r="V386" s="262"/>
      <c r="W386" s="260"/>
      <c r="X386" s="261"/>
      <c r="Y386" s="261"/>
      <c r="Z386" s="261"/>
      <c r="AA386" s="261"/>
      <c r="AB386" s="262"/>
      <c r="AC386" s="263"/>
      <c r="AD386" s="149" t="s">
        <v>967</v>
      </c>
      <c r="AF386">
        <v>30</v>
      </c>
      <c r="AK386" t="s">
        <v>1721</v>
      </c>
    </row>
    <row r="387" spans="1:37" x14ac:dyDescent="0.25">
      <c r="A387" s="256" t="s">
        <v>836</v>
      </c>
      <c r="B387" s="260"/>
      <c r="C387" s="261"/>
      <c r="D387" s="261"/>
      <c r="E387" s="261"/>
      <c r="F387" s="261"/>
      <c r="G387" s="262"/>
      <c r="H387" s="263"/>
      <c r="I387" s="257"/>
      <c r="J387" s="258"/>
      <c r="K387" s="258"/>
      <c r="L387" s="258"/>
      <c r="M387" s="258"/>
      <c r="N387" s="149"/>
      <c r="O387" s="259">
        <v>1</v>
      </c>
      <c r="P387" s="261"/>
      <c r="Q387" s="261"/>
      <c r="R387" s="261"/>
      <c r="S387" s="261"/>
      <c r="T387" s="261"/>
      <c r="U387" s="262"/>
      <c r="V387" s="262"/>
      <c r="W387" s="260"/>
      <c r="X387" s="261"/>
      <c r="Y387" s="261"/>
      <c r="Z387" s="261"/>
      <c r="AA387" s="261"/>
      <c r="AB387" s="262"/>
      <c r="AC387" s="263"/>
      <c r="AD387" s="149" t="s">
        <v>967</v>
      </c>
      <c r="AF387">
        <v>30</v>
      </c>
      <c r="AK387" t="s">
        <v>1722</v>
      </c>
    </row>
    <row r="388" spans="1:37" x14ac:dyDescent="0.25">
      <c r="A388" s="256" t="s">
        <v>837</v>
      </c>
      <c r="B388" s="260"/>
      <c r="C388" s="261"/>
      <c r="D388" s="261"/>
      <c r="E388" s="261"/>
      <c r="F388" s="261"/>
      <c r="G388" s="262"/>
      <c r="H388" s="263"/>
      <c r="I388" s="257" t="s">
        <v>32</v>
      </c>
      <c r="J388" s="258" t="s">
        <v>32</v>
      </c>
      <c r="K388" s="258"/>
      <c r="L388" s="258"/>
      <c r="M388" s="258"/>
      <c r="N388" s="149"/>
      <c r="O388" s="259">
        <v>1</v>
      </c>
      <c r="P388" s="261"/>
      <c r="Q388" s="261"/>
      <c r="R388" s="261"/>
      <c r="S388" s="261"/>
      <c r="T388" s="261"/>
      <c r="U388" s="262"/>
      <c r="V388" s="262"/>
      <c r="W388" s="260"/>
      <c r="X388" s="261"/>
      <c r="Y388" s="261"/>
      <c r="Z388" s="261"/>
      <c r="AA388" s="261"/>
      <c r="AB388" s="262"/>
      <c r="AC388" s="263"/>
      <c r="AD388" s="149" t="s">
        <v>967</v>
      </c>
      <c r="AF388">
        <v>30</v>
      </c>
      <c r="AK388" t="s">
        <v>1723</v>
      </c>
    </row>
    <row r="389" spans="1:37" x14ac:dyDescent="0.25">
      <c r="A389" s="256" t="s">
        <v>838</v>
      </c>
      <c r="B389" s="260"/>
      <c r="C389" s="261"/>
      <c r="D389" s="261"/>
      <c r="E389" s="261"/>
      <c r="F389" s="261"/>
      <c r="G389" s="262"/>
      <c r="H389" s="263"/>
      <c r="I389" s="257"/>
      <c r="J389" s="258"/>
      <c r="K389" s="258"/>
      <c r="L389" s="258"/>
      <c r="M389" s="258"/>
      <c r="N389" s="149"/>
      <c r="O389" s="259"/>
      <c r="P389" s="261"/>
      <c r="Q389" s="261"/>
      <c r="R389" s="261"/>
      <c r="S389" s="261"/>
      <c r="T389" s="261"/>
      <c r="U389" s="262"/>
      <c r="V389" s="262"/>
      <c r="W389" s="260"/>
      <c r="X389" s="261"/>
      <c r="Y389" s="261"/>
      <c r="Z389" s="261"/>
      <c r="AA389" s="261"/>
      <c r="AB389" s="262"/>
      <c r="AC389" s="263"/>
      <c r="AD389" s="149" t="s">
        <v>967</v>
      </c>
      <c r="AF389">
        <v>30</v>
      </c>
    </row>
    <row r="390" spans="1:37" x14ac:dyDescent="0.25">
      <c r="A390" s="256" t="s">
        <v>1797</v>
      </c>
      <c r="B390" s="260"/>
      <c r="C390" s="261"/>
      <c r="D390" s="261"/>
      <c r="E390" s="261"/>
      <c r="F390" s="261"/>
      <c r="G390" s="262"/>
      <c r="H390" s="263"/>
      <c r="I390" s="257"/>
      <c r="J390" s="258"/>
      <c r="K390" s="258"/>
      <c r="L390" s="258"/>
      <c r="M390" s="258"/>
      <c r="N390" s="149"/>
      <c r="O390" s="259">
        <v>1</v>
      </c>
      <c r="P390" s="261"/>
      <c r="Q390" s="261"/>
      <c r="R390" s="261"/>
      <c r="S390" s="261"/>
      <c r="T390" s="261"/>
      <c r="U390" s="262"/>
      <c r="V390" s="262"/>
      <c r="W390" s="260"/>
      <c r="X390" s="261"/>
      <c r="Y390" s="261"/>
      <c r="Z390" s="261"/>
      <c r="AA390" s="261"/>
      <c r="AB390" s="262"/>
      <c r="AC390" s="263"/>
      <c r="AD390" s="149"/>
    </row>
    <row r="391" spans="1:37" x14ac:dyDescent="0.25">
      <c r="A391" s="256" t="s">
        <v>840</v>
      </c>
      <c r="B391" s="260"/>
      <c r="C391" s="261"/>
      <c r="D391" s="261"/>
      <c r="E391" s="261"/>
      <c r="F391" s="261"/>
      <c r="G391" s="262"/>
      <c r="H391" s="263"/>
      <c r="I391" s="257"/>
      <c r="J391" s="258"/>
      <c r="K391" s="258"/>
      <c r="L391" s="258"/>
      <c r="M391" s="258"/>
      <c r="N391" s="149"/>
      <c r="O391" s="259">
        <v>1</v>
      </c>
      <c r="P391" s="261"/>
      <c r="Q391" s="261"/>
      <c r="R391" s="261"/>
      <c r="S391" s="261"/>
      <c r="T391" s="261"/>
      <c r="U391" s="262"/>
      <c r="V391" s="262"/>
      <c r="W391" s="260"/>
      <c r="X391" s="261"/>
      <c r="Y391" s="261"/>
      <c r="Z391" s="261"/>
      <c r="AA391" s="261"/>
      <c r="AB391" s="262"/>
      <c r="AC391" s="263"/>
      <c r="AD391" s="149" t="s">
        <v>967</v>
      </c>
      <c r="AF391">
        <v>30</v>
      </c>
      <c r="AK391" t="s">
        <v>1724</v>
      </c>
    </row>
    <row r="392" spans="1:37" x14ac:dyDescent="0.25">
      <c r="A392" s="256" t="s">
        <v>842</v>
      </c>
      <c r="B392" s="260"/>
      <c r="C392" s="261"/>
      <c r="D392" s="261"/>
      <c r="E392" s="261"/>
      <c r="F392" s="261"/>
      <c r="G392" s="262"/>
      <c r="H392" s="263"/>
      <c r="I392" s="257"/>
      <c r="J392" s="258"/>
      <c r="K392" s="258"/>
      <c r="L392" s="258"/>
      <c r="M392" s="258"/>
      <c r="N392" s="149"/>
      <c r="O392" s="259">
        <v>1</v>
      </c>
      <c r="P392" s="261"/>
      <c r="Q392" s="261"/>
      <c r="R392" s="261"/>
      <c r="S392" s="261"/>
      <c r="T392" s="261"/>
      <c r="U392" s="262"/>
      <c r="V392" s="262"/>
      <c r="W392" s="260"/>
      <c r="X392" s="261"/>
      <c r="Y392" s="261"/>
      <c r="Z392" s="261"/>
      <c r="AA392" s="261"/>
      <c r="AB392" s="262"/>
      <c r="AC392" s="263"/>
      <c r="AD392" s="149" t="s">
        <v>967</v>
      </c>
      <c r="AF392">
        <v>30</v>
      </c>
      <c r="AK392" t="s">
        <v>1725</v>
      </c>
    </row>
    <row r="393" spans="1:37" x14ac:dyDescent="0.25">
      <c r="A393" s="256" t="s">
        <v>843</v>
      </c>
      <c r="B393" s="260"/>
      <c r="C393" s="261"/>
      <c r="D393" s="261"/>
      <c r="E393" s="261"/>
      <c r="F393" s="261"/>
      <c r="G393" s="262"/>
      <c r="H393" s="263"/>
      <c r="I393" s="257" t="s">
        <v>32</v>
      </c>
      <c r="J393" s="258"/>
      <c r="K393" s="258"/>
      <c r="L393" s="258"/>
      <c r="M393" s="258"/>
      <c r="N393" s="149"/>
      <c r="O393" s="259">
        <v>1</v>
      </c>
      <c r="P393" s="261"/>
      <c r="Q393" s="261"/>
      <c r="R393" s="261"/>
      <c r="S393" s="261"/>
      <c r="T393" s="261"/>
      <c r="U393" s="262"/>
      <c r="V393" s="262"/>
      <c r="W393" s="260"/>
      <c r="X393" s="261"/>
      <c r="Y393" s="261"/>
      <c r="Z393" s="261"/>
      <c r="AA393" s="261"/>
      <c r="AB393" s="262"/>
      <c r="AC393" s="263"/>
      <c r="AD393" s="149" t="s">
        <v>967</v>
      </c>
      <c r="AF393">
        <v>30</v>
      </c>
      <c r="AK393" t="s">
        <v>1726</v>
      </c>
    </row>
    <row r="394" spans="1:37" x14ac:dyDescent="0.25">
      <c r="A394" s="256" t="s">
        <v>845</v>
      </c>
      <c r="B394" s="260"/>
      <c r="C394" s="261"/>
      <c r="D394" s="261"/>
      <c r="E394" s="261"/>
      <c r="F394" s="261"/>
      <c r="G394" s="262"/>
      <c r="H394" s="263"/>
      <c r="I394" s="257"/>
      <c r="J394" s="258"/>
      <c r="K394" s="258"/>
      <c r="L394" s="258"/>
      <c r="M394" s="258"/>
      <c r="N394" s="149"/>
      <c r="O394" s="259">
        <v>1</v>
      </c>
      <c r="P394" s="261"/>
      <c r="Q394" s="261"/>
      <c r="R394" s="261"/>
      <c r="S394" s="261"/>
      <c r="T394" s="261"/>
      <c r="U394" s="262"/>
      <c r="V394" s="262"/>
      <c r="W394" s="260"/>
      <c r="X394" s="261"/>
      <c r="Y394" s="261"/>
      <c r="Z394" s="261"/>
      <c r="AA394" s="261"/>
      <c r="AB394" s="262"/>
      <c r="AC394" s="263"/>
      <c r="AD394" s="149" t="s">
        <v>967</v>
      </c>
      <c r="AF394">
        <v>30</v>
      </c>
      <c r="AK394" t="s">
        <v>1727</v>
      </c>
    </row>
    <row r="395" spans="1:37" x14ac:dyDescent="0.25">
      <c r="A395" s="256" t="s">
        <v>846</v>
      </c>
      <c r="B395" s="260"/>
      <c r="C395" s="261"/>
      <c r="D395" s="261"/>
      <c r="E395" s="261"/>
      <c r="F395" s="261"/>
      <c r="G395" s="262"/>
      <c r="H395" s="263"/>
      <c r="I395" s="257" t="s">
        <v>32</v>
      </c>
      <c r="J395" s="258" t="s">
        <v>32</v>
      </c>
      <c r="K395" s="258"/>
      <c r="L395" s="258"/>
      <c r="M395" s="258"/>
      <c r="N395" s="149"/>
      <c r="O395" s="259">
        <v>1</v>
      </c>
      <c r="P395" s="261"/>
      <c r="Q395" s="261"/>
      <c r="R395" s="261"/>
      <c r="S395" s="261"/>
      <c r="T395" s="261"/>
      <c r="U395" s="262"/>
      <c r="V395" s="262"/>
      <c r="W395" s="260"/>
      <c r="X395" s="261"/>
      <c r="Y395" s="261"/>
      <c r="Z395" s="261"/>
      <c r="AA395" s="261"/>
      <c r="AB395" s="262"/>
      <c r="AC395" s="263"/>
      <c r="AD395" s="149" t="s">
        <v>967</v>
      </c>
      <c r="AF395">
        <v>30</v>
      </c>
      <c r="AK395" t="s">
        <v>1728</v>
      </c>
    </row>
    <row r="396" spans="1:37" x14ac:dyDescent="0.25">
      <c r="A396" s="256" t="s">
        <v>848</v>
      </c>
      <c r="B396" s="260"/>
      <c r="C396" s="261"/>
      <c r="D396" s="261"/>
      <c r="E396" s="261"/>
      <c r="F396" s="261"/>
      <c r="G396" s="262"/>
      <c r="H396" s="263"/>
      <c r="I396" s="257" t="s">
        <v>32</v>
      </c>
      <c r="J396" s="258"/>
      <c r="K396" s="258"/>
      <c r="L396" s="258"/>
      <c r="M396" s="258"/>
      <c r="N396" s="149"/>
      <c r="O396" s="259">
        <v>1</v>
      </c>
      <c r="P396" s="261"/>
      <c r="Q396" s="261"/>
      <c r="R396" s="261"/>
      <c r="S396" s="261"/>
      <c r="T396" s="261"/>
      <c r="U396" s="262"/>
      <c r="V396" s="262"/>
      <c r="W396" s="260"/>
      <c r="X396" s="261"/>
      <c r="Y396" s="261"/>
      <c r="Z396" s="261"/>
      <c r="AA396" s="261"/>
      <c r="AB396" s="262"/>
      <c r="AC396" s="263"/>
      <c r="AD396" s="149" t="s">
        <v>967</v>
      </c>
      <c r="AF396">
        <v>30</v>
      </c>
      <c r="AK396" t="s">
        <v>1729</v>
      </c>
    </row>
    <row r="397" spans="1:37" x14ac:dyDescent="0.25">
      <c r="A397" s="256" t="s">
        <v>849</v>
      </c>
      <c r="B397" s="260"/>
      <c r="C397" s="261"/>
      <c r="D397" s="261"/>
      <c r="E397" s="261"/>
      <c r="F397" s="261"/>
      <c r="G397" s="262"/>
      <c r="H397" s="263"/>
      <c r="I397" s="257"/>
      <c r="J397" s="258"/>
      <c r="K397" s="258"/>
      <c r="L397" s="258"/>
      <c r="M397" s="258"/>
      <c r="N397" s="149"/>
      <c r="O397" s="259">
        <v>1</v>
      </c>
      <c r="P397" s="261"/>
      <c r="Q397" s="261"/>
      <c r="R397" s="261"/>
      <c r="S397" s="261"/>
      <c r="T397" s="261"/>
      <c r="U397" s="262"/>
      <c r="V397" s="262"/>
      <c r="W397" s="260"/>
      <c r="X397" s="261"/>
      <c r="Y397" s="261"/>
      <c r="Z397" s="261"/>
      <c r="AA397" s="261"/>
      <c r="AB397" s="262"/>
      <c r="AC397" s="263"/>
      <c r="AD397" s="149" t="s">
        <v>967</v>
      </c>
      <c r="AF397">
        <v>30</v>
      </c>
      <c r="AK397" t="s">
        <v>1730</v>
      </c>
    </row>
    <row r="398" spans="1:37" x14ac:dyDescent="0.25">
      <c r="A398" s="755" t="s">
        <v>1773</v>
      </c>
      <c r="B398" s="260"/>
      <c r="C398" s="261"/>
      <c r="D398" s="261"/>
      <c r="E398" s="261"/>
      <c r="F398" s="261"/>
      <c r="G398" s="262"/>
      <c r="H398" s="263"/>
      <c r="I398" s="257"/>
      <c r="J398" s="258"/>
      <c r="K398" s="258"/>
      <c r="L398" s="258"/>
      <c r="M398" s="258"/>
      <c r="N398" s="149"/>
      <c r="O398" s="259"/>
      <c r="P398" s="261"/>
      <c r="Q398" s="261"/>
      <c r="R398" s="261"/>
      <c r="S398" s="261"/>
      <c r="T398" s="261"/>
      <c r="U398" s="262"/>
      <c r="V398" s="262"/>
      <c r="W398" s="260"/>
      <c r="X398" s="261"/>
      <c r="Y398" s="261"/>
      <c r="Z398" s="261"/>
      <c r="AA398" s="261"/>
      <c r="AB398" s="262"/>
      <c r="AC398" s="263"/>
      <c r="AD398" s="149"/>
    </row>
    <row r="399" spans="1:37" x14ac:dyDescent="0.25">
      <c r="A399" s="256" t="s">
        <v>851</v>
      </c>
      <c r="B399" s="260"/>
      <c r="C399" s="261"/>
      <c r="D399" s="261"/>
      <c r="E399" s="261"/>
      <c r="F399" s="261"/>
      <c r="G399" s="262"/>
      <c r="H399" s="263"/>
      <c r="I399" s="257"/>
      <c r="J399" s="258"/>
      <c r="K399" s="258"/>
      <c r="L399" s="258"/>
      <c r="M399" s="258"/>
      <c r="N399" s="149"/>
      <c r="O399" s="259">
        <v>1</v>
      </c>
      <c r="P399" s="261"/>
      <c r="Q399" s="261"/>
      <c r="R399" s="261"/>
      <c r="S399" s="261"/>
      <c r="T399" s="261"/>
      <c r="U399" s="262"/>
      <c r="V399" s="262"/>
      <c r="W399" s="260"/>
      <c r="X399" s="261"/>
      <c r="Y399" s="261"/>
      <c r="Z399" s="261"/>
      <c r="AA399" s="261"/>
      <c r="AB399" s="262"/>
      <c r="AC399" s="263"/>
      <c r="AD399" s="149" t="s">
        <v>967</v>
      </c>
      <c r="AF399">
        <v>30</v>
      </c>
    </row>
    <row r="400" spans="1:37" x14ac:dyDescent="0.25">
      <c r="A400" s="256" t="s">
        <v>852</v>
      </c>
      <c r="B400" s="260"/>
      <c r="C400" s="261"/>
      <c r="D400" s="261"/>
      <c r="E400" s="261"/>
      <c r="F400" s="261"/>
      <c r="G400" s="262"/>
      <c r="H400" s="263"/>
      <c r="I400" s="257"/>
      <c r="J400" s="258"/>
      <c r="K400" s="258"/>
      <c r="L400" s="258"/>
      <c r="M400" s="258"/>
      <c r="N400" s="149"/>
      <c r="O400" s="259">
        <v>1</v>
      </c>
      <c r="P400" s="261"/>
      <c r="Q400" s="261"/>
      <c r="R400" s="261"/>
      <c r="S400" s="261"/>
      <c r="T400" s="261"/>
      <c r="U400" s="262"/>
      <c r="V400" s="262"/>
      <c r="W400" s="260"/>
      <c r="X400" s="261"/>
      <c r="Y400" s="261"/>
      <c r="Z400" s="261"/>
      <c r="AA400" s="261"/>
      <c r="AB400" s="262"/>
      <c r="AC400" s="263"/>
      <c r="AD400" s="149" t="s">
        <v>967</v>
      </c>
      <c r="AF400">
        <v>30</v>
      </c>
      <c r="AK400" t="s">
        <v>1731</v>
      </c>
    </row>
    <row r="401" spans="1:37" ht="15.75" thickBot="1" x14ac:dyDescent="0.3">
      <c r="A401" s="406" t="s">
        <v>1049</v>
      </c>
      <c r="B401" s="260"/>
      <c r="C401" s="261"/>
      <c r="D401" s="261"/>
      <c r="E401" s="261"/>
      <c r="F401" s="261"/>
      <c r="G401" s="262"/>
      <c r="H401" s="263"/>
      <c r="I401" s="257"/>
      <c r="J401" s="258"/>
      <c r="K401" s="258"/>
      <c r="L401" s="258"/>
      <c r="M401" s="258"/>
      <c r="N401" s="149"/>
      <c r="O401" s="259">
        <v>1</v>
      </c>
      <c r="P401" s="261"/>
      <c r="Q401" s="261"/>
      <c r="R401" s="261"/>
      <c r="S401" s="261"/>
      <c r="T401" s="261"/>
      <c r="U401" s="262"/>
      <c r="V401" s="262"/>
      <c r="W401" s="260"/>
      <c r="X401" s="261"/>
      <c r="Y401" s="261"/>
      <c r="Z401" s="261"/>
      <c r="AA401" s="261"/>
      <c r="AB401" s="262"/>
      <c r="AC401" s="263"/>
      <c r="AD401" s="149" t="s">
        <v>967</v>
      </c>
      <c r="AF401">
        <v>30</v>
      </c>
      <c r="AK401" t="s">
        <v>1732</v>
      </c>
    </row>
    <row r="402" spans="1:37" x14ac:dyDescent="0.25">
      <c r="A402" s="256"/>
      <c r="B402" s="257"/>
      <c r="C402" s="258"/>
      <c r="D402" s="258"/>
      <c r="E402" s="258"/>
      <c r="F402" s="258"/>
      <c r="G402" s="149"/>
      <c r="H402" s="259"/>
      <c r="I402" s="257"/>
      <c r="J402" s="258"/>
      <c r="K402" s="258"/>
      <c r="L402" s="258"/>
      <c r="M402" s="258"/>
      <c r="N402" s="149"/>
      <c r="O402" s="259"/>
      <c r="P402" s="258"/>
      <c r="Q402" s="258"/>
      <c r="R402" s="258"/>
      <c r="S402" s="258"/>
      <c r="T402" s="258"/>
      <c r="U402" s="149"/>
      <c r="V402" s="149"/>
      <c r="W402" s="257"/>
      <c r="X402" s="258"/>
      <c r="Y402" s="258"/>
      <c r="Z402" s="258"/>
      <c r="AA402" s="258"/>
      <c r="AB402" s="149"/>
      <c r="AC402" s="259"/>
      <c r="AD402" s="149"/>
    </row>
    <row r="403" spans="1:37" x14ac:dyDescent="0.25">
      <c r="A403" s="256" t="s">
        <v>762</v>
      </c>
      <c r="B403" s="257"/>
      <c r="C403" s="258"/>
      <c r="D403" s="258"/>
      <c r="E403" s="258"/>
      <c r="F403" s="258"/>
      <c r="G403" s="149"/>
      <c r="H403" s="259">
        <v>2</v>
      </c>
      <c r="I403" s="260"/>
      <c r="J403" s="261"/>
      <c r="K403" s="261"/>
      <c r="L403" s="261"/>
      <c r="M403" s="261"/>
      <c r="N403" s="262"/>
      <c r="O403" s="263"/>
      <c r="P403" s="261"/>
      <c r="Q403" s="261"/>
      <c r="R403" s="261"/>
      <c r="S403" s="261"/>
      <c r="T403" s="261"/>
      <c r="U403" s="262"/>
      <c r="V403" s="262"/>
      <c r="W403" s="260"/>
      <c r="X403" s="261"/>
      <c r="Y403" s="261"/>
      <c r="Z403" s="261"/>
      <c r="AA403" s="261"/>
      <c r="AB403" s="262"/>
      <c r="AC403" s="263"/>
      <c r="AD403" s="149" t="s">
        <v>875</v>
      </c>
      <c r="AE403">
        <v>45</v>
      </c>
    </row>
    <row r="404" spans="1:37" x14ac:dyDescent="0.25">
      <c r="A404" s="256" t="s">
        <v>765</v>
      </c>
      <c r="B404" s="257"/>
      <c r="C404" s="258"/>
      <c r="D404" s="258"/>
      <c r="E404" s="258"/>
      <c r="F404" s="258"/>
      <c r="G404" s="149"/>
      <c r="H404" s="259">
        <v>2</v>
      </c>
      <c r="I404" s="260"/>
      <c r="J404" s="261"/>
      <c r="K404" s="261"/>
      <c r="L404" s="261"/>
      <c r="M404" s="261"/>
      <c r="N404" s="262"/>
      <c r="O404" s="263"/>
      <c r="P404" s="261"/>
      <c r="Q404" s="261"/>
      <c r="R404" s="261"/>
      <c r="S404" s="261"/>
      <c r="T404" s="261"/>
      <c r="U404" s="262"/>
      <c r="V404" s="262"/>
      <c r="W404" s="260"/>
      <c r="X404" s="261"/>
      <c r="Y404" s="261"/>
      <c r="Z404" s="261"/>
      <c r="AA404" s="261"/>
      <c r="AB404" s="262"/>
      <c r="AC404" s="263"/>
      <c r="AD404" s="149" t="s">
        <v>875</v>
      </c>
      <c r="AE404">
        <v>45</v>
      </c>
    </row>
    <row r="405" spans="1:37" x14ac:dyDescent="0.25">
      <c r="A405" s="256" t="s">
        <v>766</v>
      </c>
      <c r="B405" s="257"/>
      <c r="C405" s="258"/>
      <c r="D405" s="258"/>
      <c r="E405" s="258"/>
      <c r="F405" s="258"/>
      <c r="G405" s="149"/>
      <c r="H405" s="259">
        <v>2</v>
      </c>
      <c r="I405" s="260"/>
      <c r="J405" s="261"/>
      <c r="K405" s="261"/>
      <c r="L405" s="261"/>
      <c r="M405" s="261"/>
      <c r="N405" s="262"/>
      <c r="O405" s="263"/>
      <c r="P405" s="261"/>
      <c r="Q405" s="261"/>
      <c r="R405" s="261"/>
      <c r="S405" s="261"/>
      <c r="T405" s="261"/>
      <c r="U405" s="262"/>
      <c r="V405" s="262"/>
      <c r="W405" s="260"/>
      <c r="X405" s="261"/>
      <c r="Y405" s="261"/>
      <c r="Z405" s="261"/>
      <c r="AA405" s="261"/>
      <c r="AB405" s="262"/>
      <c r="AC405" s="263"/>
      <c r="AD405" s="149" t="s">
        <v>875</v>
      </c>
      <c r="AE405">
        <v>45</v>
      </c>
    </row>
    <row r="406" spans="1:37" x14ac:dyDescent="0.25">
      <c r="A406" s="256" t="s">
        <v>767</v>
      </c>
      <c r="B406" s="257"/>
      <c r="C406" s="258"/>
      <c r="D406" s="258"/>
      <c r="E406" s="258"/>
      <c r="F406" s="258"/>
      <c r="G406" s="149"/>
      <c r="H406" s="259">
        <v>2</v>
      </c>
      <c r="I406" s="260"/>
      <c r="J406" s="261"/>
      <c r="K406" s="261"/>
      <c r="L406" s="261"/>
      <c r="M406" s="261"/>
      <c r="N406" s="262"/>
      <c r="O406" s="263"/>
      <c r="P406" s="261"/>
      <c r="Q406" s="261"/>
      <c r="R406" s="261"/>
      <c r="S406" s="261"/>
      <c r="T406" s="261"/>
      <c r="U406" s="262"/>
      <c r="V406" s="262"/>
      <c r="W406" s="260"/>
      <c r="X406" s="261"/>
      <c r="Y406" s="261"/>
      <c r="Z406" s="261"/>
      <c r="AA406" s="261"/>
      <c r="AB406" s="262"/>
      <c r="AC406" s="263"/>
      <c r="AD406" s="149" t="s">
        <v>875</v>
      </c>
      <c r="AE406">
        <v>45</v>
      </c>
    </row>
    <row r="407" spans="1:37" x14ac:dyDescent="0.25">
      <c r="A407" s="256" t="s">
        <v>768</v>
      </c>
      <c r="B407" s="257"/>
      <c r="C407" s="258"/>
      <c r="D407" s="258"/>
      <c r="E407" s="258"/>
      <c r="F407" s="258"/>
      <c r="G407" s="149"/>
      <c r="H407" s="259">
        <v>2</v>
      </c>
      <c r="I407" s="260"/>
      <c r="J407" s="261"/>
      <c r="K407" s="261"/>
      <c r="L407" s="261"/>
      <c r="M407" s="261"/>
      <c r="N407" s="262"/>
      <c r="O407" s="263"/>
      <c r="P407" s="261"/>
      <c r="Q407" s="261"/>
      <c r="R407" s="261"/>
      <c r="S407" s="261"/>
      <c r="T407" s="261"/>
      <c r="U407" s="262"/>
      <c r="V407" s="262"/>
      <c r="W407" s="260"/>
      <c r="X407" s="261"/>
      <c r="Y407" s="261"/>
      <c r="Z407" s="261"/>
      <c r="AA407" s="261"/>
      <c r="AB407" s="262"/>
      <c r="AC407" s="263"/>
      <c r="AD407" s="149" t="s">
        <v>875</v>
      </c>
      <c r="AE407">
        <v>45</v>
      </c>
    </row>
    <row r="408" spans="1:37" x14ac:dyDescent="0.25">
      <c r="A408" s="256" t="s">
        <v>780</v>
      </c>
      <c r="B408" s="257"/>
      <c r="C408" s="258"/>
      <c r="D408" s="258"/>
      <c r="E408" s="258"/>
      <c r="F408" s="258"/>
      <c r="G408" s="149"/>
      <c r="H408" s="259"/>
      <c r="I408" s="260"/>
      <c r="J408" s="261"/>
      <c r="K408" s="261"/>
      <c r="L408" s="261"/>
      <c r="M408" s="261"/>
      <c r="N408" s="262"/>
      <c r="O408" s="263"/>
      <c r="P408" s="261"/>
      <c r="Q408" s="261"/>
      <c r="R408" s="261"/>
      <c r="S408" s="261"/>
      <c r="T408" s="261"/>
      <c r="U408" s="262"/>
      <c r="V408" s="262"/>
      <c r="W408" s="260"/>
      <c r="X408" s="261"/>
      <c r="Y408" s="261"/>
      <c r="Z408" s="261"/>
      <c r="AA408" s="261"/>
      <c r="AB408" s="262"/>
      <c r="AC408" s="263"/>
      <c r="AD408" s="149"/>
    </row>
    <row r="409" spans="1:37" x14ac:dyDescent="0.25">
      <c r="A409" s="256"/>
      <c r="B409" s="257"/>
      <c r="C409" s="258"/>
      <c r="D409" s="258"/>
      <c r="E409" s="258"/>
      <c r="F409" s="258"/>
      <c r="G409" s="149"/>
      <c r="H409" s="259"/>
      <c r="I409" s="257"/>
      <c r="J409" s="258"/>
      <c r="K409" s="258"/>
      <c r="L409" s="258"/>
      <c r="M409" s="258"/>
      <c r="N409" s="149"/>
      <c r="O409" s="259"/>
      <c r="P409" s="258"/>
      <c r="Q409" s="258"/>
      <c r="R409" s="258"/>
      <c r="S409" s="258"/>
      <c r="T409" s="258"/>
      <c r="U409" s="149"/>
      <c r="V409" s="149"/>
      <c r="W409" s="257"/>
      <c r="X409" s="258"/>
      <c r="Y409" s="258"/>
      <c r="Z409" s="258"/>
      <c r="AA409" s="258"/>
      <c r="AB409" s="149"/>
      <c r="AC409" s="259"/>
      <c r="AD409" s="149"/>
    </row>
    <row r="410" spans="1:37" x14ac:dyDescent="0.25">
      <c r="A410" s="256" t="s">
        <v>867</v>
      </c>
      <c r="B410" s="257"/>
      <c r="C410" s="258"/>
      <c r="D410" s="258"/>
      <c r="E410" s="258"/>
      <c r="F410" s="258"/>
      <c r="G410" s="149"/>
      <c r="H410" s="259">
        <v>1</v>
      </c>
      <c r="I410" s="260"/>
      <c r="J410" s="261"/>
      <c r="K410" s="261"/>
      <c r="L410" s="261"/>
      <c r="M410" s="261"/>
      <c r="N410" s="262"/>
      <c r="O410" s="263"/>
      <c r="P410" s="261"/>
      <c r="Q410" s="261"/>
      <c r="R410" s="261"/>
      <c r="S410" s="261"/>
      <c r="T410" s="261"/>
      <c r="U410" s="262"/>
      <c r="V410" s="262"/>
      <c r="W410" s="260"/>
      <c r="X410" s="261"/>
      <c r="Y410" s="261"/>
      <c r="Z410" s="261"/>
      <c r="AA410" s="261"/>
      <c r="AB410" s="262"/>
      <c r="AC410" s="263"/>
      <c r="AD410" s="149" t="s">
        <v>1052</v>
      </c>
      <c r="AE410">
        <v>35</v>
      </c>
    </row>
    <row r="411" spans="1:37" x14ac:dyDescent="0.25">
      <c r="A411" s="256" t="s">
        <v>868</v>
      </c>
      <c r="B411" s="257"/>
      <c r="C411" s="258"/>
      <c r="D411" s="258"/>
      <c r="E411" s="258"/>
      <c r="F411" s="258"/>
      <c r="G411" s="149"/>
      <c r="H411" s="259">
        <v>1</v>
      </c>
      <c r="I411" s="260"/>
      <c r="J411" s="261"/>
      <c r="K411" s="261"/>
      <c r="L411" s="261"/>
      <c r="M411" s="261"/>
      <c r="N411" s="262"/>
      <c r="O411" s="263"/>
      <c r="P411" s="261"/>
      <c r="Q411" s="261"/>
      <c r="R411" s="261"/>
      <c r="S411" s="261"/>
      <c r="T411" s="261"/>
      <c r="U411" s="262"/>
      <c r="V411" s="262"/>
      <c r="W411" s="260"/>
      <c r="X411" s="261"/>
      <c r="Y411" s="261"/>
      <c r="Z411" s="261"/>
      <c r="AA411" s="261"/>
      <c r="AB411" s="262"/>
      <c r="AC411" s="263"/>
      <c r="AD411" s="149" t="s">
        <v>1052</v>
      </c>
      <c r="AE411">
        <v>35</v>
      </c>
    </row>
    <row r="412" spans="1:37" x14ac:dyDescent="0.25">
      <c r="A412" s="256"/>
      <c r="B412" s="257"/>
      <c r="C412" s="258"/>
      <c r="D412" s="258"/>
      <c r="E412" s="258"/>
      <c r="F412" s="258"/>
      <c r="G412" s="149"/>
      <c r="H412" s="259"/>
      <c r="I412" s="257"/>
      <c r="J412" s="258"/>
      <c r="K412" s="258"/>
      <c r="L412" s="258"/>
      <c r="M412" s="258"/>
      <c r="N412" s="149"/>
      <c r="O412" s="259"/>
      <c r="P412" s="258"/>
      <c r="Q412" s="258"/>
      <c r="R412" s="258"/>
      <c r="S412" s="258"/>
      <c r="T412" s="258"/>
      <c r="U412" s="149"/>
      <c r="V412" s="149"/>
      <c r="W412" s="257"/>
      <c r="X412" s="258"/>
      <c r="Y412" s="258"/>
      <c r="Z412" s="258"/>
      <c r="AA412" s="258"/>
      <c r="AB412" s="149"/>
      <c r="AC412" s="259"/>
      <c r="AD412" s="149"/>
    </row>
    <row r="413" spans="1:37" x14ac:dyDescent="0.25">
      <c r="A413" s="256" t="s">
        <v>742</v>
      </c>
      <c r="B413" s="257"/>
      <c r="C413" s="258"/>
      <c r="D413" s="258"/>
      <c r="E413" s="258"/>
      <c r="F413" s="258"/>
      <c r="G413" s="149"/>
      <c r="H413" s="259">
        <v>2</v>
      </c>
      <c r="I413" s="260"/>
      <c r="J413" s="261"/>
      <c r="K413" s="261"/>
      <c r="L413" s="261"/>
      <c r="M413" s="261"/>
      <c r="N413" s="262"/>
      <c r="O413" s="263"/>
      <c r="P413" s="261"/>
      <c r="Q413" s="261"/>
      <c r="R413" s="261"/>
      <c r="S413" s="261"/>
      <c r="T413" s="261"/>
      <c r="U413" s="262"/>
      <c r="V413" s="262"/>
      <c r="W413" s="260"/>
      <c r="X413" s="261"/>
      <c r="Y413" s="261"/>
      <c r="Z413" s="261"/>
      <c r="AA413" s="261"/>
      <c r="AB413" s="262"/>
      <c r="AC413" s="263"/>
      <c r="AD413" s="149" t="s">
        <v>728</v>
      </c>
      <c r="AJ413" t="s">
        <v>1733</v>
      </c>
    </row>
    <row r="414" spans="1:37" x14ac:dyDescent="0.25">
      <c r="A414" s="256" t="s">
        <v>745</v>
      </c>
      <c r="B414" s="257"/>
      <c r="C414" s="258"/>
      <c r="D414" s="258"/>
      <c r="E414" s="258"/>
      <c r="F414" s="258"/>
      <c r="G414" s="149"/>
      <c r="H414" s="259">
        <v>1</v>
      </c>
      <c r="I414" s="260"/>
      <c r="J414" s="261"/>
      <c r="K414" s="261"/>
      <c r="L414" s="261"/>
      <c r="M414" s="261"/>
      <c r="N414" s="262"/>
      <c r="O414" s="263"/>
      <c r="P414" s="261"/>
      <c r="Q414" s="261"/>
      <c r="R414" s="261"/>
      <c r="S414" s="261"/>
      <c r="T414" s="261"/>
      <c r="U414" s="262"/>
      <c r="V414" s="262"/>
      <c r="W414" s="260"/>
      <c r="X414" s="261"/>
      <c r="Y414" s="261"/>
      <c r="Z414" s="261"/>
      <c r="AA414" s="261"/>
      <c r="AB414" s="262"/>
      <c r="AC414" s="263"/>
      <c r="AD414" s="149" t="s">
        <v>728</v>
      </c>
      <c r="AJ414" t="s">
        <v>1734</v>
      </c>
    </row>
    <row r="415" spans="1:37" x14ac:dyDescent="0.25">
      <c r="A415" s="683" t="s">
        <v>1268</v>
      </c>
      <c r="B415" s="257"/>
      <c r="C415" s="258"/>
      <c r="D415" s="258"/>
      <c r="E415" s="258"/>
      <c r="F415" s="258"/>
      <c r="G415" s="149"/>
      <c r="H415" s="259"/>
      <c r="I415" s="260"/>
      <c r="J415" s="261"/>
      <c r="K415" s="261"/>
      <c r="L415" s="261"/>
      <c r="M415" s="261"/>
      <c r="N415" s="262"/>
      <c r="O415" s="263"/>
      <c r="P415" s="261"/>
      <c r="Q415" s="261"/>
      <c r="R415" s="261"/>
      <c r="S415" s="261"/>
      <c r="T415" s="261"/>
      <c r="U415" s="262"/>
      <c r="V415" s="262"/>
      <c r="W415" s="260"/>
      <c r="X415" s="261"/>
      <c r="Y415" s="261"/>
      <c r="Z415" s="261"/>
      <c r="AA415" s="261"/>
      <c r="AB415" s="262"/>
      <c r="AC415" s="263"/>
      <c r="AD415" s="149"/>
      <c r="AJ415" t="s">
        <v>1734</v>
      </c>
    </row>
    <row r="416" spans="1:37" x14ac:dyDescent="0.25">
      <c r="A416" s="256" t="s">
        <v>973</v>
      </c>
      <c r="B416" s="257"/>
      <c r="C416" s="258"/>
      <c r="D416" s="258"/>
      <c r="E416" s="258"/>
      <c r="F416" s="258"/>
      <c r="G416" s="149"/>
      <c r="H416" s="259">
        <v>1</v>
      </c>
      <c r="I416" s="260"/>
      <c r="J416" s="261"/>
      <c r="K416" s="261"/>
      <c r="L416" s="261"/>
      <c r="M416" s="261"/>
      <c r="N416" s="262"/>
      <c r="O416" s="263"/>
      <c r="P416" s="261"/>
      <c r="Q416" s="261"/>
      <c r="R416" s="261"/>
      <c r="S416" s="261"/>
      <c r="T416" s="261"/>
      <c r="U416" s="262"/>
      <c r="V416" s="262"/>
      <c r="W416" s="260"/>
      <c r="X416" s="261"/>
      <c r="Y416" s="261"/>
      <c r="Z416" s="261"/>
      <c r="AA416" s="261"/>
      <c r="AB416" s="262"/>
      <c r="AC416" s="263"/>
      <c r="AD416" s="149" t="s">
        <v>728</v>
      </c>
      <c r="AJ416" t="s">
        <v>1735</v>
      </c>
    </row>
    <row r="417" spans="1:36" x14ac:dyDescent="0.25">
      <c r="A417" s="256" t="s">
        <v>746</v>
      </c>
      <c r="B417" s="257"/>
      <c r="C417" s="258"/>
      <c r="D417" s="258"/>
      <c r="E417" s="258"/>
      <c r="F417" s="258"/>
      <c r="G417" s="149"/>
      <c r="H417" s="259">
        <v>2</v>
      </c>
      <c r="I417" s="260"/>
      <c r="J417" s="261"/>
      <c r="K417" s="261"/>
      <c r="L417" s="261"/>
      <c r="M417" s="261"/>
      <c r="N417" s="262"/>
      <c r="O417" s="263"/>
      <c r="P417" s="261"/>
      <c r="Q417" s="261"/>
      <c r="R417" s="261"/>
      <c r="S417" s="261"/>
      <c r="T417" s="261"/>
      <c r="U417" s="262"/>
      <c r="V417" s="262"/>
      <c r="W417" s="260"/>
      <c r="X417" s="261"/>
      <c r="Y417" s="261"/>
      <c r="Z417" s="261"/>
      <c r="AA417" s="261"/>
      <c r="AB417" s="262"/>
      <c r="AC417" s="263"/>
      <c r="AD417" s="149" t="s">
        <v>728</v>
      </c>
      <c r="AJ417" t="s">
        <v>1736</v>
      </c>
    </row>
    <row r="418" spans="1:36" x14ac:dyDescent="0.25">
      <c r="A418" s="256" t="s">
        <v>747</v>
      </c>
      <c r="B418" s="257"/>
      <c r="C418" s="258"/>
      <c r="D418" s="258"/>
      <c r="E418" s="258"/>
      <c r="F418" s="258"/>
      <c r="G418" s="149"/>
      <c r="H418" s="259">
        <v>1</v>
      </c>
      <c r="I418" s="260"/>
      <c r="J418" s="261"/>
      <c r="K418" s="261"/>
      <c r="L418" s="261"/>
      <c r="M418" s="261"/>
      <c r="N418" s="262"/>
      <c r="O418" s="263"/>
      <c r="P418" s="261"/>
      <c r="Q418" s="261"/>
      <c r="R418" s="261"/>
      <c r="S418" s="261"/>
      <c r="T418" s="261"/>
      <c r="U418" s="262"/>
      <c r="V418" s="262"/>
      <c r="W418" s="260"/>
      <c r="X418" s="261"/>
      <c r="Y418" s="261"/>
      <c r="Z418" s="261"/>
      <c r="AA418" s="261"/>
      <c r="AB418" s="262"/>
      <c r="AC418" s="263"/>
      <c r="AD418" s="149" t="s">
        <v>728</v>
      </c>
      <c r="AJ418" t="s">
        <v>1737</v>
      </c>
    </row>
    <row r="419" spans="1:36" x14ac:dyDescent="0.25">
      <c r="A419" s="256" t="s">
        <v>748</v>
      </c>
      <c r="B419" s="257"/>
      <c r="C419" s="258"/>
      <c r="D419" s="258"/>
      <c r="E419" s="258"/>
      <c r="F419" s="258"/>
      <c r="G419" s="149"/>
      <c r="H419" s="259">
        <v>1</v>
      </c>
      <c r="I419" s="260"/>
      <c r="J419" s="261"/>
      <c r="K419" s="261"/>
      <c r="L419" s="261"/>
      <c r="M419" s="261"/>
      <c r="N419" s="262"/>
      <c r="O419" s="263"/>
      <c r="P419" s="261"/>
      <c r="Q419" s="261"/>
      <c r="R419" s="261"/>
      <c r="S419" s="261"/>
      <c r="T419" s="261"/>
      <c r="U419" s="262"/>
      <c r="V419" s="262"/>
      <c r="W419" s="260"/>
      <c r="X419" s="261"/>
      <c r="Y419" s="261"/>
      <c r="Z419" s="261"/>
      <c r="AA419" s="261"/>
      <c r="AB419" s="262"/>
      <c r="AC419" s="263"/>
      <c r="AD419" s="149" t="s">
        <v>728</v>
      </c>
      <c r="AJ419" t="s">
        <v>1738</v>
      </c>
    </row>
    <row r="420" spans="1:36" x14ac:dyDescent="0.25">
      <c r="A420" s="256" t="s">
        <v>750</v>
      </c>
      <c r="B420" s="257"/>
      <c r="C420" s="258"/>
      <c r="D420" s="258"/>
      <c r="E420" s="258"/>
      <c r="F420" s="258"/>
      <c r="G420" s="149"/>
      <c r="H420" s="259">
        <v>1</v>
      </c>
      <c r="I420" s="260"/>
      <c r="J420" s="261"/>
      <c r="K420" s="261"/>
      <c r="L420" s="261"/>
      <c r="M420" s="261"/>
      <c r="N420" s="262"/>
      <c r="O420" s="263"/>
      <c r="P420" s="261"/>
      <c r="Q420" s="261"/>
      <c r="R420" s="261"/>
      <c r="S420" s="261"/>
      <c r="T420" s="261"/>
      <c r="U420" s="262"/>
      <c r="V420" s="262"/>
      <c r="W420" s="260"/>
      <c r="X420" s="261"/>
      <c r="Y420" s="261"/>
      <c r="Z420" s="261"/>
      <c r="AA420" s="261"/>
      <c r="AB420" s="262"/>
      <c r="AC420" s="263"/>
      <c r="AD420" s="149" t="s">
        <v>728</v>
      </c>
    </row>
    <row r="421" spans="1:36" x14ac:dyDescent="0.25">
      <c r="A421" s="256" t="s">
        <v>869</v>
      </c>
      <c r="B421" s="257"/>
      <c r="C421" s="258"/>
      <c r="D421" s="258"/>
      <c r="E421" s="258"/>
      <c r="F421" s="258"/>
      <c r="G421" s="149"/>
      <c r="H421" s="259">
        <v>2</v>
      </c>
      <c r="I421" s="260"/>
      <c r="J421" s="261"/>
      <c r="K421" s="261"/>
      <c r="L421" s="261"/>
      <c r="M421" s="261"/>
      <c r="N421" s="262"/>
      <c r="O421" s="263"/>
      <c r="P421" s="261"/>
      <c r="Q421" s="261"/>
      <c r="R421" s="261"/>
      <c r="S421" s="261"/>
      <c r="T421" s="261"/>
      <c r="U421" s="262"/>
      <c r="V421" s="262"/>
      <c r="W421" s="260"/>
      <c r="X421" s="261"/>
      <c r="Y421" s="261"/>
      <c r="Z421" s="261"/>
      <c r="AA421" s="261"/>
      <c r="AB421" s="262"/>
      <c r="AC421" s="263"/>
      <c r="AD421" s="149" t="s">
        <v>728</v>
      </c>
    </row>
    <row r="422" spans="1:36" x14ac:dyDescent="0.25">
      <c r="A422" s="256"/>
      <c r="B422" s="257"/>
      <c r="C422" s="258"/>
      <c r="D422" s="258"/>
      <c r="E422" s="258"/>
      <c r="F422" s="258"/>
      <c r="G422" s="149"/>
      <c r="H422" s="259"/>
      <c r="I422" s="257"/>
      <c r="J422" s="258"/>
      <c r="K422" s="258"/>
      <c r="L422" s="258"/>
      <c r="M422" s="258"/>
      <c r="N422" s="149"/>
      <c r="O422" s="259"/>
      <c r="P422" s="258"/>
      <c r="Q422" s="258"/>
      <c r="R422" s="258"/>
      <c r="S422" s="258"/>
      <c r="T422" s="258"/>
      <c r="U422" s="149"/>
      <c r="V422" s="149"/>
      <c r="W422" s="257"/>
      <c r="X422" s="258"/>
      <c r="Y422" s="258"/>
      <c r="Z422" s="258"/>
      <c r="AA422" s="258"/>
      <c r="AB422" s="149"/>
      <c r="AC422" s="259"/>
      <c r="AD422" s="149"/>
    </row>
    <row r="423" spans="1:36" x14ac:dyDescent="0.25">
      <c r="A423" s="559" t="s">
        <v>970</v>
      </c>
      <c r="B423" s="257"/>
      <c r="C423" s="258"/>
      <c r="D423" s="258"/>
      <c r="E423" s="258"/>
      <c r="F423" s="258"/>
      <c r="G423" s="149"/>
      <c r="H423" s="259">
        <v>1</v>
      </c>
      <c r="I423" s="260"/>
      <c r="J423" s="261"/>
      <c r="K423" s="261"/>
      <c r="L423" s="261"/>
      <c r="M423" s="261"/>
      <c r="N423" s="262"/>
      <c r="O423" s="263"/>
      <c r="P423" s="261"/>
      <c r="Q423" s="261"/>
      <c r="R423" s="261"/>
      <c r="S423" s="261"/>
      <c r="T423" s="261"/>
      <c r="U423" s="262"/>
      <c r="V423" s="262"/>
      <c r="W423" s="260"/>
      <c r="X423" s="261"/>
      <c r="Y423" s="261"/>
      <c r="Z423" s="261"/>
      <c r="AA423" s="261"/>
      <c r="AB423" s="262"/>
      <c r="AC423" s="263"/>
      <c r="AD423" s="149" t="s">
        <v>728</v>
      </c>
      <c r="AE423">
        <v>25</v>
      </c>
    </row>
    <row r="424" spans="1:36" x14ac:dyDescent="0.25">
      <c r="A424" s="975" t="s">
        <v>1069</v>
      </c>
      <c r="B424" s="257"/>
      <c r="C424" s="258"/>
      <c r="D424" s="258"/>
      <c r="E424" s="258"/>
      <c r="F424" s="258"/>
      <c r="G424" s="149"/>
      <c r="H424" s="259">
        <v>1</v>
      </c>
      <c r="I424" s="260"/>
      <c r="J424" s="261"/>
      <c r="K424" s="261"/>
      <c r="L424" s="261"/>
      <c r="M424" s="261"/>
      <c r="N424" s="262"/>
      <c r="O424" s="263"/>
      <c r="P424" s="261"/>
      <c r="Q424" s="261"/>
      <c r="R424" s="261"/>
      <c r="S424" s="261"/>
      <c r="T424" s="261"/>
      <c r="U424" s="262"/>
      <c r="V424" s="262"/>
      <c r="W424" s="260"/>
      <c r="X424" s="261"/>
      <c r="Y424" s="261"/>
      <c r="Z424" s="261"/>
      <c r="AA424" s="261"/>
      <c r="AB424" s="262"/>
      <c r="AC424" s="263"/>
      <c r="AD424" s="149" t="s">
        <v>728</v>
      </c>
      <c r="AE424">
        <v>25</v>
      </c>
      <c r="AJ424" t="s">
        <v>1739</v>
      </c>
    </row>
    <row r="425" spans="1:36" x14ac:dyDescent="0.25">
      <c r="A425" s="974" t="s">
        <v>1243</v>
      </c>
      <c r="B425" s="257"/>
      <c r="C425" s="258"/>
      <c r="D425" s="258"/>
      <c r="E425" s="258"/>
      <c r="F425" s="258"/>
      <c r="G425" s="149"/>
      <c r="H425" s="259">
        <v>1</v>
      </c>
      <c r="I425" s="260"/>
      <c r="J425" s="261"/>
      <c r="K425" s="261"/>
      <c r="L425" s="261"/>
      <c r="M425" s="261"/>
      <c r="N425" s="262"/>
      <c r="O425" s="263"/>
      <c r="P425" s="261"/>
      <c r="Q425" s="261"/>
      <c r="R425" s="261"/>
      <c r="S425" s="261"/>
      <c r="T425" s="261"/>
      <c r="U425" s="262"/>
      <c r="V425" s="262"/>
      <c r="W425" s="260"/>
      <c r="X425" s="261"/>
      <c r="Y425" s="261"/>
      <c r="Z425" s="261"/>
      <c r="AA425" s="261"/>
      <c r="AB425" s="262"/>
      <c r="AC425" s="263"/>
      <c r="AD425" s="149" t="s">
        <v>728</v>
      </c>
      <c r="AE425">
        <v>25</v>
      </c>
    </row>
    <row r="426" spans="1:36" x14ac:dyDescent="0.25">
      <c r="A426" s="256" t="s">
        <v>1194</v>
      </c>
      <c r="B426" s="257"/>
      <c r="C426" s="258"/>
      <c r="D426" s="258"/>
      <c r="E426" s="258"/>
      <c r="F426" s="258"/>
      <c r="G426" s="149"/>
      <c r="H426" s="259">
        <v>1</v>
      </c>
      <c r="I426" s="260"/>
      <c r="J426" s="261"/>
      <c r="K426" s="261"/>
      <c r="L426" s="261"/>
      <c r="M426" s="261"/>
      <c r="N426" s="262"/>
      <c r="O426" s="263"/>
      <c r="P426" s="261"/>
      <c r="Q426" s="261"/>
      <c r="R426" s="261"/>
      <c r="S426" s="261"/>
      <c r="T426" s="261"/>
      <c r="U426" s="262"/>
      <c r="V426" s="262"/>
      <c r="W426" s="260"/>
      <c r="X426" s="261"/>
      <c r="Y426" s="261"/>
      <c r="Z426" s="261"/>
      <c r="AA426" s="261"/>
      <c r="AB426" s="262"/>
      <c r="AC426" s="263"/>
      <c r="AD426" s="149" t="s">
        <v>728</v>
      </c>
      <c r="AE426">
        <v>25</v>
      </c>
    </row>
    <row r="427" spans="1:36" x14ac:dyDescent="0.25">
      <c r="A427" s="256" t="s">
        <v>1869</v>
      </c>
      <c r="B427" s="257"/>
      <c r="C427" s="258"/>
      <c r="D427" s="258"/>
      <c r="E427" s="258"/>
      <c r="F427" s="258"/>
      <c r="G427" s="149"/>
      <c r="H427" s="259">
        <v>1</v>
      </c>
      <c r="I427" s="260"/>
      <c r="J427" s="261"/>
      <c r="K427" s="261"/>
      <c r="L427" s="261"/>
      <c r="M427" s="261"/>
      <c r="N427" s="262"/>
      <c r="O427" s="263"/>
      <c r="P427" s="261"/>
      <c r="Q427" s="261"/>
      <c r="R427" s="261"/>
      <c r="S427" s="261"/>
      <c r="T427" s="261"/>
      <c r="U427" s="262"/>
      <c r="V427" s="262"/>
      <c r="W427" s="260"/>
      <c r="X427" s="261"/>
      <c r="Y427" s="261"/>
      <c r="Z427" s="261"/>
      <c r="AA427" s="261"/>
      <c r="AB427" s="262"/>
      <c r="AC427" s="263"/>
      <c r="AD427" s="149" t="s">
        <v>728</v>
      </c>
      <c r="AE427">
        <v>25</v>
      </c>
      <c r="AJ427" t="s">
        <v>1747</v>
      </c>
    </row>
    <row r="428" spans="1:36" x14ac:dyDescent="0.25">
      <c r="A428" s="256" t="s">
        <v>1870</v>
      </c>
      <c r="B428" s="257"/>
      <c r="C428" s="258"/>
      <c r="D428" s="258"/>
      <c r="E428" s="258"/>
      <c r="F428" s="258"/>
      <c r="G428" s="149"/>
      <c r="H428" s="259">
        <v>1</v>
      </c>
      <c r="I428" s="260"/>
      <c r="J428" s="261"/>
      <c r="K428" s="261"/>
      <c r="L428" s="261"/>
      <c r="M428" s="261"/>
      <c r="N428" s="262"/>
      <c r="O428" s="263"/>
      <c r="P428" s="261"/>
      <c r="Q428" s="261"/>
      <c r="R428" s="261"/>
      <c r="S428" s="261"/>
      <c r="T428" s="261"/>
      <c r="U428" s="262"/>
      <c r="V428" s="262"/>
      <c r="W428" s="260"/>
      <c r="X428" s="261"/>
      <c r="Y428" s="261"/>
      <c r="Z428" s="261"/>
      <c r="AA428" s="261"/>
      <c r="AB428" s="262"/>
      <c r="AC428" s="263"/>
      <c r="AD428" s="149" t="s">
        <v>728</v>
      </c>
      <c r="AE428">
        <v>25</v>
      </c>
    </row>
    <row r="429" spans="1:36" x14ac:dyDescent="0.25">
      <c r="A429" s="256" t="s">
        <v>1197</v>
      </c>
      <c r="B429" s="257"/>
      <c r="C429" s="258"/>
      <c r="D429" s="258"/>
      <c r="E429" s="258"/>
      <c r="F429" s="258"/>
      <c r="G429" s="149"/>
      <c r="H429" s="259">
        <v>1</v>
      </c>
      <c r="I429" s="260"/>
      <c r="J429" s="261"/>
      <c r="K429" s="261"/>
      <c r="L429" s="261"/>
      <c r="M429" s="261"/>
      <c r="N429" s="262"/>
      <c r="O429" s="263"/>
      <c r="P429" s="261"/>
      <c r="Q429" s="261"/>
      <c r="R429" s="261"/>
      <c r="S429" s="261"/>
      <c r="T429" s="261"/>
      <c r="U429" s="262"/>
      <c r="V429" s="262"/>
      <c r="W429" s="260"/>
      <c r="X429" s="261"/>
      <c r="Y429" s="261"/>
      <c r="Z429" s="261"/>
      <c r="AA429" s="261"/>
      <c r="AB429" s="262"/>
      <c r="AC429" s="263"/>
      <c r="AD429" s="149" t="s">
        <v>728</v>
      </c>
      <c r="AE429">
        <v>25</v>
      </c>
    </row>
    <row r="430" spans="1:36" x14ac:dyDescent="0.25">
      <c r="A430" s="256" t="s">
        <v>1198</v>
      </c>
      <c r="B430" s="257"/>
      <c r="C430" s="258"/>
      <c r="D430" s="258"/>
      <c r="E430" s="258"/>
      <c r="F430" s="258"/>
      <c r="G430" s="149"/>
      <c r="H430" s="259">
        <v>1</v>
      </c>
      <c r="I430" s="260"/>
      <c r="J430" s="261"/>
      <c r="K430" s="261"/>
      <c r="L430" s="261"/>
      <c r="M430" s="261"/>
      <c r="N430" s="262"/>
      <c r="O430" s="263"/>
      <c r="P430" s="261"/>
      <c r="Q430" s="261"/>
      <c r="R430" s="261"/>
      <c r="S430" s="261"/>
      <c r="T430" s="261"/>
      <c r="U430" s="262"/>
      <c r="V430" s="262"/>
      <c r="W430" s="260"/>
      <c r="X430" s="261"/>
      <c r="Y430" s="261"/>
      <c r="Z430" s="261"/>
      <c r="AA430" s="261"/>
      <c r="AB430" s="262"/>
      <c r="AC430" s="263"/>
      <c r="AD430" s="149" t="s">
        <v>728</v>
      </c>
      <c r="AE430">
        <v>25</v>
      </c>
      <c r="AJ430" t="s">
        <v>1749</v>
      </c>
    </row>
    <row r="431" spans="1:36" x14ac:dyDescent="0.25">
      <c r="A431" s="256" t="s">
        <v>1070</v>
      </c>
      <c r="B431" s="257"/>
      <c r="C431" s="258"/>
      <c r="D431" s="258"/>
      <c r="E431" s="258"/>
      <c r="F431" s="258"/>
      <c r="G431" s="149"/>
      <c r="H431" s="259">
        <v>1</v>
      </c>
      <c r="I431" s="260"/>
      <c r="J431" s="261"/>
      <c r="K431" s="261"/>
      <c r="L431" s="261"/>
      <c r="M431" s="261"/>
      <c r="N431" s="262"/>
      <c r="O431" s="263"/>
      <c r="P431" s="261"/>
      <c r="Q431" s="261"/>
      <c r="R431" s="261"/>
      <c r="S431" s="261"/>
      <c r="T431" s="261"/>
      <c r="U431" s="262"/>
      <c r="V431" s="262"/>
      <c r="W431" s="260"/>
      <c r="X431" s="261"/>
      <c r="Y431" s="261"/>
      <c r="Z431" s="261"/>
      <c r="AA431" s="261"/>
      <c r="AB431" s="262"/>
      <c r="AC431" s="263"/>
      <c r="AD431" s="149" t="s">
        <v>728</v>
      </c>
      <c r="AE431">
        <v>25</v>
      </c>
      <c r="AJ431" t="s">
        <v>1741</v>
      </c>
    </row>
    <row r="432" spans="1:36" x14ac:dyDescent="0.25">
      <c r="A432" s="256" t="s">
        <v>1842</v>
      </c>
      <c r="B432" s="257" t="s">
        <v>32</v>
      </c>
      <c r="C432" s="258"/>
      <c r="D432" s="258" t="s">
        <v>32</v>
      </c>
      <c r="E432" s="258"/>
      <c r="F432" s="258"/>
      <c r="G432" s="149"/>
      <c r="H432" s="259">
        <v>1</v>
      </c>
      <c r="I432" s="260"/>
      <c r="J432" s="261"/>
      <c r="K432" s="261"/>
      <c r="L432" s="261"/>
      <c r="M432" s="261"/>
      <c r="N432" s="262"/>
      <c r="O432" s="263"/>
      <c r="P432" s="261"/>
      <c r="Q432" s="261"/>
      <c r="R432" s="261"/>
      <c r="S432" s="261"/>
      <c r="T432" s="261"/>
      <c r="U432" s="262"/>
      <c r="V432" s="262"/>
      <c r="W432" s="260"/>
      <c r="X432" s="261"/>
      <c r="Y432" s="261"/>
      <c r="Z432" s="261"/>
      <c r="AA432" s="261"/>
      <c r="AB432" s="262"/>
      <c r="AC432" s="263"/>
      <c r="AD432" s="149" t="s">
        <v>728</v>
      </c>
      <c r="AE432">
        <v>25</v>
      </c>
    </row>
    <row r="433" spans="1:36" x14ac:dyDescent="0.25">
      <c r="A433" s="256" t="s">
        <v>1193</v>
      </c>
      <c r="B433" s="257"/>
      <c r="C433" s="258"/>
      <c r="D433" s="258"/>
      <c r="E433" s="258"/>
      <c r="F433" s="258"/>
      <c r="G433" s="149"/>
      <c r="H433" s="259">
        <v>1</v>
      </c>
      <c r="I433" s="260"/>
      <c r="J433" s="261"/>
      <c r="K433" s="261"/>
      <c r="L433" s="261"/>
      <c r="M433" s="261"/>
      <c r="N433" s="262"/>
      <c r="O433" s="263"/>
      <c r="P433" s="261"/>
      <c r="Q433" s="261"/>
      <c r="R433" s="261"/>
      <c r="S433" s="261"/>
      <c r="T433" s="261"/>
      <c r="U433" s="262"/>
      <c r="V433" s="262"/>
      <c r="W433" s="260"/>
      <c r="X433" s="261"/>
      <c r="Y433" s="261"/>
      <c r="Z433" s="261"/>
      <c r="AA433" s="261"/>
      <c r="AB433" s="262"/>
      <c r="AC433" s="263"/>
      <c r="AD433" s="149" t="s">
        <v>728</v>
      </c>
      <c r="AE433">
        <v>25</v>
      </c>
      <c r="AJ433" t="s">
        <v>1746</v>
      </c>
    </row>
    <row r="434" spans="1:36" x14ac:dyDescent="0.25">
      <c r="A434" s="256" t="s">
        <v>1073</v>
      </c>
      <c r="B434" s="257" t="s">
        <v>23</v>
      </c>
      <c r="C434" s="258"/>
      <c r="D434" s="258" t="s">
        <v>32</v>
      </c>
      <c r="E434" s="258"/>
      <c r="F434" s="258"/>
      <c r="G434" s="149"/>
      <c r="H434" s="259">
        <v>1</v>
      </c>
      <c r="I434" s="260"/>
      <c r="J434" s="261"/>
      <c r="K434" s="261"/>
      <c r="L434" s="261"/>
      <c r="M434" s="261"/>
      <c r="N434" s="262"/>
      <c r="O434" s="263"/>
      <c r="P434" s="261"/>
      <c r="Q434" s="261"/>
      <c r="R434" s="261"/>
      <c r="S434" s="261"/>
      <c r="T434" s="261"/>
      <c r="U434" s="262"/>
      <c r="V434" s="262"/>
      <c r="W434" s="260"/>
      <c r="X434" s="261"/>
      <c r="Y434" s="261"/>
      <c r="Z434" s="261"/>
      <c r="AA434" s="261"/>
      <c r="AB434" s="262"/>
      <c r="AC434" s="263"/>
      <c r="AD434" s="149" t="s">
        <v>968</v>
      </c>
      <c r="AE434">
        <v>25</v>
      </c>
      <c r="AJ434" t="s">
        <v>1740</v>
      </c>
    </row>
    <row r="435" spans="1:36" x14ac:dyDescent="0.25">
      <c r="A435" s="256" t="s">
        <v>1071</v>
      </c>
      <c r="B435" s="257"/>
      <c r="C435" s="258"/>
      <c r="D435" s="258"/>
      <c r="E435" s="258"/>
      <c r="F435" s="258"/>
      <c r="G435" s="149"/>
      <c r="H435" s="259">
        <v>1</v>
      </c>
      <c r="I435" s="260"/>
      <c r="J435" s="261"/>
      <c r="K435" s="261"/>
      <c r="L435" s="261"/>
      <c r="M435" s="261"/>
      <c r="N435" s="262"/>
      <c r="O435" s="263"/>
      <c r="P435" s="261"/>
      <c r="Q435" s="261"/>
      <c r="R435" s="261"/>
      <c r="S435" s="261"/>
      <c r="T435" s="261"/>
      <c r="U435" s="262"/>
      <c r="V435" s="262"/>
      <c r="W435" s="260"/>
      <c r="X435" s="261"/>
      <c r="Y435" s="261"/>
      <c r="Z435" s="261"/>
      <c r="AA435" s="261"/>
      <c r="AB435" s="262"/>
      <c r="AC435" s="263"/>
      <c r="AD435" s="149" t="s">
        <v>728</v>
      </c>
      <c r="AE435">
        <v>25</v>
      </c>
      <c r="AJ435" t="s">
        <v>1742</v>
      </c>
    </row>
    <row r="436" spans="1:36" x14ac:dyDescent="0.25">
      <c r="A436" s="973" t="s">
        <v>1269</v>
      </c>
      <c r="B436" s="257"/>
      <c r="C436" s="258"/>
      <c r="D436" s="258"/>
      <c r="E436" s="258"/>
      <c r="F436" s="258"/>
      <c r="G436" s="149"/>
      <c r="H436" s="259"/>
      <c r="I436" s="260"/>
      <c r="J436" s="261"/>
      <c r="K436" s="261"/>
      <c r="L436" s="261"/>
      <c r="M436" s="261"/>
      <c r="N436" s="262"/>
      <c r="O436" s="263"/>
      <c r="P436" s="261"/>
      <c r="Q436" s="261"/>
      <c r="R436" s="261"/>
      <c r="S436" s="261"/>
      <c r="T436" s="261"/>
      <c r="U436" s="262"/>
      <c r="V436" s="262"/>
      <c r="W436" s="260"/>
      <c r="X436" s="261"/>
      <c r="Y436" s="261"/>
      <c r="Z436" s="261"/>
      <c r="AA436" s="261"/>
      <c r="AB436" s="262"/>
      <c r="AC436" s="263"/>
      <c r="AD436" s="149"/>
    </row>
    <row r="437" spans="1:36" x14ac:dyDescent="0.25">
      <c r="A437" s="256" t="s">
        <v>1196</v>
      </c>
      <c r="B437" s="257"/>
      <c r="C437" s="258"/>
      <c r="D437" s="258"/>
      <c r="E437" s="258"/>
      <c r="F437" s="258"/>
      <c r="G437" s="149"/>
      <c r="H437" s="259">
        <v>1</v>
      </c>
      <c r="I437" s="260"/>
      <c r="J437" s="261"/>
      <c r="K437" s="261"/>
      <c r="L437" s="261"/>
      <c r="M437" s="261"/>
      <c r="N437" s="262"/>
      <c r="O437" s="263"/>
      <c r="P437" s="261"/>
      <c r="Q437" s="261"/>
      <c r="R437" s="261"/>
      <c r="S437" s="261"/>
      <c r="T437" s="261"/>
      <c r="U437" s="262"/>
      <c r="V437" s="262"/>
      <c r="W437" s="260"/>
      <c r="X437" s="261"/>
      <c r="Y437" s="261"/>
      <c r="Z437" s="261"/>
      <c r="AA437" s="261"/>
      <c r="AB437" s="262"/>
      <c r="AC437" s="263"/>
      <c r="AD437" s="149" t="s">
        <v>728</v>
      </c>
      <c r="AE437">
        <v>25</v>
      </c>
      <c r="AJ437" t="s">
        <v>1748</v>
      </c>
    </row>
    <row r="438" spans="1:36" x14ac:dyDescent="0.25">
      <c r="A438" s="256" t="s">
        <v>1072</v>
      </c>
      <c r="B438" s="257"/>
      <c r="C438" s="258"/>
      <c r="D438" s="258"/>
      <c r="E438" s="258"/>
      <c r="F438" s="258"/>
      <c r="G438" s="149"/>
      <c r="H438" s="259">
        <v>2</v>
      </c>
      <c r="I438" s="260"/>
      <c r="J438" s="261"/>
      <c r="K438" s="261"/>
      <c r="L438" s="261"/>
      <c r="M438" s="261"/>
      <c r="N438" s="262"/>
      <c r="O438" s="263"/>
      <c r="P438" s="261"/>
      <c r="Q438" s="261"/>
      <c r="R438" s="261"/>
      <c r="S438" s="261"/>
      <c r="T438" s="261"/>
      <c r="U438" s="262"/>
      <c r="V438" s="262"/>
      <c r="W438" s="260"/>
      <c r="X438" s="261"/>
      <c r="Y438" s="261"/>
      <c r="Z438" s="261"/>
      <c r="AA438" s="261"/>
      <c r="AB438" s="262"/>
      <c r="AC438" s="263"/>
      <c r="AD438" s="149" t="s">
        <v>728</v>
      </c>
      <c r="AE438">
        <v>25</v>
      </c>
      <c r="AJ438" t="s">
        <v>1743</v>
      </c>
    </row>
    <row r="439" spans="1:36" x14ac:dyDescent="0.25">
      <c r="A439" s="256" t="s">
        <v>1199</v>
      </c>
      <c r="B439" s="257"/>
      <c r="C439" s="258"/>
      <c r="D439" s="258"/>
      <c r="E439" s="258"/>
      <c r="F439" s="258"/>
      <c r="G439" s="149"/>
      <c r="H439" s="259">
        <v>1</v>
      </c>
      <c r="I439" s="260"/>
      <c r="J439" s="261"/>
      <c r="K439" s="261"/>
      <c r="L439" s="261"/>
      <c r="M439" s="261"/>
      <c r="N439" s="262"/>
      <c r="O439" s="263"/>
      <c r="P439" s="261"/>
      <c r="Q439" s="261"/>
      <c r="R439" s="261"/>
      <c r="S439" s="261"/>
      <c r="T439" s="261"/>
      <c r="U439" s="262"/>
      <c r="V439" s="262"/>
      <c r="W439" s="260"/>
      <c r="X439" s="261"/>
      <c r="Y439" s="261"/>
      <c r="Z439" s="261"/>
      <c r="AA439" s="261"/>
      <c r="AB439" s="262"/>
      <c r="AC439" s="263"/>
      <c r="AD439" s="149" t="s">
        <v>728</v>
      </c>
      <c r="AE439">
        <v>25</v>
      </c>
      <c r="AJ439" t="s">
        <v>1744</v>
      </c>
    </row>
    <row r="440" spans="1:36" x14ac:dyDescent="0.25">
      <c r="A440" s="256" t="s">
        <v>1192</v>
      </c>
      <c r="B440" s="257"/>
      <c r="C440" s="258"/>
      <c r="D440" s="258"/>
      <c r="E440" s="258"/>
      <c r="F440" s="258"/>
      <c r="G440" s="149"/>
      <c r="H440" s="259">
        <v>1</v>
      </c>
      <c r="I440" s="260"/>
      <c r="J440" s="261"/>
      <c r="K440" s="261"/>
      <c r="L440" s="261"/>
      <c r="M440" s="261"/>
      <c r="N440" s="262"/>
      <c r="O440" s="263"/>
      <c r="P440" s="261"/>
      <c r="Q440" s="261"/>
      <c r="R440" s="261"/>
      <c r="S440" s="261"/>
      <c r="T440" s="261"/>
      <c r="U440" s="262"/>
      <c r="V440" s="262"/>
      <c r="W440" s="260"/>
      <c r="X440" s="261"/>
      <c r="Y440" s="261"/>
      <c r="Z440" s="261"/>
      <c r="AA440" s="261"/>
      <c r="AB440" s="262"/>
      <c r="AC440" s="263"/>
      <c r="AD440" s="149" t="s">
        <v>728</v>
      </c>
      <c r="AE440">
        <v>25</v>
      </c>
      <c r="AJ440" t="s">
        <v>1745</v>
      </c>
    </row>
    <row r="441" spans="1:36" x14ac:dyDescent="0.25">
      <c r="A441" s="256" t="s">
        <v>729</v>
      </c>
      <c r="B441" s="257"/>
      <c r="C441" s="258"/>
      <c r="D441" s="258"/>
      <c r="E441" s="258"/>
      <c r="F441" s="258"/>
      <c r="G441" s="149"/>
      <c r="H441" s="259">
        <v>1</v>
      </c>
      <c r="I441" s="260"/>
      <c r="J441" s="261"/>
      <c r="K441" s="261"/>
      <c r="L441" s="261"/>
      <c r="M441" s="261"/>
      <c r="N441" s="262"/>
      <c r="O441" s="263"/>
      <c r="P441" s="261"/>
      <c r="Q441" s="261"/>
      <c r="R441" s="261"/>
      <c r="S441" s="261"/>
      <c r="T441" s="261"/>
      <c r="U441" s="262"/>
      <c r="V441" s="262"/>
      <c r="W441" s="260"/>
      <c r="X441" s="261"/>
      <c r="Y441" s="261"/>
      <c r="Z441" s="261"/>
      <c r="AA441" s="261"/>
      <c r="AB441" s="262"/>
      <c r="AC441" s="263"/>
      <c r="AD441" s="149" t="s">
        <v>969</v>
      </c>
      <c r="AE441">
        <v>25</v>
      </c>
    </row>
  </sheetData>
  <sortState xmlns:xlrd2="http://schemas.microsoft.com/office/spreadsheetml/2017/richdata2" ref="A423:AJ441">
    <sortCondition ref="A423:A441"/>
  </sortState>
  <mergeCells count="1">
    <mergeCell ref="AJ1:AM1"/>
  </mergeCells>
  <pageMargins left="0.70000000000000007" right="0.70000000000000007" top="0.75" bottom="0.75" header="0.30000000000000004" footer="0.3000000000000000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7FE9F-D3C5-4238-9455-281B5E268482}">
  <dimension ref="B1:AP39"/>
  <sheetViews>
    <sheetView zoomScaleNormal="100" workbookViewId="0">
      <selection activeCell="J16" sqref="J16"/>
    </sheetView>
  </sheetViews>
  <sheetFormatPr defaultRowHeight="15" x14ac:dyDescent="0.25"/>
  <cols>
    <col min="1" max="1" width="2.140625" customWidth="1"/>
    <col min="2" max="2" width="2.85546875" customWidth="1"/>
    <col min="3" max="3" width="23.5703125" customWidth="1"/>
    <col min="4" max="4" width="2.7109375" bestFit="1" customWidth="1"/>
    <col min="5" max="5" width="1.42578125" customWidth="1"/>
    <col min="6" max="6" width="11.85546875" customWidth="1"/>
    <col min="7" max="7" width="3.7109375" customWidth="1"/>
    <col min="8" max="8" width="1.42578125" customWidth="1"/>
    <col min="9" max="9" width="2.85546875" customWidth="1"/>
    <col min="10" max="10" width="23.5703125" customWidth="1"/>
    <col min="11" max="11" width="3" bestFit="1" customWidth="1"/>
    <col min="12" max="12" width="1.42578125" customWidth="1"/>
    <col min="13" max="13" width="12.28515625" customWidth="1"/>
    <col min="14" max="14" width="3.7109375" customWidth="1"/>
    <col min="15" max="15" width="1.42578125" customWidth="1"/>
    <col min="16" max="16" width="2.85546875" customWidth="1"/>
    <col min="17" max="17" width="23.5703125" customWidth="1"/>
    <col min="18" max="18" width="3" bestFit="1" customWidth="1"/>
    <col min="19" max="19" width="1.42578125" customWidth="1"/>
    <col min="20" max="20" width="12.28515625" customWidth="1"/>
    <col min="21" max="21" width="3.7109375" customWidth="1"/>
    <col min="22" max="22" width="3" bestFit="1" customWidth="1"/>
    <col min="23" max="39" width="4.7109375" customWidth="1"/>
    <col min="40" max="40" width="3.28515625" customWidth="1"/>
    <col min="41" max="41" width="5.28515625" customWidth="1"/>
    <col min="42" max="42" width="4.7109375" customWidth="1"/>
  </cols>
  <sheetData>
    <row r="1" spans="2:42" ht="21" x14ac:dyDescent="0.35">
      <c r="B1" s="431" t="s">
        <v>1092</v>
      </c>
      <c r="Q1" s="433"/>
      <c r="R1" s="433"/>
      <c r="S1" s="433"/>
      <c r="T1" s="434" t="str">
        <f>Order!A6</f>
        <v>Week 12</v>
      </c>
      <c r="W1" s="431" t="s">
        <v>1092</v>
      </c>
      <c r="AL1" s="433" t="s">
        <v>1093</v>
      </c>
      <c r="AM1" s="433"/>
      <c r="AN1" s="433"/>
      <c r="AO1" s="434">
        <v>16</v>
      </c>
    </row>
    <row r="2" spans="2:42" ht="9.75" customHeight="1" x14ac:dyDescent="0.35">
      <c r="B2" s="431"/>
      <c r="Q2" s="433"/>
      <c r="R2" s="433"/>
      <c r="S2" s="433"/>
      <c r="T2" s="434"/>
      <c r="W2" s="431"/>
      <c r="AL2" s="433"/>
      <c r="AM2" s="433"/>
      <c r="AN2" s="433"/>
      <c r="AO2" s="434"/>
    </row>
    <row r="3" spans="2:42" ht="15" customHeight="1" x14ac:dyDescent="0.35">
      <c r="B3" s="431"/>
      <c r="D3" s="460"/>
      <c r="G3" s="512" t="s">
        <v>1095</v>
      </c>
      <c r="N3" s="512" t="s">
        <v>1095</v>
      </c>
      <c r="O3" s="429"/>
      <c r="Q3" s="433"/>
      <c r="R3" s="433"/>
      <c r="S3" s="433"/>
      <c r="T3" s="434"/>
      <c r="U3" s="512" t="s">
        <v>1095</v>
      </c>
      <c r="W3" s="431"/>
      <c r="Y3" s="460"/>
      <c r="AB3" s="512" t="s">
        <v>1095</v>
      </c>
      <c r="AI3" s="512" t="s">
        <v>1095</v>
      </c>
      <c r="AJ3" s="429"/>
      <c r="AL3" s="433"/>
      <c r="AM3" s="433"/>
      <c r="AN3" s="433"/>
      <c r="AO3" s="434"/>
      <c r="AP3" s="512" t="s">
        <v>1095</v>
      </c>
    </row>
    <row r="4" spans="2:42" x14ac:dyDescent="0.25">
      <c r="B4" s="426">
        <v>1</v>
      </c>
      <c r="C4" s="445" t="str">
        <f>_xlfn.XLOOKUP(B4,Order!$V$46:$V$859,Order!$C$46:$C$859,"")</f>
        <v>Hippuris vulgaris</v>
      </c>
      <c r="D4" s="508">
        <f>_xlfn.XLOOKUP(B4,Order!$V$46:$V$859,Order!$T$46:$T$859,"")</f>
        <v>25</v>
      </c>
      <c r="E4" s="436">
        <f t="shared" ref="E4:E18" si="0">IF(C4=X4,0,1)</f>
        <v>1</v>
      </c>
      <c r="F4" s="442" t="str">
        <f>_xlfn.XLOOKUP(B4,Order!$V$46:$V$859,Order!$P$46:$P$859,"")</f>
        <v>1L Oxygenators</v>
      </c>
      <c r="G4" s="448" t="s">
        <v>1083</v>
      </c>
      <c r="H4" s="421"/>
      <c r="I4" s="479">
        <v>38</v>
      </c>
      <c r="J4" s="445" t="str">
        <f>_xlfn.XLOOKUP(I4,Order!$V$46:$V$859,Order!$C$46:$C$859,"")</f>
        <v>Assorted 2L Floating Island</v>
      </c>
      <c r="K4" s="505">
        <f>_xlfn.XLOOKUP(I4,Order!$V$46:$V$859,Order!$T$46:$T$859,"")</f>
        <v>35</v>
      </c>
      <c r="L4" s="436">
        <f t="shared" ref="L4:L14" si="1">IF(J4=AE4,0,1)</f>
        <v>1</v>
      </c>
      <c r="M4" s="439" t="str">
        <f>_xlfn.XLOOKUP(I4,Order!$V$46:$V$859,Order!$P$46:$P$859,"")</f>
        <v>2L with Floating Island</v>
      </c>
      <c r="N4" s="448" t="s">
        <v>1083</v>
      </c>
      <c r="O4" s="421"/>
      <c r="P4" s="426">
        <v>39</v>
      </c>
      <c r="Q4" s="445" t="str">
        <f>_xlfn.XLOOKUP(P4,Order!$V$46:$V$859,Order!$C$46:$C$859,"")</f>
        <v>Acorus gramineus 'Ogon'</v>
      </c>
      <c r="R4" s="505">
        <f>_xlfn.XLOOKUP(P4,Order!$V$46:$V$859,Order!$T$46:$T$859,"")</f>
        <v>35</v>
      </c>
      <c r="S4" s="436">
        <f>IF(Q4=AL4,0,1)</f>
        <v>1</v>
      </c>
      <c r="T4" s="439" t="str">
        <f>_xlfn.XLOOKUP(P4,Order!$V$46:$V$859,Order!$P$46:$P$859,"")</f>
        <v>1L Marginals</v>
      </c>
      <c r="U4" s="448" t="s">
        <v>1083</v>
      </c>
      <c r="W4" s="426">
        <v>1</v>
      </c>
      <c r="X4" s="445" t="s">
        <v>1130</v>
      </c>
      <c r="Y4" s="508" t="s">
        <v>1130</v>
      </c>
      <c r="Z4" s="436">
        <v>0</v>
      </c>
      <c r="AA4" s="442" t="s">
        <v>1130</v>
      </c>
      <c r="AB4" s="448" t="s">
        <v>1083</v>
      </c>
      <c r="AC4" s="421"/>
      <c r="AD4" s="479">
        <v>16</v>
      </c>
      <c r="AE4" s="445" t="s">
        <v>43</v>
      </c>
      <c r="AF4" s="505">
        <v>35</v>
      </c>
      <c r="AG4" s="436">
        <v>0</v>
      </c>
      <c r="AH4" s="439" t="s">
        <v>24</v>
      </c>
      <c r="AI4" s="448" t="s">
        <v>1083</v>
      </c>
      <c r="AJ4" s="421"/>
      <c r="AK4" s="426">
        <v>17</v>
      </c>
      <c r="AL4" s="445" t="s">
        <v>69</v>
      </c>
      <c r="AM4" s="505">
        <v>35</v>
      </c>
      <c r="AN4" s="436">
        <v>0</v>
      </c>
      <c r="AO4" s="439" t="s">
        <v>24</v>
      </c>
      <c r="AP4" s="448" t="s">
        <v>1083</v>
      </c>
    </row>
    <row r="5" spans="2:42" x14ac:dyDescent="0.25">
      <c r="B5" s="427">
        <v>2</v>
      </c>
      <c r="C5" s="446" t="str">
        <f>_xlfn.XLOOKUP(B5,Order!$V$46:$V$859,Order!$C$46:$C$859,"")</f>
        <v>Hydrocotyle Novae-Zeelandiae</v>
      </c>
      <c r="D5" s="509">
        <f>_xlfn.XLOOKUP(B5,Order!$V$46:$V$859,Order!$T$46:$T$859,"")</f>
        <v>25</v>
      </c>
      <c r="E5" s="437">
        <f t="shared" si="0"/>
        <v>1</v>
      </c>
      <c r="F5" s="443" t="str">
        <f>_xlfn.XLOOKUP(B5,Order!$V$46:$V$859,Order!$P$46:$P$859,"")</f>
        <v>1L Oxygenators</v>
      </c>
      <c r="G5" s="449" t="s">
        <v>1083</v>
      </c>
      <c r="H5" s="421"/>
      <c r="I5" s="480">
        <v>37</v>
      </c>
      <c r="J5" s="446" t="str">
        <f>_xlfn.XLOOKUP(I5,Order!$V$46:$V$859,Order!$C$46:$C$859,"")</f>
        <v>Hippuris vulgaris</v>
      </c>
      <c r="K5" s="506">
        <f>_xlfn.XLOOKUP(I5,Order!$V$46:$V$859,Order!$T$46:$T$859,"")</f>
        <v>30</v>
      </c>
      <c r="L5" s="437">
        <f t="shared" si="1"/>
        <v>1</v>
      </c>
      <c r="M5" s="440" t="str">
        <f>_xlfn.XLOOKUP(I5,Order!$V$46:$V$859,Order!$P$46:$P$859,"")</f>
        <v>Gardeners Choice Oxygenators</v>
      </c>
      <c r="N5" s="449" t="s">
        <v>1083</v>
      </c>
      <c r="O5" s="421"/>
      <c r="P5" s="427">
        <v>40</v>
      </c>
      <c r="Q5" s="446" t="str">
        <f>_xlfn.XLOOKUP(P5,Order!$V$46:$V$859,Order!$C$46:$C$859,"")</f>
        <v>Alisma plantago</v>
      </c>
      <c r="R5" s="506">
        <f>_xlfn.XLOOKUP(P5,Order!$V$46:$V$859,Order!$T$46:$T$859,"")</f>
        <v>35</v>
      </c>
      <c r="S5" s="437">
        <f t="shared" ref="S5:S18" si="2">IF(Q5=AL5,0,1)</f>
        <v>1</v>
      </c>
      <c r="T5" s="440" t="str">
        <f>_xlfn.XLOOKUP(P5,Order!$V$46:$V$859,Order!$P$46:$P$859,"")</f>
        <v>1L Marginals</v>
      </c>
      <c r="U5" s="449" t="s">
        <v>1083</v>
      </c>
      <c r="W5" s="427">
        <v>2</v>
      </c>
      <c r="X5" s="446" t="s">
        <v>1077</v>
      </c>
      <c r="Y5" s="509">
        <v>25</v>
      </c>
      <c r="Z5" s="437">
        <v>0</v>
      </c>
      <c r="AA5" s="443" t="s">
        <v>467</v>
      </c>
      <c r="AB5" s="449" t="s">
        <v>1083</v>
      </c>
      <c r="AC5" s="421"/>
      <c r="AD5" s="480">
        <v>18</v>
      </c>
      <c r="AE5" s="446" t="s">
        <v>75</v>
      </c>
      <c r="AF5" s="506">
        <v>45</v>
      </c>
      <c r="AG5" s="437">
        <v>0</v>
      </c>
      <c r="AH5" s="440" t="s">
        <v>24</v>
      </c>
      <c r="AI5" s="449" t="s">
        <v>1083</v>
      </c>
      <c r="AJ5" s="421"/>
      <c r="AK5" s="427">
        <v>19</v>
      </c>
      <c r="AL5" s="446" t="s">
        <v>131</v>
      </c>
      <c r="AM5" s="506">
        <v>25</v>
      </c>
      <c r="AN5" s="437">
        <v>0</v>
      </c>
      <c r="AO5" s="440" t="s">
        <v>24</v>
      </c>
      <c r="AP5" s="449" t="s">
        <v>1083</v>
      </c>
    </row>
    <row r="6" spans="2:42" x14ac:dyDescent="0.25">
      <c r="B6" s="427">
        <v>3</v>
      </c>
      <c r="C6" s="446" t="str">
        <f>_xlfn.XLOOKUP(B6,Order!$V$46:$V$859,Order!$C$46:$C$859,"")</f>
        <v>Hydrocotyle var.</v>
      </c>
      <c r="D6" s="509">
        <f>_xlfn.XLOOKUP(B6,Order!$V$46:$V$859,Order!$T$46:$T$859,"")</f>
        <v>25</v>
      </c>
      <c r="E6" s="437">
        <f t="shared" si="0"/>
        <v>1</v>
      </c>
      <c r="F6" s="443" t="str">
        <f>_xlfn.XLOOKUP(B6,Order!$V$46:$V$859,Order!$P$46:$P$859,"")</f>
        <v>1L Oxygenators</v>
      </c>
      <c r="G6" s="449" t="s">
        <v>1083</v>
      </c>
      <c r="H6" s="421"/>
      <c r="I6" s="480">
        <v>36</v>
      </c>
      <c r="J6" s="446" t="str">
        <f>_xlfn.XLOOKUP(I6,Order!$V$46:$V$859,Order!$C$46:$C$859,"")</f>
        <v>Hydrocotyle Vulgaris</v>
      </c>
      <c r="K6" s="506">
        <f>_xlfn.XLOOKUP(I6,Order!$V$46:$V$859,Order!$T$46:$T$859,"")</f>
        <v>30</v>
      </c>
      <c r="L6" s="437">
        <f t="shared" si="1"/>
        <v>1</v>
      </c>
      <c r="M6" s="440" t="str">
        <f>_xlfn.XLOOKUP(I6,Order!$V$46:$V$859,Order!$P$46:$P$859,"")</f>
        <v>Gardeners Choice Oxygenators</v>
      </c>
      <c r="N6" s="449" t="s">
        <v>1083</v>
      </c>
      <c r="O6" s="421"/>
      <c r="P6" s="427">
        <v>41</v>
      </c>
      <c r="Q6" s="446" t="str">
        <f>_xlfn.XLOOKUP(P6,Order!$V$46:$V$859,Order!$C$46:$C$859,"")</f>
        <v>Carex pendula</v>
      </c>
      <c r="R6" s="506">
        <f>_xlfn.XLOOKUP(P6,Order!$V$46:$V$859,Order!$T$46:$T$859,"")</f>
        <v>35</v>
      </c>
      <c r="S6" s="437">
        <f t="shared" si="2"/>
        <v>1</v>
      </c>
      <c r="T6" s="440" t="str">
        <f>_xlfn.XLOOKUP(P6,Order!$V$46:$V$859,Order!$P$46:$P$859,"")</f>
        <v>1L Marginals</v>
      </c>
      <c r="U6" s="449" t="s">
        <v>1083</v>
      </c>
      <c r="W6" s="427">
        <v>3</v>
      </c>
      <c r="X6" s="446" t="s">
        <v>472</v>
      </c>
      <c r="Y6" s="509">
        <v>25</v>
      </c>
      <c r="Z6" s="437">
        <v>0</v>
      </c>
      <c r="AA6" s="443" t="s">
        <v>467</v>
      </c>
      <c r="AB6" s="449" t="s">
        <v>1083</v>
      </c>
      <c r="AC6" s="421"/>
      <c r="AD6" s="480">
        <v>20</v>
      </c>
      <c r="AE6" s="446" t="s">
        <v>140</v>
      </c>
      <c r="AF6" s="506">
        <v>35</v>
      </c>
      <c r="AG6" s="437">
        <v>0</v>
      </c>
      <c r="AH6" s="440" t="s">
        <v>24</v>
      </c>
      <c r="AI6" s="449" t="s">
        <v>1083</v>
      </c>
      <c r="AJ6" s="421"/>
      <c r="AK6" s="427">
        <v>21</v>
      </c>
      <c r="AL6" s="446" t="s">
        <v>146</v>
      </c>
      <c r="AM6" s="506">
        <v>35</v>
      </c>
      <c r="AN6" s="437">
        <v>0</v>
      </c>
      <c r="AO6" s="440" t="s">
        <v>24</v>
      </c>
      <c r="AP6" s="449" t="s">
        <v>1083</v>
      </c>
    </row>
    <row r="7" spans="2:42" x14ac:dyDescent="0.25">
      <c r="B7" s="427">
        <v>4</v>
      </c>
      <c r="C7" s="446" t="str">
        <f>_xlfn.XLOOKUP(B7,Order!$V$46:$V$859,Order!$C$46:$C$859,"")</f>
        <v>Hydrocotyle Vulgaris</v>
      </c>
      <c r="D7" s="509">
        <f>_xlfn.XLOOKUP(B7,Order!$V$46:$V$859,Order!$T$46:$T$859,"")</f>
        <v>25</v>
      </c>
      <c r="E7" s="437">
        <f t="shared" si="0"/>
        <v>1</v>
      </c>
      <c r="F7" s="443" t="str">
        <f>_xlfn.XLOOKUP(B7,Order!$V$46:$V$859,Order!$P$46:$P$859,"")</f>
        <v>1L Oxygenators</v>
      </c>
      <c r="G7" s="449" t="s">
        <v>1083</v>
      </c>
      <c r="H7" s="421"/>
      <c r="I7" s="480">
        <v>35</v>
      </c>
      <c r="J7" s="446" t="str">
        <f>_xlfn.XLOOKUP(I7,Order!$V$46:$V$859,Order!$C$46:$C$859,"")</f>
        <v>Lilaeopsis brasilensis</v>
      </c>
      <c r="K7" s="506">
        <f>_xlfn.XLOOKUP(I7,Order!$V$46:$V$859,Order!$T$46:$T$859,"")</f>
        <v>30</v>
      </c>
      <c r="L7" s="437">
        <f t="shared" si="1"/>
        <v>1</v>
      </c>
      <c r="M7" s="440" t="str">
        <f>_xlfn.XLOOKUP(I7,Order!$V$46:$V$859,Order!$P$46:$P$859,"")</f>
        <v>Gardeners Choice Oxygenators</v>
      </c>
      <c r="N7" s="449" t="s">
        <v>1083</v>
      </c>
      <c r="O7" s="421"/>
      <c r="P7" s="427">
        <v>42</v>
      </c>
      <c r="Q7" s="446" t="str">
        <f>_xlfn.XLOOKUP(P7,Order!$V$46:$V$859,Order!$C$46:$C$859,"")</f>
        <v>Houttuynia cordata</v>
      </c>
      <c r="R7" s="506">
        <f>_xlfn.XLOOKUP(P7,Order!$V$46:$V$859,Order!$T$46:$T$859,"")</f>
        <v>25</v>
      </c>
      <c r="S7" s="437">
        <f t="shared" si="2"/>
        <v>1</v>
      </c>
      <c r="T7" s="440" t="str">
        <f>_xlfn.XLOOKUP(P7,Order!$V$46:$V$859,Order!$P$46:$P$859,"")</f>
        <v>1L Marginals</v>
      </c>
      <c r="U7" s="449" t="s">
        <v>1083</v>
      </c>
      <c r="W7" s="427">
        <v>4</v>
      </c>
      <c r="X7" s="446" t="s">
        <v>475</v>
      </c>
      <c r="Y7" s="509">
        <v>25</v>
      </c>
      <c r="Z7" s="437">
        <v>0</v>
      </c>
      <c r="AA7" s="443" t="s">
        <v>467</v>
      </c>
      <c r="AB7" s="449" t="s">
        <v>1083</v>
      </c>
      <c r="AC7" s="421"/>
      <c r="AD7" s="480">
        <v>22</v>
      </c>
      <c r="AE7" s="446" t="s">
        <v>155</v>
      </c>
      <c r="AF7" s="506">
        <v>35</v>
      </c>
      <c r="AG7" s="437">
        <v>0</v>
      </c>
      <c r="AH7" s="440" t="s">
        <v>24</v>
      </c>
      <c r="AI7" s="449" t="s">
        <v>1083</v>
      </c>
      <c r="AJ7" s="421"/>
      <c r="AK7" s="427">
        <v>23</v>
      </c>
      <c r="AL7" s="446" t="s">
        <v>167</v>
      </c>
      <c r="AM7" s="506">
        <v>25</v>
      </c>
      <c r="AN7" s="437">
        <v>0</v>
      </c>
      <c r="AO7" s="440" t="s">
        <v>24</v>
      </c>
      <c r="AP7" s="449" t="s">
        <v>1083</v>
      </c>
    </row>
    <row r="8" spans="2:42" x14ac:dyDescent="0.25">
      <c r="B8" s="427">
        <v>5</v>
      </c>
      <c r="C8" s="446" t="str">
        <f>_xlfn.XLOOKUP(B8,Order!$V$46:$V$859,Order!$C$46:$C$859,"")</f>
        <v>Lilaeopsis brasilensis</v>
      </c>
      <c r="D8" s="509">
        <f>_xlfn.XLOOKUP(B8,Order!$V$46:$V$859,Order!$T$46:$T$859,"")</f>
        <v>25</v>
      </c>
      <c r="E8" s="437">
        <f t="shared" si="0"/>
        <v>1</v>
      </c>
      <c r="F8" s="443" t="str">
        <f>_xlfn.XLOOKUP(B8,Order!$V$46:$V$859,Order!$P$46:$P$859,"")</f>
        <v>1L Oxygenators</v>
      </c>
      <c r="G8" s="449" t="s">
        <v>1083</v>
      </c>
      <c r="H8" s="421"/>
      <c r="I8" s="480">
        <v>34</v>
      </c>
      <c r="J8" s="446" t="str">
        <f>_xlfn.XLOOKUP(I8,Order!$V$46:$V$859,Order!$C$46:$C$859,"")</f>
        <v xml:space="preserve">Myriophyllum red stem    </v>
      </c>
      <c r="K8" s="506">
        <f>_xlfn.XLOOKUP(I8,Order!$V$46:$V$859,Order!$T$46:$T$859,"")</f>
        <v>30</v>
      </c>
      <c r="L8" s="437">
        <f t="shared" si="1"/>
        <v>1</v>
      </c>
      <c r="M8" s="440" t="str">
        <f>_xlfn.XLOOKUP(I8,Order!$V$46:$V$859,Order!$P$46:$P$859,"")</f>
        <v>Gardeners Choice Oxygenators</v>
      </c>
      <c r="N8" s="449" t="s">
        <v>1083</v>
      </c>
      <c r="O8" s="421"/>
      <c r="P8" s="427">
        <v>43</v>
      </c>
      <c r="Q8" s="446" t="str">
        <f>_xlfn.XLOOKUP(P8,Order!$V$46:$V$859,Order!$C$46:$C$859,"")</f>
        <v>Iris louisiana</v>
      </c>
      <c r="R8" s="506">
        <f>_xlfn.XLOOKUP(P8,Order!$V$46:$V$859,Order!$T$46:$T$859,"")</f>
        <v>35</v>
      </c>
      <c r="S8" s="437">
        <f t="shared" si="2"/>
        <v>1</v>
      </c>
      <c r="T8" s="440" t="str">
        <f>_xlfn.XLOOKUP(P8,Order!$V$46:$V$859,Order!$P$46:$P$859,"")</f>
        <v>1L Marginals</v>
      </c>
      <c r="U8" s="449" t="s">
        <v>1083</v>
      </c>
      <c r="W8" s="427">
        <v>5</v>
      </c>
      <c r="X8" s="446" t="s">
        <v>480</v>
      </c>
      <c r="Y8" s="509">
        <v>25</v>
      </c>
      <c r="Z8" s="437">
        <v>0</v>
      </c>
      <c r="AA8" s="443" t="s">
        <v>467</v>
      </c>
      <c r="AB8" s="449" t="s">
        <v>1083</v>
      </c>
      <c r="AC8" s="421"/>
      <c r="AD8" s="480">
        <v>24</v>
      </c>
      <c r="AE8" s="446" t="s">
        <v>169</v>
      </c>
      <c r="AF8" s="506">
        <v>25</v>
      </c>
      <c r="AG8" s="437">
        <v>0</v>
      </c>
      <c r="AH8" s="440" t="s">
        <v>24</v>
      </c>
      <c r="AI8" s="449" t="s">
        <v>1083</v>
      </c>
      <c r="AJ8" s="421"/>
      <c r="AK8" s="427">
        <v>25</v>
      </c>
      <c r="AL8" s="446" t="s">
        <v>175</v>
      </c>
      <c r="AM8" s="506">
        <v>35</v>
      </c>
      <c r="AN8" s="437">
        <v>0</v>
      </c>
      <c r="AO8" s="440" t="s">
        <v>24</v>
      </c>
      <c r="AP8" s="449" t="s">
        <v>1083</v>
      </c>
    </row>
    <row r="9" spans="2:42" x14ac:dyDescent="0.25">
      <c r="B9" s="427">
        <v>6</v>
      </c>
      <c r="C9" s="446" t="str">
        <f>_xlfn.XLOOKUP(B9,Order!$V$46:$V$859,Order!$C$46:$C$859,"")</f>
        <v>Littorella uniflora</v>
      </c>
      <c r="D9" s="509">
        <f>_xlfn.XLOOKUP(B9,Order!$V$46:$V$859,Order!$T$46:$T$859,"")</f>
        <v>25</v>
      </c>
      <c r="E9" s="437">
        <f t="shared" si="0"/>
        <v>1</v>
      </c>
      <c r="F9" s="443" t="str">
        <f>_xlfn.XLOOKUP(B9,Order!$V$46:$V$859,Order!$P$46:$P$859,"")</f>
        <v>1L Oxygenators</v>
      </c>
      <c r="G9" s="449" t="s">
        <v>1083</v>
      </c>
      <c r="H9" s="421"/>
      <c r="I9" s="480">
        <v>33</v>
      </c>
      <c r="J9" s="446" t="str">
        <f>_xlfn.XLOOKUP(I9,Order!$V$46:$V$859,Order!$C$46:$C$859,"")</f>
        <v>Scirpus cernuus</v>
      </c>
      <c r="K9" s="506">
        <f>_xlfn.XLOOKUP(I9,Order!$V$46:$V$859,Order!$T$46:$T$859,"")</f>
        <v>35</v>
      </c>
      <c r="L9" s="437">
        <f t="shared" si="1"/>
        <v>1</v>
      </c>
      <c r="M9" s="440" t="str">
        <f>_xlfn.XLOOKUP(I9,Order!$V$46:$V$859,Order!$P$46:$P$859,"")</f>
        <v>Gardeners Choice Oxygenators</v>
      </c>
      <c r="N9" s="449" t="s">
        <v>1083</v>
      </c>
      <c r="O9" s="421"/>
      <c r="P9" s="427">
        <v>44</v>
      </c>
      <c r="Q9" s="446" t="str">
        <f>_xlfn.XLOOKUP(P9,Order!$V$46:$V$859,Order!$C$46:$C$859,"")</f>
        <v>Iris pseudacorus</v>
      </c>
      <c r="R9" s="506">
        <f>_xlfn.XLOOKUP(P9,Order!$V$46:$V$859,Order!$T$46:$T$859,"")</f>
        <v>30</v>
      </c>
      <c r="S9" s="437">
        <f t="shared" si="2"/>
        <v>1</v>
      </c>
      <c r="T9" s="440" t="str">
        <f>_xlfn.XLOOKUP(P9,Order!$V$46:$V$859,Order!$P$46:$P$859,"")</f>
        <v>1L Marginals</v>
      </c>
      <c r="U9" s="449" t="s">
        <v>1083</v>
      </c>
      <c r="W9" s="427">
        <v>6</v>
      </c>
      <c r="X9" s="446" t="s">
        <v>993</v>
      </c>
      <c r="Y9" s="509">
        <v>25</v>
      </c>
      <c r="Z9" s="437">
        <v>0</v>
      </c>
      <c r="AA9" s="443" t="s">
        <v>467</v>
      </c>
      <c r="AB9" s="449" t="s">
        <v>1083</v>
      </c>
      <c r="AC9" s="421"/>
      <c r="AD9" s="480">
        <v>26</v>
      </c>
      <c r="AE9" s="446" t="s">
        <v>249</v>
      </c>
      <c r="AF9" s="506">
        <v>35</v>
      </c>
      <c r="AG9" s="437">
        <v>0</v>
      </c>
      <c r="AH9" s="440" t="s">
        <v>24</v>
      </c>
      <c r="AI9" s="449" t="s">
        <v>1083</v>
      </c>
      <c r="AJ9" s="421"/>
      <c r="AK9" s="427">
        <v>27</v>
      </c>
      <c r="AL9" s="446" t="s">
        <v>270</v>
      </c>
      <c r="AM9" s="506">
        <v>25</v>
      </c>
      <c r="AN9" s="437">
        <v>0</v>
      </c>
      <c r="AO9" s="440" t="s">
        <v>24</v>
      </c>
      <c r="AP9" s="449" t="s">
        <v>1083</v>
      </c>
    </row>
    <row r="10" spans="2:42" x14ac:dyDescent="0.25">
      <c r="B10" s="427">
        <v>7</v>
      </c>
      <c r="C10" s="446" t="str">
        <f>_xlfn.XLOOKUP(B10,Order!$V$46:$V$859,Order!$C$46:$C$859,"")</f>
        <v xml:space="preserve">Myriophyllum red stem    </v>
      </c>
      <c r="D10" s="509">
        <f>_xlfn.XLOOKUP(B10,Order!$V$46:$V$859,Order!$T$46:$T$859,"")</f>
        <v>25</v>
      </c>
      <c r="E10" s="437">
        <f t="shared" si="0"/>
        <v>0</v>
      </c>
      <c r="F10" s="443" t="str">
        <f>_xlfn.XLOOKUP(B10,Order!$V$46:$V$859,Order!$P$46:$P$859,"")</f>
        <v>1L Oxygenators</v>
      </c>
      <c r="G10" s="449" t="s">
        <v>1083</v>
      </c>
      <c r="H10" s="421"/>
      <c r="I10" s="480">
        <v>32</v>
      </c>
      <c r="J10" s="446" t="str">
        <f>_xlfn.XLOOKUP(I10,Order!$V$46:$V$859,Order!$C$46:$C$859,"")</f>
        <v>Scirpus Isolepis</v>
      </c>
      <c r="K10" s="506">
        <f>_xlfn.XLOOKUP(I10,Order!$V$46:$V$859,Order!$T$46:$T$859,"")</f>
        <v>25</v>
      </c>
      <c r="L10" s="437">
        <f t="shared" si="1"/>
        <v>1</v>
      </c>
      <c r="M10" s="440" t="str">
        <f>_xlfn.XLOOKUP(I10,Order!$V$46:$V$859,Order!$P$46:$P$859,"")</f>
        <v>1L Oxygenators</v>
      </c>
      <c r="N10" s="449" t="s">
        <v>1083</v>
      </c>
      <c r="O10" s="421"/>
      <c r="P10" s="427">
        <v>45</v>
      </c>
      <c r="Q10" s="446" t="str">
        <f>_xlfn.XLOOKUP(P10,Order!$V$46:$V$859,Order!$C$46:$C$859,"")</f>
        <v>Iris versicolor</v>
      </c>
      <c r="R10" s="506">
        <f>_xlfn.XLOOKUP(P10,Order!$V$46:$V$859,Order!$T$46:$T$859,"")</f>
        <v>30</v>
      </c>
      <c r="S10" s="437">
        <f t="shared" si="2"/>
        <v>1</v>
      </c>
      <c r="T10" s="440" t="str">
        <f>_xlfn.XLOOKUP(P10,Order!$V$46:$V$859,Order!$P$46:$P$859,"")</f>
        <v>1L Marginals</v>
      </c>
      <c r="U10" s="449" t="s">
        <v>1083</v>
      </c>
      <c r="W10" s="427">
        <v>7</v>
      </c>
      <c r="X10" s="446" t="s">
        <v>1217</v>
      </c>
      <c r="Y10" s="509">
        <v>25</v>
      </c>
      <c r="Z10" s="437">
        <v>0</v>
      </c>
      <c r="AA10" s="443" t="s">
        <v>467</v>
      </c>
      <c r="AB10" s="449" t="s">
        <v>1083</v>
      </c>
      <c r="AC10" s="421"/>
      <c r="AD10" s="480">
        <v>28</v>
      </c>
      <c r="AE10" s="446" t="s">
        <v>273</v>
      </c>
      <c r="AF10" s="506">
        <v>25</v>
      </c>
      <c r="AG10" s="437">
        <v>0</v>
      </c>
      <c r="AH10" s="440" t="s">
        <v>24</v>
      </c>
      <c r="AI10" s="449" t="s">
        <v>1083</v>
      </c>
      <c r="AJ10" s="421"/>
      <c r="AK10" s="427">
        <v>29</v>
      </c>
      <c r="AL10" s="446" t="s">
        <v>276</v>
      </c>
      <c r="AM10" s="506">
        <v>35</v>
      </c>
      <c r="AN10" s="437">
        <v>0</v>
      </c>
      <c r="AO10" s="440" t="s">
        <v>24</v>
      </c>
      <c r="AP10" s="449" t="s">
        <v>1083</v>
      </c>
    </row>
    <row r="11" spans="2:42" x14ac:dyDescent="0.25">
      <c r="B11" s="427">
        <v>8</v>
      </c>
      <c r="C11" s="446" t="str">
        <f>_xlfn.XLOOKUP(B11,Order!$V$46:$V$859,Order!$C$46:$C$859,"")</f>
        <v>Myriophyllum crispatum</v>
      </c>
      <c r="D11" s="509">
        <f>_xlfn.XLOOKUP(B11,Order!$V$46:$V$859,Order!$T$46:$T$859,"")</f>
        <v>25</v>
      </c>
      <c r="E11" s="437">
        <f t="shared" si="0"/>
        <v>1</v>
      </c>
      <c r="F11" s="443" t="str">
        <f>_xlfn.XLOOKUP(B11,Order!$V$46:$V$859,Order!$P$46:$P$859,"")</f>
        <v>1L Oxygenators</v>
      </c>
      <c r="G11" s="449" t="s">
        <v>1083</v>
      </c>
      <c r="H11" s="421"/>
      <c r="I11" s="480">
        <v>31</v>
      </c>
      <c r="J11" s="446" t="str">
        <f>_xlfn.XLOOKUP(I11,Order!$V$46:$V$859,Order!$C$46:$C$859,"")</f>
        <v>Scirpus Cernuus</v>
      </c>
      <c r="K11" s="506">
        <f>_xlfn.XLOOKUP(I11,Order!$V$46:$V$859,Order!$T$46:$T$859,"")</f>
        <v>25</v>
      </c>
      <c r="L11" s="437">
        <f t="shared" si="1"/>
        <v>1</v>
      </c>
      <c r="M11" s="440" t="str">
        <f>_xlfn.XLOOKUP(I11,Order!$V$46:$V$859,Order!$P$46:$P$859,"")</f>
        <v>1L Oxygenators</v>
      </c>
      <c r="N11" s="449" t="s">
        <v>1083</v>
      </c>
      <c r="O11" s="421"/>
      <c r="P11" s="427">
        <v>46</v>
      </c>
      <c r="Q11" s="446" t="str">
        <f>_xlfn.XLOOKUP(P11,Order!$V$46:$V$859,Order!$C$46:$C$859,"")</f>
        <v>Lobelia Queen Victoria</v>
      </c>
      <c r="R11" s="506">
        <f>_xlfn.XLOOKUP(P11,Order!$V$46:$V$859,Order!$T$46:$T$859,"")</f>
        <v>35</v>
      </c>
      <c r="S11" s="437">
        <f t="shared" si="2"/>
        <v>1</v>
      </c>
      <c r="T11" s="440" t="str">
        <f>_xlfn.XLOOKUP(P11,Order!$V$46:$V$859,Order!$P$46:$P$859,"")</f>
        <v>1L Marginals</v>
      </c>
      <c r="U11" s="449" t="s">
        <v>1083</v>
      </c>
      <c r="W11" s="427">
        <v>8</v>
      </c>
      <c r="X11" s="446" t="s">
        <v>495</v>
      </c>
      <c r="Y11" s="509">
        <v>25</v>
      </c>
      <c r="Z11" s="437">
        <v>0</v>
      </c>
      <c r="AA11" s="443" t="s">
        <v>467</v>
      </c>
      <c r="AB11" s="449" t="s">
        <v>1083</v>
      </c>
      <c r="AC11" s="421"/>
      <c r="AD11" s="480">
        <v>30</v>
      </c>
      <c r="AE11" s="446" t="s">
        <v>278</v>
      </c>
      <c r="AF11" s="506">
        <v>25</v>
      </c>
      <c r="AG11" s="437">
        <v>0</v>
      </c>
      <c r="AH11" s="440" t="s">
        <v>24</v>
      </c>
      <c r="AI11" s="449" t="s">
        <v>1083</v>
      </c>
      <c r="AJ11" s="421"/>
      <c r="AK11" s="427">
        <v>31</v>
      </c>
      <c r="AL11" s="446" t="s">
        <v>281</v>
      </c>
      <c r="AM11" s="506">
        <v>25</v>
      </c>
      <c r="AN11" s="437">
        <v>0</v>
      </c>
      <c r="AO11" s="440" t="s">
        <v>24</v>
      </c>
      <c r="AP11" s="449" t="s">
        <v>1083</v>
      </c>
    </row>
    <row r="12" spans="2:42" x14ac:dyDescent="0.25">
      <c r="B12" s="427">
        <v>9</v>
      </c>
      <c r="C12" s="446" t="str">
        <f>_xlfn.XLOOKUP(B12,Order!$V$46:$V$859,Order!$C$46:$C$859,"")</f>
        <v>Rotala rotundifolia</v>
      </c>
      <c r="D12" s="509">
        <f>_xlfn.XLOOKUP(B12,Order!$V$46:$V$859,Order!$T$46:$T$859,"")</f>
        <v>25</v>
      </c>
      <c r="E12" s="437">
        <f t="shared" si="0"/>
        <v>1</v>
      </c>
      <c r="F12" s="443" t="str">
        <f>_xlfn.XLOOKUP(B12,Order!$V$46:$V$859,Order!$P$46:$P$859,"")</f>
        <v>1L Oxygenators</v>
      </c>
      <c r="G12" s="449" t="s">
        <v>1083</v>
      </c>
      <c r="H12" s="421"/>
      <c r="I12" s="480">
        <v>30</v>
      </c>
      <c r="J12" s="446" t="str">
        <f>_xlfn.XLOOKUP(I12,Order!$V$46:$V$859,Order!$C$46:$C$859,"")</f>
        <v/>
      </c>
      <c r="K12" s="506" t="str">
        <f>_xlfn.XLOOKUP(I12,Order!$V$46:$V$859,Order!$T$46:$T$859,"")</f>
        <v/>
      </c>
      <c r="L12" s="437">
        <f t="shared" si="1"/>
        <v>1</v>
      </c>
      <c r="M12" s="440" t="str">
        <f>_xlfn.XLOOKUP(I12,Order!$V$46:$V$859,Order!$P$46:$P$859,"")</f>
        <v/>
      </c>
      <c r="N12" s="449" t="s">
        <v>1083</v>
      </c>
      <c r="O12" s="421"/>
      <c r="P12" s="427">
        <v>47</v>
      </c>
      <c r="Q12" s="446" t="str">
        <f>_xlfn.XLOOKUP(P12,Order!$V$46:$V$859,Order!$C$46:$C$859,"")</f>
        <v>Lobelia syphilitica</v>
      </c>
      <c r="R12" s="506">
        <f>_xlfn.XLOOKUP(P12,Order!$V$46:$V$859,Order!$T$46:$T$859,"")</f>
        <v>35</v>
      </c>
      <c r="S12" s="437">
        <f t="shared" si="2"/>
        <v>1</v>
      </c>
      <c r="T12" s="440" t="str">
        <f>_xlfn.XLOOKUP(P12,Order!$V$46:$V$859,Order!$P$46:$P$859,"")</f>
        <v>1L Marginals</v>
      </c>
      <c r="U12" s="449" t="s">
        <v>1083</v>
      </c>
      <c r="W12" s="427">
        <v>9</v>
      </c>
      <c r="X12" s="446" t="s">
        <v>498</v>
      </c>
      <c r="Y12" s="509">
        <v>25</v>
      </c>
      <c r="Z12" s="437">
        <v>0</v>
      </c>
      <c r="AA12" s="443" t="s">
        <v>467</v>
      </c>
      <c r="AB12" s="449" t="s">
        <v>1083</v>
      </c>
      <c r="AC12" s="421"/>
      <c r="AD12" s="480">
        <v>32</v>
      </c>
      <c r="AE12" s="446" t="s">
        <v>284</v>
      </c>
      <c r="AF12" s="506">
        <v>35</v>
      </c>
      <c r="AG12" s="437">
        <v>0</v>
      </c>
      <c r="AH12" s="440" t="s">
        <v>24</v>
      </c>
      <c r="AI12" s="449" t="s">
        <v>1083</v>
      </c>
      <c r="AJ12" s="421"/>
      <c r="AK12" s="427">
        <v>33</v>
      </c>
      <c r="AL12" s="446" t="s">
        <v>287</v>
      </c>
      <c r="AM12" s="506">
        <v>25</v>
      </c>
      <c r="AN12" s="437">
        <v>0</v>
      </c>
      <c r="AO12" s="440" t="s">
        <v>24</v>
      </c>
      <c r="AP12" s="449" t="s">
        <v>1083</v>
      </c>
    </row>
    <row r="13" spans="2:42" x14ac:dyDescent="0.25">
      <c r="B13" s="427">
        <v>10</v>
      </c>
      <c r="C13" s="446" t="str">
        <f>_xlfn.XLOOKUP(B13,Order!$V$46:$V$859,Order!$C$46:$C$859,"")</f>
        <v/>
      </c>
      <c r="D13" s="509" t="str">
        <f>_xlfn.XLOOKUP(B13,Order!$V$46:$V$859,Order!$T$46:$T$859,"")</f>
        <v/>
      </c>
      <c r="E13" s="437">
        <f t="shared" si="0"/>
        <v>1</v>
      </c>
      <c r="F13" s="443" t="str">
        <f>_xlfn.XLOOKUP(B13,Order!$V$46:$V$859,Order!$P$46:$P$859,"")</f>
        <v/>
      </c>
      <c r="G13" s="449" t="s">
        <v>1083</v>
      </c>
      <c r="H13" s="421"/>
      <c r="I13" s="480">
        <v>29</v>
      </c>
      <c r="J13" s="446" t="str">
        <f>_xlfn.XLOOKUP(I13,Order!$V$46:$V$859,Order!$C$46:$C$859,"")</f>
        <v/>
      </c>
      <c r="K13" s="506" t="str">
        <f>_xlfn.XLOOKUP(I13,Order!$V$46:$V$859,Order!$T$46:$T$859,"")</f>
        <v/>
      </c>
      <c r="L13" s="437">
        <f t="shared" si="1"/>
        <v>1</v>
      </c>
      <c r="M13" s="440" t="str">
        <f>_xlfn.XLOOKUP(I13,Order!$V$46:$V$859,Order!$P$46:$P$859,"")</f>
        <v/>
      </c>
      <c r="N13" s="449" t="s">
        <v>1083</v>
      </c>
      <c r="O13" s="421"/>
      <c r="P13" s="427">
        <v>48</v>
      </c>
      <c r="Q13" s="446" t="str">
        <f>_xlfn.XLOOKUP(P13,Order!$V$46:$V$859,Order!$C$46:$C$859,"")</f>
        <v>Lychnis flos cuculi</v>
      </c>
      <c r="R13" s="506">
        <f>_xlfn.XLOOKUP(P13,Order!$V$46:$V$859,Order!$T$46:$T$859,"")</f>
        <v>30</v>
      </c>
      <c r="S13" s="437">
        <f t="shared" si="2"/>
        <v>1</v>
      </c>
      <c r="T13" s="440" t="str">
        <f>_xlfn.XLOOKUP(P13,Order!$V$46:$V$859,Order!$P$46:$P$859,"")</f>
        <v>1L Marginals</v>
      </c>
      <c r="U13" s="449" t="s">
        <v>1083</v>
      </c>
      <c r="W13" s="427">
        <v>10</v>
      </c>
      <c r="X13" s="446" t="s">
        <v>987</v>
      </c>
      <c r="Y13" s="509">
        <v>25</v>
      </c>
      <c r="Z13" s="437">
        <v>0</v>
      </c>
      <c r="AA13" s="443" t="s">
        <v>467</v>
      </c>
      <c r="AB13" s="449" t="s">
        <v>1083</v>
      </c>
      <c r="AC13" s="421"/>
      <c r="AD13" s="480">
        <v>34</v>
      </c>
      <c r="AE13" s="446" t="s">
        <v>340</v>
      </c>
      <c r="AF13" s="506">
        <v>25</v>
      </c>
      <c r="AG13" s="437">
        <v>0</v>
      </c>
      <c r="AH13" s="440" t="s">
        <v>24</v>
      </c>
      <c r="AI13" s="449" t="s">
        <v>1083</v>
      </c>
      <c r="AJ13" s="421"/>
      <c r="AK13" s="427">
        <v>35</v>
      </c>
      <c r="AL13" s="446" t="s">
        <v>369</v>
      </c>
      <c r="AM13" s="506">
        <v>35</v>
      </c>
      <c r="AN13" s="437">
        <v>0</v>
      </c>
      <c r="AO13" s="440" t="s">
        <v>24</v>
      </c>
      <c r="AP13" s="449" t="s">
        <v>1083</v>
      </c>
    </row>
    <row r="14" spans="2:42" x14ac:dyDescent="0.25">
      <c r="B14" s="427">
        <v>11</v>
      </c>
      <c r="C14" s="446" t="str">
        <f>_xlfn.XLOOKUP(B14,Order!$V$46:$V$859,Order!$C$46:$C$859,"")</f>
        <v/>
      </c>
      <c r="D14" s="509" t="str">
        <f>_xlfn.XLOOKUP(B14,Order!$V$46:$V$859,Order!$T$46:$T$859,"")</f>
        <v/>
      </c>
      <c r="E14" s="437">
        <f t="shared" si="0"/>
        <v>1</v>
      </c>
      <c r="F14" s="443" t="str">
        <f>_xlfn.XLOOKUP(B14,Order!$V$46:$V$859,Order!$P$46:$P$859,"")</f>
        <v/>
      </c>
      <c r="G14" s="449" t="s">
        <v>1083</v>
      </c>
      <c r="H14" s="421"/>
      <c r="I14" s="480">
        <v>28</v>
      </c>
      <c r="J14" s="446" t="str">
        <f>_xlfn.XLOOKUP(I14,Order!$V$46:$V$859,Order!$C$46:$C$859,"")</f>
        <v/>
      </c>
      <c r="K14" s="506" t="str">
        <f>_xlfn.XLOOKUP(I14,Order!$V$46:$V$859,Order!$T$46:$T$859,"")</f>
        <v/>
      </c>
      <c r="L14" s="437">
        <f t="shared" si="1"/>
        <v>1</v>
      </c>
      <c r="M14" s="440" t="str">
        <f>_xlfn.XLOOKUP(I14,Order!$V$46:$V$859,Order!$P$46:$P$859,"")</f>
        <v/>
      </c>
      <c r="N14" s="449" t="s">
        <v>1083</v>
      </c>
      <c r="O14" s="421"/>
      <c r="P14" s="427">
        <v>49</v>
      </c>
      <c r="Q14" s="446" t="str">
        <f>_xlfn.XLOOKUP(P14,Order!$V$46:$V$859,Order!$C$46:$C$859,"")</f>
        <v>Lysimachia nummularia 'aurea'</v>
      </c>
      <c r="R14" s="506">
        <f>_xlfn.XLOOKUP(P14,Order!$V$46:$V$859,Order!$T$46:$T$859,"")</f>
        <v>30</v>
      </c>
      <c r="S14" s="437">
        <f t="shared" si="2"/>
        <v>1</v>
      </c>
      <c r="T14" s="440" t="str">
        <f>_xlfn.XLOOKUP(P14,Order!$V$46:$V$859,Order!$P$46:$P$859,"")</f>
        <v>1L Marginals</v>
      </c>
      <c r="U14" s="449" t="s">
        <v>1083</v>
      </c>
      <c r="W14" s="427">
        <v>11</v>
      </c>
      <c r="X14" s="446" t="s">
        <v>500</v>
      </c>
      <c r="Y14" s="509">
        <v>25</v>
      </c>
      <c r="Z14" s="437">
        <v>0</v>
      </c>
      <c r="AA14" s="443" t="s">
        <v>467</v>
      </c>
      <c r="AB14" s="449" t="s">
        <v>1083</v>
      </c>
      <c r="AC14" s="421"/>
      <c r="AD14" s="480">
        <v>36</v>
      </c>
      <c r="AE14" s="446" t="s">
        <v>373</v>
      </c>
      <c r="AF14" s="506">
        <v>35</v>
      </c>
      <c r="AG14" s="437">
        <v>0</v>
      </c>
      <c r="AH14" s="440" t="s">
        <v>24</v>
      </c>
      <c r="AI14" s="449" t="s">
        <v>1083</v>
      </c>
      <c r="AJ14" s="421"/>
      <c r="AK14" s="427">
        <v>37</v>
      </c>
      <c r="AL14" s="446" t="s">
        <v>385</v>
      </c>
      <c r="AM14" s="506">
        <v>45</v>
      </c>
      <c r="AN14" s="437">
        <v>0</v>
      </c>
      <c r="AO14" s="440" t="s">
        <v>24</v>
      </c>
      <c r="AP14" s="449" t="s">
        <v>1083</v>
      </c>
    </row>
    <row r="15" spans="2:42" x14ac:dyDescent="0.25">
      <c r="B15" s="427">
        <v>12</v>
      </c>
      <c r="C15" s="446" t="str">
        <f>_xlfn.XLOOKUP(B15,Order!$V$46:$V$859,Order!$C$46:$C$859,"")</f>
        <v/>
      </c>
      <c r="D15" s="509" t="str">
        <f>_xlfn.XLOOKUP(B15,Order!$V$46:$V$859,Order!$T$46:$T$859,"")</f>
        <v/>
      </c>
      <c r="E15" s="437">
        <f t="shared" si="0"/>
        <v>1</v>
      </c>
      <c r="F15" s="443" t="str">
        <f>_xlfn.XLOOKUP(B15,Order!$V$46:$V$859,Order!$P$46:$P$859,"")</f>
        <v/>
      </c>
      <c r="G15" s="449" t="s">
        <v>1083</v>
      </c>
      <c r="H15" s="421"/>
      <c r="I15" s="480">
        <v>27</v>
      </c>
      <c r="J15" s="446" t="str">
        <f>_xlfn.XLOOKUP(I15,Order!$V$46:$V$859,Order!$C$46:$C$859,"")</f>
        <v/>
      </c>
      <c r="K15" s="506" t="str">
        <f>_xlfn.XLOOKUP(I15,Order!$V$46:$V$859,Order!$T$46:$T$859,"")</f>
        <v/>
      </c>
      <c r="L15" s="437">
        <f>IF(J15=AE15,0,1)</f>
        <v>1</v>
      </c>
      <c r="M15" s="440" t="str">
        <f>_xlfn.XLOOKUP(I15,Order!$V$46:$V$859,Order!$P$46:$P$859,"")</f>
        <v/>
      </c>
      <c r="N15" s="449" t="s">
        <v>1083</v>
      </c>
      <c r="O15" s="421"/>
      <c r="P15" s="427">
        <v>50</v>
      </c>
      <c r="Q15" s="446" t="str">
        <f>_xlfn.XLOOKUP(P15,Order!$V$46:$V$859,Order!$C$46:$C$859,"")</f>
        <v>Mazus reptans Alba</v>
      </c>
      <c r="R15" s="506">
        <f>_xlfn.XLOOKUP(P15,Order!$V$46:$V$859,Order!$T$46:$T$859,"")</f>
        <v>30</v>
      </c>
      <c r="S15" s="437">
        <f t="shared" si="2"/>
        <v>1</v>
      </c>
      <c r="T15" s="440" t="str">
        <f>_xlfn.XLOOKUP(P15,Order!$V$46:$V$859,Order!$P$46:$P$859,"")</f>
        <v>1L Marginals</v>
      </c>
      <c r="U15" s="449" t="s">
        <v>1083</v>
      </c>
      <c r="W15" s="427">
        <v>12</v>
      </c>
      <c r="X15" s="446" t="s">
        <v>475</v>
      </c>
      <c r="Y15" s="509">
        <v>30</v>
      </c>
      <c r="Z15" s="437">
        <v>0</v>
      </c>
      <c r="AA15" s="443" t="s">
        <v>511</v>
      </c>
      <c r="AB15" s="449" t="s">
        <v>1083</v>
      </c>
      <c r="AC15" s="421"/>
      <c r="AD15" s="480">
        <v>38</v>
      </c>
      <c r="AE15" s="446" t="s">
        <v>1080</v>
      </c>
      <c r="AF15" s="506">
        <v>35</v>
      </c>
      <c r="AG15" s="437">
        <v>0</v>
      </c>
      <c r="AH15" s="440" t="s">
        <v>24</v>
      </c>
      <c r="AI15" s="449" t="s">
        <v>1083</v>
      </c>
      <c r="AJ15" s="421"/>
      <c r="AK15" s="427">
        <v>39</v>
      </c>
      <c r="AL15" s="446" t="s">
        <v>454</v>
      </c>
      <c r="AM15" s="506">
        <v>25</v>
      </c>
      <c r="AN15" s="437">
        <v>0</v>
      </c>
      <c r="AO15" s="440" t="s">
        <v>24</v>
      </c>
      <c r="AP15" s="449" t="s">
        <v>1083</v>
      </c>
    </row>
    <row r="16" spans="2:42" x14ac:dyDescent="0.25">
      <c r="B16" s="427">
        <v>13</v>
      </c>
      <c r="C16" s="446" t="str">
        <f>_xlfn.XLOOKUP(B16,Order!$V$46:$V$859,Order!$C$46:$C$859,"")</f>
        <v/>
      </c>
      <c r="D16" s="509" t="str">
        <f>_xlfn.XLOOKUP(B16,Order!$V$46:$V$859,Order!$T$46:$T$859,"")</f>
        <v/>
      </c>
      <c r="E16" s="437">
        <f t="shared" si="0"/>
        <v>1</v>
      </c>
      <c r="F16" s="443" t="str">
        <f>_xlfn.XLOOKUP(B16,Order!$V$46:$V$859,Order!$P$46:$P$859,"")</f>
        <v/>
      </c>
      <c r="G16" s="449" t="s">
        <v>1083</v>
      </c>
      <c r="H16" s="421"/>
      <c r="I16" s="480">
        <v>26</v>
      </c>
      <c r="J16" s="446" t="str">
        <f>_xlfn.XLOOKUP(I16,Order!$V$46:$V$859,Order!$C$46:$C$859,"")</f>
        <v/>
      </c>
      <c r="K16" s="506" t="str">
        <f>_xlfn.XLOOKUP(I16,Order!$V$46:$V$859,Order!$T$46:$T$859,"")</f>
        <v/>
      </c>
      <c r="L16" s="437">
        <f>IF(J16=AE16,0,1)</f>
        <v>1</v>
      </c>
      <c r="M16" s="440" t="str">
        <f>_xlfn.XLOOKUP(I16,Order!$V$46:$V$859,Order!$P$46:$P$859,"")</f>
        <v/>
      </c>
      <c r="N16" s="449" t="s">
        <v>1083</v>
      </c>
      <c r="O16" s="421"/>
      <c r="P16" s="427">
        <v>51</v>
      </c>
      <c r="Q16" s="446" t="str">
        <f>_xlfn.XLOOKUP(P16,Order!$V$46:$V$859,Order!$C$46:$C$859,"")</f>
        <v>Mimulus ringens</v>
      </c>
      <c r="R16" s="506">
        <f>_xlfn.XLOOKUP(P16,Order!$V$46:$V$859,Order!$T$46:$T$859,"")</f>
        <v>30</v>
      </c>
      <c r="S16" s="437">
        <f t="shared" si="2"/>
        <v>1</v>
      </c>
      <c r="T16" s="440" t="str">
        <f>_xlfn.XLOOKUP(P16,Order!$V$46:$V$859,Order!$P$46:$P$859,"")</f>
        <v>1L Marginals</v>
      </c>
      <c r="U16" s="449" t="s">
        <v>1083</v>
      </c>
      <c r="W16" s="427">
        <v>13</v>
      </c>
      <c r="X16" s="446" t="s">
        <v>1076</v>
      </c>
      <c r="Y16" s="509">
        <v>35</v>
      </c>
      <c r="Z16" s="437">
        <v>0</v>
      </c>
      <c r="AA16" s="443" t="s">
        <v>511</v>
      </c>
      <c r="AB16" s="449" t="s">
        <v>1083</v>
      </c>
      <c r="AC16" s="421"/>
      <c r="AD16" s="480">
        <v>40</v>
      </c>
      <c r="AE16" s="446" t="s">
        <v>75</v>
      </c>
      <c r="AF16" s="506">
        <v>35</v>
      </c>
      <c r="AG16" s="437">
        <v>0</v>
      </c>
      <c r="AH16" s="440" t="s">
        <v>628</v>
      </c>
      <c r="AI16" s="449" t="s">
        <v>1083</v>
      </c>
      <c r="AJ16" s="421"/>
      <c r="AK16" s="427">
        <v>41</v>
      </c>
      <c r="AL16" s="446" t="s">
        <v>152</v>
      </c>
      <c r="AM16" s="506">
        <v>35</v>
      </c>
      <c r="AN16" s="437">
        <v>0</v>
      </c>
      <c r="AO16" s="440" t="s">
        <v>628</v>
      </c>
      <c r="AP16" s="449" t="s">
        <v>1083</v>
      </c>
    </row>
    <row r="17" spans="2:42" x14ac:dyDescent="0.25">
      <c r="B17" s="427">
        <v>14</v>
      </c>
      <c r="C17" s="446" t="str">
        <f>_xlfn.XLOOKUP(B17,Order!$V$46:$V$859,Order!$C$46:$C$859,"")</f>
        <v/>
      </c>
      <c r="D17" s="509" t="str">
        <f>_xlfn.XLOOKUP(B17,Order!$V$46:$V$859,Order!$T$46:$T$859,"")</f>
        <v/>
      </c>
      <c r="E17" s="437">
        <f t="shared" si="0"/>
        <v>1</v>
      </c>
      <c r="F17" s="443" t="str">
        <f>_xlfn.XLOOKUP(B17,Order!$V$46:$V$859,Order!$P$46:$P$859,"")</f>
        <v/>
      </c>
      <c r="G17" s="449" t="s">
        <v>1083</v>
      </c>
      <c r="H17" s="421"/>
      <c r="I17" s="480">
        <v>25</v>
      </c>
      <c r="J17" s="446" t="str">
        <f>_xlfn.XLOOKUP(I17,Order!$V$46:$V$859,Order!$C$46:$C$859,"")</f>
        <v/>
      </c>
      <c r="K17" s="506" t="str">
        <f>_xlfn.XLOOKUP(I17,Order!$V$46:$V$859,Order!$T$46:$T$859,"")</f>
        <v/>
      </c>
      <c r="L17" s="437">
        <f>IF(J17=AE17,0,1)</f>
        <v>1</v>
      </c>
      <c r="M17" s="440" t="str">
        <f>_xlfn.XLOOKUP(I17,Order!$V$46:$V$859,Order!$P$46:$P$859,"")</f>
        <v/>
      </c>
      <c r="N17" s="449" t="s">
        <v>1083</v>
      </c>
      <c r="O17" s="421"/>
      <c r="P17" s="427">
        <v>52</v>
      </c>
      <c r="Q17" s="446" t="str">
        <f>_xlfn.XLOOKUP(P17,Order!$V$46:$V$859,Order!$C$46:$C$859,"")</f>
        <v>Oenanthe 'Flamingo'</v>
      </c>
      <c r="R17" s="506">
        <f>_xlfn.XLOOKUP(P17,Order!$V$46:$V$859,Order!$T$46:$T$859,"")</f>
        <v>30</v>
      </c>
      <c r="S17" s="437">
        <f t="shared" si="2"/>
        <v>1</v>
      </c>
      <c r="T17" s="440" t="str">
        <f>_xlfn.XLOOKUP(P17,Order!$V$46:$V$859,Order!$P$46:$P$859,"")</f>
        <v>1L Marginals</v>
      </c>
      <c r="U17" s="449" t="s">
        <v>1083</v>
      </c>
      <c r="W17" s="427">
        <v>14</v>
      </c>
      <c r="X17" s="446" t="s">
        <v>40</v>
      </c>
      <c r="Y17" s="509">
        <v>35</v>
      </c>
      <c r="Z17" s="437">
        <v>0</v>
      </c>
      <c r="AA17" s="443" t="s">
        <v>24</v>
      </c>
      <c r="AB17" s="449" t="s">
        <v>1083</v>
      </c>
      <c r="AC17" s="421"/>
      <c r="AD17" s="480">
        <v>42</v>
      </c>
      <c r="AE17" s="446" t="s">
        <v>1209</v>
      </c>
      <c r="AF17" s="506">
        <v>35</v>
      </c>
      <c r="AG17" s="437">
        <v>0</v>
      </c>
      <c r="AH17" s="440" t="s">
        <v>628</v>
      </c>
      <c r="AI17" s="449" t="s">
        <v>1083</v>
      </c>
      <c r="AJ17" s="421"/>
      <c r="AK17" s="427">
        <v>43</v>
      </c>
      <c r="AL17" s="446" t="s">
        <v>169</v>
      </c>
      <c r="AM17" s="506">
        <v>35</v>
      </c>
      <c r="AN17" s="437">
        <v>0</v>
      </c>
      <c r="AO17" s="440" t="s">
        <v>628</v>
      </c>
      <c r="AP17" s="449" t="s">
        <v>1083</v>
      </c>
    </row>
    <row r="18" spans="2:42" x14ac:dyDescent="0.25">
      <c r="B18" s="428">
        <v>15</v>
      </c>
      <c r="C18" s="447" t="str">
        <f>_xlfn.XLOOKUP(B18,Order!$V$46:$V$859,Order!$C$46:$C$859,"")</f>
        <v/>
      </c>
      <c r="D18" s="510" t="str">
        <f>_xlfn.XLOOKUP(B18,Order!$V$46:$V$859,Order!$T$46:$T$859,"")</f>
        <v/>
      </c>
      <c r="E18" s="438">
        <f t="shared" si="0"/>
        <v>0</v>
      </c>
      <c r="F18" s="444" t="str">
        <f>_xlfn.XLOOKUP(B18,Order!$V$46:$V$859,Order!$P$46:$P$859,"")</f>
        <v/>
      </c>
      <c r="G18" s="450" t="s">
        <v>1083</v>
      </c>
      <c r="H18" s="421"/>
      <c r="I18" s="481">
        <v>24</v>
      </c>
      <c r="J18" s="447" t="str">
        <f>_xlfn.XLOOKUP(I18,Order!$V$46:$V$859,Order!$C$46:$C$859,"")</f>
        <v/>
      </c>
      <c r="K18" s="507" t="str">
        <f>_xlfn.XLOOKUP(I18,Order!$V$46:$V$859,Order!$T$46:$T$859,"")</f>
        <v/>
      </c>
      <c r="L18" s="438">
        <f>IF(J18=AE18,0,1)</f>
        <v>1</v>
      </c>
      <c r="M18" s="441" t="str">
        <f>_xlfn.XLOOKUP(I18,Order!$V$46:$V$859,Order!$P$46:$P$859,"")</f>
        <v/>
      </c>
      <c r="N18" s="450" t="s">
        <v>1083</v>
      </c>
      <c r="O18" s="421"/>
      <c r="P18" s="428">
        <v>53</v>
      </c>
      <c r="Q18" s="447" t="str">
        <f>_xlfn.XLOOKUP(P18,Order!$V$46:$V$859,Order!$C$46:$C$859,"")</f>
        <v>Preslia cervina alba</v>
      </c>
      <c r="R18" s="507">
        <f>_xlfn.XLOOKUP(P18,Order!$V$46:$V$859,Order!$T$46:$T$859,"")</f>
        <v>30</v>
      </c>
      <c r="S18" s="438">
        <f t="shared" si="2"/>
        <v>1</v>
      </c>
      <c r="T18" s="441" t="str">
        <f>_xlfn.XLOOKUP(P18,Order!$V$46:$V$859,Order!$P$46:$P$859,"")</f>
        <v>1L Marginals</v>
      </c>
      <c r="U18" s="450" t="s">
        <v>1083</v>
      </c>
      <c r="W18" s="428">
        <v>15</v>
      </c>
      <c r="X18" s="447" t="s">
        <v>1130</v>
      </c>
      <c r="Y18" s="510" t="s">
        <v>1130</v>
      </c>
      <c r="Z18" s="438">
        <v>0</v>
      </c>
      <c r="AA18" s="444" t="s">
        <v>1130</v>
      </c>
      <c r="AB18" s="450" t="s">
        <v>1083</v>
      </c>
      <c r="AC18" s="421"/>
      <c r="AD18" s="481">
        <v>44</v>
      </c>
      <c r="AE18" s="447" t="s">
        <v>232</v>
      </c>
      <c r="AF18" s="507">
        <v>35</v>
      </c>
      <c r="AG18" s="438">
        <v>0</v>
      </c>
      <c r="AH18" s="441" t="s">
        <v>628</v>
      </c>
      <c r="AI18" s="450" t="s">
        <v>1083</v>
      </c>
      <c r="AJ18" s="421"/>
      <c r="AK18" s="428">
        <v>45</v>
      </c>
      <c r="AL18" s="447" t="s">
        <v>249</v>
      </c>
      <c r="AM18" s="507">
        <v>35</v>
      </c>
      <c r="AN18" s="438">
        <v>0</v>
      </c>
      <c r="AO18" s="441" t="s">
        <v>628</v>
      </c>
      <c r="AP18" s="450" t="s">
        <v>1083</v>
      </c>
    </row>
    <row r="19" spans="2:42" ht="21" customHeight="1" x14ac:dyDescent="0.25">
      <c r="B19" s="429"/>
      <c r="C19" s="267"/>
      <c r="D19" s="511"/>
      <c r="I19" s="429"/>
      <c r="J19" s="267"/>
      <c r="K19" s="421"/>
      <c r="W19" s="429"/>
      <c r="X19" s="267"/>
      <c r="Y19" s="511"/>
      <c r="AD19" s="429"/>
      <c r="AE19" s="267"/>
      <c r="AF19" s="421"/>
    </row>
    <row r="20" spans="2:42" x14ac:dyDescent="0.25">
      <c r="B20" s="426">
        <v>72</v>
      </c>
      <c r="C20" s="445" t="str">
        <f>_xlfn.XLOOKUP(B20,Order!$V$46:$V$859,Order!$C$46:$C$859,"")</f>
        <v>Acorus gramineus 'Variegatus'</v>
      </c>
      <c r="D20" s="508">
        <f>_xlfn.XLOOKUP(B20,Order!$V$46:$V$859,Order!$T$46:$T$859,"")</f>
        <v>35</v>
      </c>
      <c r="E20" s="436">
        <f t="shared" ref="E20:E34" si="3">IF(C20=X20,0,1)</f>
        <v>1</v>
      </c>
      <c r="F20" s="439" t="str">
        <f>_xlfn.XLOOKUP(B20,Order!$V$46:$V$859,Order!$P$46:$P$859,"")</f>
        <v>1L Marginals</v>
      </c>
      <c r="G20" s="448" t="s">
        <v>1083</v>
      </c>
      <c r="H20" s="421" t="s">
        <v>1083</v>
      </c>
      <c r="I20" s="426">
        <v>73</v>
      </c>
      <c r="J20" s="445" t="str">
        <f>_xlfn.XLOOKUP(I20,Order!$V$46:$V$859,Order!$C$46:$C$859,"")</f>
        <v>Ranunculus lingua grandiflora</v>
      </c>
      <c r="K20" s="505">
        <f>_xlfn.XLOOKUP(I20,Order!$V$46:$V$859,Order!$T$46:$T$859,"")</f>
        <v>35</v>
      </c>
      <c r="L20" s="436">
        <f t="shared" ref="L20:L30" si="4">IF(J20=AE20,0,1)</f>
        <v>1</v>
      </c>
      <c r="M20" s="439" t="str">
        <f>_xlfn.XLOOKUP(I20,Order!$V$46:$V$859,Order!$P$46:$P$859,"")</f>
        <v>Gardeners Choice</v>
      </c>
      <c r="N20" s="448" t="s">
        <v>1083</v>
      </c>
      <c r="O20" s="421"/>
      <c r="P20" s="1011">
        <v>102</v>
      </c>
      <c r="Q20" s="445" t="str">
        <f>_xlfn.XLOOKUP(P20,Order!$V$46:$V$859,Order!$C$46:$C$859,"")</f>
        <v>Typha minima</v>
      </c>
      <c r="R20" s="505">
        <f>_xlfn.XLOOKUP(P20,Order!$V$46:$V$859,Order!$T$46:$T$859,"")</f>
        <v>35</v>
      </c>
      <c r="S20" s="436">
        <f>IF(Q20=AL20,0,1)</f>
        <v>1</v>
      </c>
      <c r="T20" s="439" t="str">
        <f>_xlfn.XLOOKUP(P20,Order!$V$46:$V$859,Order!$P$46:$P$859,"")</f>
        <v>Gardeners Choice</v>
      </c>
      <c r="U20" s="448" t="s">
        <v>1083</v>
      </c>
      <c r="W20" s="426">
        <v>74</v>
      </c>
      <c r="X20" s="445" t="s">
        <v>408</v>
      </c>
      <c r="Y20" s="508">
        <v>45</v>
      </c>
      <c r="Z20" s="436">
        <v>0</v>
      </c>
      <c r="AA20" s="439" t="s">
        <v>514</v>
      </c>
      <c r="AB20" s="448" t="s">
        <v>1083</v>
      </c>
      <c r="AC20" s="421" t="s">
        <v>1083</v>
      </c>
      <c r="AD20" s="426">
        <v>75</v>
      </c>
      <c r="AE20" s="445" t="s">
        <v>411</v>
      </c>
      <c r="AF20" s="505">
        <v>45</v>
      </c>
      <c r="AG20" s="436">
        <v>0</v>
      </c>
      <c r="AH20" s="439" t="s">
        <v>514</v>
      </c>
      <c r="AI20" s="448" t="s">
        <v>1083</v>
      </c>
      <c r="AJ20" s="421"/>
      <c r="AL20" s="435" t="s">
        <v>1094</v>
      </c>
      <c r="AM20" s="435"/>
      <c r="AN20" s="435"/>
      <c r="AO20" s="435"/>
      <c r="AP20" s="435"/>
    </row>
    <row r="21" spans="2:42" x14ac:dyDescent="0.25">
      <c r="B21" s="427">
        <v>71</v>
      </c>
      <c r="C21" s="446" t="str">
        <f>_xlfn.XLOOKUP(B21,Order!$V$46:$V$859,Order!$C$46:$C$859,"")</f>
        <v>Caltha palustris</v>
      </c>
      <c r="D21" s="509">
        <f>_xlfn.XLOOKUP(B21,Order!$V$46:$V$859,Order!$T$46:$T$859,"")</f>
        <v>30</v>
      </c>
      <c r="E21" s="437">
        <f t="shared" si="3"/>
        <v>1</v>
      </c>
      <c r="F21" s="440" t="str">
        <f>_xlfn.XLOOKUP(B21,Order!$V$46:$V$859,Order!$P$46:$P$859,"")</f>
        <v>1L Marginals</v>
      </c>
      <c r="G21" s="449" t="s">
        <v>1083</v>
      </c>
      <c r="H21" s="421" t="s">
        <v>1083</v>
      </c>
      <c r="I21" s="427">
        <v>74</v>
      </c>
      <c r="J21" s="446" t="str">
        <f>_xlfn.XLOOKUP(I21,Order!$V$46:$V$859,Order!$C$46:$C$859,"")</f>
        <v xml:space="preserve">Phalaris arundinacea 'Picta'   </v>
      </c>
      <c r="K21" s="506">
        <f>_xlfn.XLOOKUP(I21,Order!$V$46:$V$859,Order!$T$46:$T$859,"")</f>
        <v>35</v>
      </c>
      <c r="L21" s="437">
        <f t="shared" si="4"/>
        <v>1</v>
      </c>
      <c r="M21" s="440" t="str">
        <f>_xlfn.XLOOKUP(I21,Order!$V$46:$V$859,Order!$P$46:$P$859,"")</f>
        <v>Gardeners Choice</v>
      </c>
      <c r="N21" s="449" t="s">
        <v>1083</v>
      </c>
      <c r="O21" s="421"/>
      <c r="P21" s="1012">
        <v>101</v>
      </c>
      <c r="Q21" s="446" t="str">
        <f>_xlfn.XLOOKUP(P21,Order!$V$46:$V$859,Order!$C$46:$C$859,"")</f>
        <v>Typha angustifolia</v>
      </c>
      <c r="R21" s="506">
        <f>_xlfn.XLOOKUP(P21,Order!$V$46:$V$859,Order!$T$46:$T$859,"")</f>
        <v>35</v>
      </c>
      <c r="S21" s="437">
        <f t="shared" ref="S21:S27" si="5">IF(Q21=AL21,0,1)</f>
        <v>1</v>
      </c>
      <c r="T21" s="440" t="str">
        <f>_xlfn.XLOOKUP(P21,Order!$V$46:$V$859,Order!$P$46:$P$859,"")</f>
        <v>Gardeners Choice</v>
      </c>
      <c r="U21" s="449" t="s">
        <v>1083</v>
      </c>
      <c r="W21" s="427">
        <v>72</v>
      </c>
      <c r="X21" s="446" t="s">
        <v>159</v>
      </c>
      <c r="Y21" s="509">
        <v>35</v>
      </c>
      <c r="Z21" s="437">
        <v>0</v>
      </c>
      <c r="AA21" s="440" t="s">
        <v>514</v>
      </c>
      <c r="AB21" s="449" t="s">
        <v>1083</v>
      </c>
      <c r="AC21" s="421" t="s">
        <v>1083</v>
      </c>
      <c r="AD21" s="427">
        <v>73</v>
      </c>
      <c r="AE21" s="446" t="s">
        <v>402</v>
      </c>
      <c r="AF21" s="506">
        <v>45</v>
      </c>
      <c r="AG21" s="437">
        <v>0</v>
      </c>
      <c r="AH21" s="440" t="s">
        <v>514</v>
      </c>
      <c r="AI21" s="449" t="s">
        <v>1083</v>
      </c>
      <c r="AJ21" s="421"/>
    </row>
    <row r="22" spans="2:42" x14ac:dyDescent="0.25">
      <c r="B22" s="427">
        <v>70</v>
      </c>
      <c r="C22" s="446" t="str">
        <f>_xlfn.XLOOKUP(B22,Order!$V$46:$V$859,Order!$C$46:$C$859,"")</f>
        <v>Glyceria Maxima</v>
      </c>
      <c r="D22" s="509">
        <f>_xlfn.XLOOKUP(B22,Order!$V$46:$V$859,Order!$T$46:$T$859,"")</f>
        <v>30</v>
      </c>
      <c r="E22" s="437">
        <f t="shared" si="3"/>
        <v>1</v>
      </c>
      <c r="F22" s="440" t="str">
        <f>_xlfn.XLOOKUP(B22,Order!$V$46:$V$859,Order!$P$46:$P$859,"")</f>
        <v>1L Marginals</v>
      </c>
      <c r="G22" s="449" t="s">
        <v>1083</v>
      </c>
      <c r="H22" s="421" t="s">
        <v>1083</v>
      </c>
      <c r="I22" s="427">
        <v>75</v>
      </c>
      <c r="J22" s="446" t="str">
        <f>_xlfn.XLOOKUP(I22,Order!$V$46:$V$859,Order!$C$46:$C$859,"")</f>
        <v>Myosotis palustris</v>
      </c>
      <c r="K22" s="506">
        <f>_xlfn.XLOOKUP(I22,Order!$V$46:$V$859,Order!$T$46:$T$859,"")</f>
        <v>35</v>
      </c>
      <c r="L22" s="437">
        <f t="shared" si="4"/>
        <v>1</v>
      </c>
      <c r="M22" s="440" t="str">
        <f>_xlfn.XLOOKUP(I22,Order!$V$46:$V$859,Order!$P$46:$P$859,"")</f>
        <v>Gardeners Choice</v>
      </c>
      <c r="N22" s="449" t="s">
        <v>1083</v>
      </c>
      <c r="O22" s="421"/>
      <c r="P22" s="1012">
        <v>100</v>
      </c>
      <c r="Q22" s="446" t="str">
        <f>_xlfn.XLOOKUP(P22,Order!$V$46:$V$859,Order!$C$46:$C$859,"")</f>
        <v>Ranunculus flammula</v>
      </c>
      <c r="R22" s="506">
        <f>_xlfn.XLOOKUP(P22,Order!$V$46:$V$859,Order!$T$46:$T$859,"")</f>
        <v>35</v>
      </c>
      <c r="S22" s="437">
        <f t="shared" si="5"/>
        <v>1</v>
      </c>
      <c r="T22" s="440" t="str">
        <f>_xlfn.XLOOKUP(P22,Order!$V$46:$V$859,Order!$P$46:$P$859,"")</f>
        <v>Gardeners Choice</v>
      </c>
      <c r="U22" s="449" t="s">
        <v>1083</v>
      </c>
      <c r="W22" s="427">
        <v>70</v>
      </c>
      <c r="X22" s="446" t="s">
        <v>322</v>
      </c>
      <c r="Y22" s="509">
        <v>45</v>
      </c>
      <c r="Z22" s="437">
        <v>0</v>
      </c>
      <c r="AA22" s="440" t="s">
        <v>628</v>
      </c>
      <c r="AB22" s="449" t="s">
        <v>1083</v>
      </c>
      <c r="AC22" s="421" t="s">
        <v>1083</v>
      </c>
      <c r="AD22" s="427">
        <v>71</v>
      </c>
      <c r="AE22" s="446" t="s">
        <v>445</v>
      </c>
      <c r="AF22" s="506">
        <v>45</v>
      </c>
      <c r="AG22" s="437">
        <v>0</v>
      </c>
      <c r="AH22" s="440" t="s">
        <v>628</v>
      </c>
      <c r="AI22" s="449" t="s">
        <v>1083</v>
      </c>
      <c r="AJ22" s="421"/>
    </row>
    <row r="23" spans="2:42" x14ac:dyDescent="0.25">
      <c r="B23" s="427">
        <v>69</v>
      </c>
      <c r="C23" s="446" t="str">
        <f>_xlfn.XLOOKUP(B23,Order!$V$46:$V$859,Order!$C$46:$C$859,"")</f>
        <v>Iris ensata</v>
      </c>
      <c r="D23" s="509">
        <f>_xlfn.XLOOKUP(B23,Order!$V$46:$V$859,Order!$T$46:$T$859,"")</f>
        <v>35</v>
      </c>
      <c r="E23" s="437">
        <f t="shared" si="3"/>
        <v>1</v>
      </c>
      <c r="F23" s="440" t="str">
        <f>_xlfn.XLOOKUP(B23,Order!$V$46:$V$859,Order!$P$46:$P$859,"")</f>
        <v>1L Marginals</v>
      </c>
      <c r="G23" s="449" t="s">
        <v>1083</v>
      </c>
      <c r="H23" s="421" t="s">
        <v>1083</v>
      </c>
      <c r="I23" s="427">
        <v>76</v>
      </c>
      <c r="J23" s="446" t="str">
        <f>_xlfn.XLOOKUP(I23,Order!$V$46:$V$859,Order!$C$46:$C$859,"")</f>
        <v>Lysimachia nummularia 'aurea'</v>
      </c>
      <c r="K23" s="506">
        <f>_xlfn.XLOOKUP(I23,Order!$V$46:$V$859,Order!$T$46:$T$859,"")</f>
        <v>35</v>
      </c>
      <c r="L23" s="437">
        <f t="shared" si="4"/>
        <v>1</v>
      </c>
      <c r="M23" s="440" t="str">
        <f>_xlfn.XLOOKUP(I23,Order!$V$46:$V$859,Order!$P$46:$P$859,"")</f>
        <v>Gardeners Choice</v>
      </c>
      <c r="N23" s="449" t="s">
        <v>1083</v>
      </c>
      <c r="O23" s="421"/>
      <c r="P23" s="427">
        <v>99</v>
      </c>
      <c r="Q23" s="446" t="str">
        <f>_xlfn.XLOOKUP(P23,Order!$V$46:$V$859,Order!$C$46:$C$859,"")</f>
        <v>Oenanthe 'Flamingo'</v>
      </c>
      <c r="R23" s="506">
        <f>_xlfn.XLOOKUP(P23,Order!$V$46:$V$859,Order!$T$46:$T$859,"")</f>
        <v>35</v>
      </c>
      <c r="S23" s="437">
        <f t="shared" si="5"/>
        <v>1</v>
      </c>
      <c r="T23" s="440" t="str">
        <f>_xlfn.XLOOKUP(P23,Order!$V$46:$V$859,Order!$P$46:$P$859,"")</f>
        <v>Gardeners Choice</v>
      </c>
      <c r="U23" s="449" t="s">
        <v>1083</v>
      </c>
      <c r="W23" s="427">
        <v>68</v>
      </c>
      <c r="X23" s="446" t="s">
        <v>193</v>
      </c>
      <c r="Y23" s="509">
        <v>45</v>
      </c>
      <c r="Z23" s="437">
        <v>0</v>
      </c>
      <c r="AA23" s="440" t="s">
        <v>628</v>
      </c>
      <c r="AB23" s="449" t="s">
        <v>1083</v>
      </c>
      <c r="AC23" s="421" t="s">
        <v>1083</v>
      </c>
      <c r="AD23" s="427">
        <v>69</v>
      </c>
      <c r="AE23" s="446" t="s">
        <v>223</v>
      </c>
      <c r="AF23" s="506">
        <v>45</v>
      </c>
      <c r="AG23" s="437">
        <v>0</v>
      </c>
      <c r="AH23" s="440" t="s">
        <v>628</v>
      </c>
      <c r="AI23" s="449" t="s">
        <v>1083</v>
      </c>
      <c r="AJ23" s="421"/>
    </row>
    <row r="24" spans="2:42" x14ac:dyDescent="0.25">
      <c r="B24" s="427">
        <v>68</v>
      </c>
      <c r="C24" s="446" t="str">
        <f>_xlfn.XLOOKUP(B24,Order!$V$46:$V$859,Order!$C$46:$C$859,"")</f>
        <v>Iris louisiana 'Black Gamecock'</v>
      </c>
      <c r="D24" s="509">
        <f>_xlfn.XLOOKUP(B24,Order!$V$46:$V$859,Order!$T$46:$T$859,"")</f>
        <v>35</v>
      </c>
      <c r="E24" s="437">
        <f t="shared" si="3"/>
        <v>1</v>
      </c>
      <c r="F24" s="440" t="str">
        <f>_xlfn.XLOOKUP(B24,Order!$V$46:$V$859,Order!$P$46:$P$859,"")</f>
        <v>1L Marginals</v>
      </c>
      <c r="G24" s="449" t="s">
        <v>1083</v>
      </c>
      <c r="H24" s="421" t="s">
        <v>1083</v>
      </c>
      <c r="I24" s="427">
        <v>77</v>
      </c>
      <c r="J24" s="446" t="str">
        <f>_xlfn.XLOOKUP(I24,Order!$V$46:$V$859,Order!$C$46:$C$859,"")</f>
        <v>Juncus effusus</v>
      </c>
      <c r="K24" s="506">
        <f>_xlfn.XLOOKUP(I24,Order!$V$46:$V$859,Order!$T$46:$T$859,"")</f>
        <v>40</v>
      </c>
      <c r="L24" s="437">
        <f t="shared" si="4"/>
        <v>1</v>
      </c>
      <c r="M24" s="440" t="str">
        <f>_xlfn.XLOOKUP(I24,Order!$V$46:$V$859,Order!$P$46:$P$859,"")</f>
        <v>Gardeners Choice</v>
      </c>
      <c r="N24" s="449" t="s">
        <v>1083</v>
      </c>
      <c r="O24" s="421"/>
      <c r="P24" s="427">
        <v>98</v>
      </c>
      <c r="Q24" s="446" t="str">
        <f>_xlfn.XLOOKUP(P24,Order!$V$46:$V$859,Order!$C$46:$C$859,"")</f>
        <v>Mentha aquatica</v>
      </c>
      <c r="R24" s="506">
        <f>_xlfn.XLOOKUP(P24,Order!$V$46:$V$859,Order!$T$46:$T$859,"")</f>
        <v>35</v>
      </c>
      <c r="S24" s="437">
        <f t="shared" si="5"/>
        <v>1</v>
      </c>
      <c r="T24" s="440" t="str">
        <f>_xlfn.XLOOKUP(P24,Order!$V$46:$V$859,Order!$P$46:$P$859,"")</f>
        <v>Gardeners Choice</v>
      </c>
      <c r="U24" s="449" t="s">
        <v>1083</v>
      </c>
      <c r="W24" s="427">
        <v>66</v>
      </c>
      <c r="X24" s="446" t="s">
        <v>125</v>
      </c>
      <c r="Y24" s="509">
        <v>50</v>
      </c>
      <c r="Z24" s="437">
        <v>0</v>
      </c>
      <c r="AA24" s="440" t="s">
        <v>628</v>
      </c>
      <c r="AB24" s="449" t="s">
        <v>1083</v>
      </c>
      <c r="AC24" s="421" t="s">
        <v>1083</v>
      </c>
      <c r="AD24" s="427">
        <v>67</v>
      </c>
      <c r="AE24" s="446" t="s">
        <v>175</v>
      </c>
      <c r="AF24" s="506">
        <v>50</v>
      </c>
      <c r="AG24" s="437">
        <v>0</v>
      </c>
      <c r="AH24" s="440" t="s">
        <v>628</v>
      </c>
      <c r="AI24" s="449" t="s">
        <v>1083</v>
      </c>
      <c r="AJ24" s="421"/>
    </row>
    <row r="25" spans="2:42" x14ac:dyDescent="0.25">
      <c r="B25" s="427">
        <v>67</v>
      </c>
      <c r="C25" s="446" t="str">
        <f>_xlfn.XLOOKUP(B25,Order!$V$46:$V$859,Order!$C$46:$C$859,"")</f>
        <v>Iris sibirica 'Snow Queen'</v>
      </c>
      <c r="D25" s="509">
        <f>_xlfn.XLOOKUP(B25,Order!$V$46:$V$859,Order!$T$46:$T$859,"")</f>
        <v>35</v>
      </c>
      <c r="E25" s="437">
        <f t="shared" si="3"/>
        <v>1</v>
      </c>
      <c r="F25" s="440" t="str">
        <f>_xlfn.XLOOKUP(B25,Order!$V$46:$V$859,Order!$P$46:$P$859,"")</f>
        <v>1L Marginals</v>
      </c>
      <c r="G25" s="449" t="s">
        <v>1083</v>
      </c>
      <c r="H25" s="421" t="s">
        <v>1083</v>
      </c>
      <c r="I25" s="427">
        <v>78</v>
      </c>
      <c r="J25" s="446" t="str">
        <f>_xlfn.XLOOKUP(I25,Order!$V$46:$V$859,Order!$C$46:$C$859,"")</f>
        <v>Iris pseudacorus</v>
      </c>
      <c r="K25" s="506">
        <f>_xlfn.XLOOKUP(I25,Order!$V$46:$V$859,Order!$T$46:$T$859,"")</f>
        <v>35</v>
      </c>
      <c r="L25" s="437">
        <f t="shared" si="4"/>
        <v>1</v>
      </c>
      <c r="M25" s="440" t="str">
        <f>_xlfn.XLOOKUP(I25,Order!$V$46:$V$859,Order!$P$46:$P$859,"")</f>
        <v>Gardeners Choice</v>
      </c>
      <c r="N25" s="449" t="s">
        <v>1083</v>
      </c>
      <c r="O25" s="421"/>
      <c r="P25" s="427">
        <v>97</v>
      </c>
      <c r="Q25" s="446" t="str">
        <f>_xlfn.XLOOKUP(P25,Order!$V$46:$V$859,Order!$C$46:$C$859,"")</f>
        <v>Juncus Inflexus</v>
      </c>
      <c r="R25" s="506">
        <f>_xlfn.XLOOKUP(P25,Order!$V$46:$V$859,Order!$T$46:$T$859,"")</f>
        <v>40</v>
      </c>
      <c r="S25" s="437">
        <f t="shared" si="5"/>
        <v>1</v>
      </c>
      <c r="T25" s="440" t="str">
        <f>_xlfn.XLOOKUP(P25,Order!$V$46:$V$859,Order!$P$46:$P$859,"")</f>
        <v>Gardeners Choice</v>
      </c>
      <c r="U25" s="449" t="s">
        <v>1083</v>
      </c>
      <c r="W25" s="427">
        <v>64</v>
      </c>
      <c r="X25" s="446" t="s">
        <v>27</v>
      </c>
      <c r="Y25" s="509">
        <v>45</v>
      </c>
      <c r="Z25" s="437">
        <v>0</v>
      </c>
      <c r="AA25" s="440" t="s">
        <v>628</v>
      </c>
      <c r="AB25" s="449" t="s">
        <v>1083</v>
      </c>
      <c r="AC25" s="421" t="s">
        <v>1083</v>
      </c>
      <c r="AD25" s="427">
        <v>65</v>
      </c>
      <c r="AE25" s="446" t="s">
        <v>52</v>
      </c>
      <c r="AF25" s="506">
        <v>45</v>
      </c>
      <c r="AG25" s="437">
        <v>0</v>
      </c>
      <c r="AH25" s="440" t="s">
        <v>628</v>
      </c>
      <c r="AI25" s="449" t="s">
        <v>1083</v>
      </c>
      <c r="AJ25" s="421"/>
    </row>
    <row r="26" spans="2:42" x14ac:dyDescent="0.25">
      <c r="B26" s="427">
        <v>66</v>
      </c>
      <c r="C26" s="446" t="str">
        <f>_xlfn.XLOOKUP(B26,Order!$V$46:$V$859,Order!$C$46:$C$859,"")</f>
        <v>Juncus effusus 'Spiralis'</v>
      </c>
      <c r="D26" s="509">
        <f>_xlfn.XLOOKUP(B26,Order!$V$46:$V$859,Order!$T$46:$T$859,"")</f>
        <v>35</v>
      </c>
      <c r="E26" s="437">
        <f t="shared" si="3"/>
        <v>1</v>
      </c>
      <c r="F26" s="440" t="str">
        <f>_xlfn.XLOOKUP(B26,Order!$V$46:$V$859,Order!$P$46:$P$859,"")</f>
        <v>1L Marginals</v>
      </c>
      <c r="G26" s="449" t="s">
        <v>1083</v>
      </c>
      <c r="H26" s="421" t="s">
        <v>1083</v>
      </c>
      <c r="I26" s="427">
        <v>79</v>
      </c>
      <c r="J26" s="446" t="str">
        <f>_xlfn.XLOOKUP(I26,Order!$V$46:$V$859,Order!$C$46:$C$859,"")</f>
        <v>Carex pendula</v>
      </c>
      <c r="K26" s="506">
        <f>_xlfn.XLOOKUP(I26,Order!$V$46:$V$859,Order!$T$46:$T$859,"")</f>
        <v>35</v>
      </c>
      <c r="L26" s="437">
        <f t="shared" si="4"/>
        <v>1</v>
      </c>
      <c r="M26" s="440" t="str">
        <f>_xlfn.XLOOKUP(I26,Order!$V$46:$V$859,Order!$P$46:$P$859,"")</f>
        <v>Gardeners Choice</v>
      </c>
      <c r="N26" s="449" t="s">
        <v>1083</v>
      </c>
      <c r="O26" s="421"/>
      <c r="P26" s="427">
        <v>96</v>
      </c>
      <c r="Q26" s="446" t="str">
        <f>_xlfn.XLOOKUP(P26,Order!$V$46:$V$859,Order!$C$46:$C$859,"")</f>
        <v>Iris versicolor</v>
      </c>
      <c r="R26" s="506">
        <f>_xlfn.XLOOKUP(P26,Order!$V$46:$V$859,Order!$T$46:$T$859,"")</f>
        <v>35</v>
      </c>
      <c r="S26" s="437">
        <f t="shared" si="5"/>
        <v>1</v>
      </c>
      <c r="T26" s="440" t="str">
        <f>_xlfn.XLOOKUP(P26,Order!$V$46:$V$859,Order!$P$46:$P$859,"")</f>
        <v>Gardeners Choice</v>
      </c>
      <c r="U26" s="449" t="s">
        <v>1083</v>
      </c>
      <c r="W26" s="427">
        <v>62</v>
      </c>
      <c r="X26" s="446" t="s">
        <v>388</v>
      </c>
      <c r="Y26" s="509">
        <v>45</v>
      </c>
      <c r="Z26" s="437">
        <v>0</v>
      </c>
      <c r="AA26" s="440" t="s">
        <v>24</v>
      </c>
      <c r="AB26" s="449" t="s">
        <v>1083</v>
      </c>
      <c r="AC26" s="421" t="s">
        <v>1083</v>
      </c>
      <c r="AD26" s="427">
        <v>63</v>
      </c>
      <c r="AE26" s="446" t="s">
        <v>451</v>
      </c>
      <c r="AF26" s="506">
        <v>45</v>
      </c>
      <c r="AG26" s="437">
        <v>0</v>
      </c>
      <c r="AH26" s="440" t="s">
        <v>24</v>
      </c>
      <c r="AI26" s="449" t="s">
        <v>1083</v>
      </c>
      <c r="AJ26" s="421"/>
    </row>
    <row r="27" spans="2:42" x14ac:dyDescent="0.25">
      <c r="B27" s="427">
        <v>65</v>
      </c>
      <c r="C27" s="446" t="str">
        <f>_xlfn.XLOOKUP(B27,Order!$V$46:$V$859,Order!$C$46:$C$859,"")</f>
        <v>Lobelia speciosa Fan Scarlet</v>
      </c>
      <c r="D27" s="509">
        <f>_xlfn.XLOOKUP(B27,Order!$V$46:$V$859,Order!$T$46:$T$859,"")</f>
        <v>35</v>
      </c>
      <c r="E27" s="437">
        <f t="shared" si="3"/>
        <v>1</v>
      </c>
      <c r="F27" s="440" t="str">
        <f>_xlfn.XLOOKUP(B27,Order!$V$46:$V$859,Order!$P$46:$P$859,"")</f>
        <v>1L Marginals</v>
      </c>
      <c r="G27" s="449" t="s">
        <v>1083</v>
      </c>
      <c r="H27" s="421" t="s">
        <v>1083</v>
      </c>
      <c r="I27" s="427">
        <v>80</v>
      </c>
      <c r="J27" s="446" t="str">
        <f>_xlfn.XLOOKUP(I27,Order!$V$46:$V$859,Order!$C$46:$C$859,"")</f>
        <v>Acorus gramineus 'Ogon'</v>
      </c>
      <c r="K27" s="506">
        <f>_xlfn.XLOOKUP(I27,Order!$V$46:$V$859,Order!$T$46:$T$859,"")</f>
        <v>35</v>
      </c>
      <c r="L27" s="437">
        <f t="shared" si="4"/>
        <v>1</v>
      </c>
      <c r="M27" s="440" t="str">
        <f>_xlfn.XLOOKUP(I27,Order!$V$46:$V$859,Order!$P$46:$P$859,"")</f>
        <v>Gardeners Choice</v>
      </c>
      <c r="N27" s="449" t="s">
        <v>1083</v>
      </c>
      <c r="O27" s="421"/>
      <c r="P27" s="427">
        <v>95</v>
      </c>
      <c r="Q27" s="446" t="str">
        <f>_xlfn.XLOOKUP(P27,Order!$V$46:$V$859,Order!$C$46:$C$859,"")</f>
        <v>Carex panicea</v>
      </c>
      <c r="R27" s="506">
        <f>_xlfn.XLOOKUP(P27,Order!$V$46:$V$859,Order!$T$46:$T$859,"")</f>
        <v>35</v>
      </c>
      <c r="S27" s="437">
        <f t="shared" si="5"/>
        <v>1</v>
      </c>
      <c r="T27" s="440" t="str">
        <f>_xlfn.XLOOKUP(P27,Order!$V$46:$V$859,Order!$P$46:$P$859,"")</f>
        <v>Gardeners Choice</v>
      </c>
      <c r="U27" s="449" t="s">
        <v>1083</v>
      </c>
      <c r="W27" s="427">
        <v>60</v>
      </c>
      <c r="X27" s="446" t="s">
        <v>302</v>
      </c>
      <c r="Y27" s="509">
        <v>45</v>
      </c>
      <c r="Z27" s="437">
        <v>0</v>
      </c>
      <c r="AA27" s="440" t="s">
        <v>24</v>
      </c>
      <c r="AB27" s="449" t="s">
        <v>1083</v>
      </c>
      <c r="AC27" s="421" t="s">
        <v>1083</v>
      </c>
      <c r="AD27" s="427">
        <v>61</v>
      </c>
      <c r="AE27" s="446" t="s">
        <v>322</v>
      </c>
      <c r="AF27" s="506">
        <v>45</v>
      </c>
      <c r="AG27" s="437">
        <v>0</v>
      </c>
      <c r="AH27" s="440" t="s">
        <v>24</v>
      </c>
      <c r="AI27" s="449" t="s">
        <v>1083</v>
      </c>
      <c r="AJ27" s="421"/>
    </row>
    <row r="28" spans="2:42" x14ac:dyDescent="0.25">
      <c r="B28" s="427">
        <v>64</v>
      </c>
      <c r="C28" s="446" t="str">
        <f>_xlfn.XLOOKUP(B28,Order!$V$46:$V$859,Order!$C$46:$C$859,"")</f>
        <v>Lobelia syphilitica 'Alba'</v>
      </c>
      <c r="D28" s="509">
        <f>_xlfn.XLOOKUP(B28,Order!$V$46:$V$859,Order!$T$46:$T$859,"")</f>
        <v>35</v>
      </c>
      <c r="E28" s="437">
        <f t="shared" si="3"/>
        <v>1</v>
      </c>
      <c r="F28" s="440" t="str">
        <f>_xlfn.XLOOKUP(B28,Order!$V$46:$V$859,Order!$P$46:$P$859,"")</f>
        <v>1L Marginals</v>
      </c>
      <c r="G28" s="449" t="s">
        <v>1083</v>
      </c>
      <c r="H28" s="421" t="s">
        <v>1083</v>
      </c>
      <c r="I28" s="427">
        <v>81</v>
      </c>
      <c r="J28" s="446" t="str">
        <f>_xlfn.XLOOKUP(I28,Order!$V$46:$V$859,Order!$C$46:$C$859,"")</f>
        <v>Veronica beccabunga</v>
      </c>
      <c r="K28" s="506">
        <f>_xlfn.XLOOKUP(I28,Order!$V$46:$V$859,Order!$T$46:$T$859,"")</f>
        <v>30</v>
      </c>
      <c r="L28" s="437">
        <f t="shared" si="4"/>
        <v>1</v>
      </c>
      <c r="M28" s="440" t="str">
        <f>_xlfn.XLOOKUP(I28,Order!$V$46:$V$859,Order!$P$46:$P$859,"")</f>
        <v>1L Marginals</v>
      </c>
      <c r="N28" s="449" t="s">
        <v>1083</v>
      </c>
      <c r="O28" s="421"/>
      <c r="P28" s="427">
        <v>94</v>
      </c>
      <c r="Q28" s="446" t="str">
        <f>_xlfn.XLOOKUP(P28,Order!$V$46:$V$859,Order!$C$46:$C$859,"")</f>
        <v>Caltha palustris</v>
      </c>
      <c r="R28" s="506">
        <f>_xlfn.XLOOKUP(P28,Order!$V$46:$V$859,Order!$T$46:$T$859,"")</f>
        <v>35</v>
      </c>
      <c r="S28" s="437">
        <f t="shared" ref="S28:S34" si="6">IF(Q28=AL28,0,1)</f>
        <v>1</v>
      </c>
      <c r="T28" s="440" t="str">
        <f>_xlfn.XLOOKUP(P28,Order!$V$46:$V$859,Order!$P$46:$P$859,"")</f>
        <v>Gardeners Choice</v>
      </c>
      <c r="U28" s="449" t="s">
        <v>1083</v>
      </c>
      <c r="W28" s="427">
        <v>58</v>
      </c>
      <c r="X28" s="446" t="s">
        <v>229</v>
      </c>
      <c r="Y28" s="509">
        <v>50</v>
      </c>
      <c r="Z28" s="437">
        <v>0</v>
      </c>
      <c r="AA28" s="440" t="s">
        <v>24</v>
      </c>
      <c r="AB28" s="449" t="s">
        <v>1083</v>
      </c>
      <c r="AC28" s="421" t="s">
        <v>1083</v>
      </c>
      <c r="AD28" s="427">
        <v>59</v>
      </c>
      <c r="AE28" s="446" t="s">
        <v>238</v>
      </c>
      <c r="AF28" s="506">
        <v>50</v>
      </c>
      <c r="AG28" s="437">
        <v>0</v>
      </c>
      <c r="AH28" s="440" t="s">
        <v>24</v>
      </c>
      <c r="AI28" s="449" t="s">
        <v>1083</v>
      </c>
      <c r="AJ28" s="421"/>
    </row>
    <row r="29" spans="2:42" x14ac:dyDescent="0.25">
      <c r="B29" s="427">
        <v>63</v>
      </c>
      <c r="C29" s="446" t="str">
        <f>_xlfn.XLOOKUP(B29,Order!$V$46:$V$859,Order!$C$46:$C$859,"")</f>
        <v>Lysimachia nummularia</v>
      </c>
      <c r="D29" s="509">
        <f>_xlfn.XLOOKUP(B29,Order!$V$46:$V$859,Order!$T$46:$T$859,"")</f>
        <v>30</v>
      </c>
      <c r="E29" s="437">
        <f t="shared" si="3"/>
        <v>1</v>
      </c>
      <c r="F29" s="440" t="str">
        <f>_xlfn.XLOOKUP(B29,Order!$V$46:$V$859,Order!$P$46:$P$859,"")</f>
        <v>1L Marginals</v>
      </c>
      <c r="G29" s="449" t="s">
        <v>1083</v>
      </c>
      <c r="H29" s="421" t="s">
        <v>1083</v>
      </c>
      <c r="I29" s="427">
        <v>82</v>
      </c>
      <c r="J29" s="446" t="str">
        <f>_xlfn.XLOOKUP(I29,Order!$V$46:$V$859,Order!$C$46:$C$859,"")</f>
        <v>Typha latifolia</v>
      </c>
      <c r="K29" s="506">
        <f>_xlfn.XLOOKUP(I29,Order!$V$46:$V$859,Order!$T$46:$T$859,"")</f>
        <v>30</v>
      </c>
      <c r="L29" s="437">
        <f t="shared" si="4"/>
        <v>1</v>
      </c>
      <c r="M29" s="440" t="str">
        <f>_xlfn.XLOOKUP(I29,Order!$V$46:$V$859,Order!$P$46:$P$859,"")</f>
        <v>1L Marginals</v>
      </c>
      <c r="N29" s="449" t="s">
        <v>1083</v>
      </c>
      <c r="O29" s="421"/>
      <c r="P29" s="427">
        <v>93</v>
      </c>
      <c r="Q29" s="446" t="str">
        <f>_xlfn.XLOOKUP(P29,Order!$V$46:$V$859,Order!$C$46:$C$859,"")</f>
        <v>Typha minima</v>
      </c>
      <c r="R29" s="506">
        <f>_xlfn.XLOOKUP(P29,Order!$V$46:$V$859,Order!$T$46:$T$859,"")</f>
        <v>30</v>
      </c>
      <c r="S29" s="437">
        <f t="shared" si="6"/>
        <v>1</v>
      </c>
      <c r="T29" s="440" t="str">
        <f>_xlfn.XLOOKUP(P29,Order!$V$46:$V$859,Order!$P$46:$P$859,"")</f>
        <v>1L Marginals</v>
      </c>
      <c r="U29" s="449" t="s">
        <v>1083</v>
      </c>
      <c r="W29" s="427">
        <v>56</v>
      </c>
      <c r="X29" s="446" t="s">
        <v>125</v>
      </c>
      <c r="Y29" s="509">
        <v>50</v>
      </c>
      <c r="Z29" s="437">
        <v>0</v>
      </c>
      <c r="AA29" s="440" t="s">
        <v>24</v>
      </c>
      <c r="AB29" s="449" t="s">
        <v>1083</v>
      </c>
      <c r="AC29" s="421" t="s">
        <v>1083</v>
      </c>
      <c r="AD29" s="427">
        <v>57</v>
      </c>
      <c r="AE29" s="446" t="s">
        <v>193</v>
      </c>
      <c r="AF29" s="506">
        <v>45</v>
      </c>
      <c r="AG29" s="437">
        <v>0</v>
      </c>
      <c r="AH29" s="440" t="s">
        <v>24</v>
      </c>
      <c r="AI29" s="449" t="s">
        <v>1083</v>
      </c>
      <c r="AJ29" s="421"/>
    </row>
    <row r="30" spans="2:42" x14ac:dyDescent="0.25">
      <c r="B30" s="427">
        <v>62</v>
      </c>
      <c r="C30" s="446" t="str">
        <f>_xlfn.XLOOKUP(B30,Order!$V$46:$V$859,Order!$C$46:$C$859,"")</f>
        <v>Mazus reptans</v>
      </c>
      <c r="D30" s="509">
        <f>_xlfn.XLOOKUP(B30,Order!$V$46:$V$859,Order!$T$46:$T$859,"")</f>
        <v>30</v>
      </c>
      <c r="E30" s="437">
        <f t="shared" si="3"/>
        <v>1</v>
      </c>
      <c r="F30" s="440" t="str">
        <f>_xlfn.XLOOKUP(B30,Order!$V$46:$V$859,Order!$P$46:$P$859,"")</f>
        <v>1L Marginals</v>
      </c>
      <c r="G30" s="449" t="s">
        <v>1083</v>
      </c>
      <c r="H30" s="421" t="s">
        <v>1083</v>
      </c>
      <c r="I30" s="427">
        <v>83</v>
      </c>
      <c r="J30" s="446" t="str">
        <f>_xlfn.XLOOKUP(I30,Order!$V$46:$V$859,Order!$C$46:$C$859,"")</f>
        <v>Sisyrinchium Californicum</v>
      </c>
      <c r="K30" s="506">
        <f>_xlfn.XLOOKUP(I30,Order!$V$46:$V$859,Order!$T$46:$T$859,"")</f>
        <v>30</v>
      </c>
      <c r="L30" s="437">
        <f t="shared" si="4"/>
        <v>1</v>
      </c>
      <c r="M30" s="440" t="str">
        <f>_xlfn.XLOOKUP(I30,Order!$V$46:$V$859,Order!$P$46:$P$859,"")</f>
        <v>1L Marginals</v>
      </c>
      <c r="N30" s="449" t="s">
        <v>1083</v>
      </c>
      <c r="O30" s="421"/>
      <c r="P30" s="427">
        <v>92</v>
      </c>
      <c r="Q30" s="446" t="str">
        <f>_xlfn.XLOOKUP(P30,Order!$V$46:$V$859,Order!$C$46:$C$859,"")</f>
        <v>Typha angustifolia</v>
      </c>
      <c r="R30" s="506">
        <f>_xlfn.XLOOKUP(P30,Order!$V$46:$V$859,Order!$T$46:$T$859,"")</f>
        <v>30</v>
      </c>
      <c r="S30" s="437">
        <f t="shared" si="6"/>
        <v>1</v>
      </c>
      <c r="T30" s="440" t="str">
        <f>_xlfn.XLOOKUP(P30,Order!$V$46:$V$859,Order!$P$46:$P$859,"")</f>
        <v>1L Marginals</v>
      </c>
      <c r="U30" s="449" t="s">
        <v>1083</v>
      </c>
      <c r="W30" s="427">
        <v>54</v>
      </c>
      <c r="X30" s="446" t="s">
        <v>388</v>
      </c>
      <c r="Y30" s="509">
        <v>45</v>
      </c>
      <c r="Z30" s="437">
        <v>0</v>
      </c>
      <c r="AA30" s="440" t="s">
        <v>628</v>
      </c>
      <c r="AB30" s="449" t="s">
        <v>1083</v>
      </c>
      <c r="AC30" s="421" t="s">
        <v>1083</v>
      </c>
      <c r="AD30" s="427">
        <v>55</v>
      </c>
      <c r="AE30" s="446" t="s">
        <v>52</v>
      </c>
      <c r="AF30" s="506">
        <v>35</v>
      </c>
      <c r="AG30" s="437">
        <v>0</v>
      </c>
      <c r="AH30" s="440" t="s">
        <v>24</v>
      </c>
      <c r="AI30" s="449" t="s">
        <v>1083</v>
      </c>
      <c r="AJ30" s="421"/>
    </row>
    <row r="31" spans="2:42" x14ac:dyDescent="0.25">
      <c r="B31" s="427">
        <v>61</v>
      </c>
      <c r="C31" s="446" t="str">
        <f>_xlfn.XLOOKUP(B31,Order!$V$46:$V$859,Order!$C$46:$C$859,"")</f>
        <v>Mentha aquatica</v>
      </c>
      <c r="D31" s="509">
        <f>_xlfn.XLOOKUP(B31,Order!$V$46:$V$859,Order!$T$46:$T$859,"")</f>
        <v>30</v>
      </c>
      <c r="E31" s="437">
        <f t="shared" si="3"/>
        <v>1</v>
      </c>
      <c r="F31" s="440" t="str">
        <f>_xlfn.XLOOKUP(B31,Order!$V$46:$V$859,Order!$P$46:$P$859,"")</f>
        <v>1L Marginals</v>
      </c>
      <c r="G31" s="449" t="s">
        <v>1083</v>
      </c>
      <c r="H31" s="421" t="s">
        <v>1083</v>
      </c>
      <c r="I31" s="427">
        <v>84</v>
      </c>
      <c r="J31" s="446" t="str">
        <f>_xlfn.XLOOKUP(I31,Order!$V$46:$V$859,Order!$C$46:$C$859,"")</f>
        <v xml:space="preserve">Schizostylis Pink      </v>
      </c>
      <c r="K31" s="506">
        <f>_xlfn.XLOOKUP(I31,Order!$V$46:$V$859,Order!$T$46:$T$859,"")</f>
        <v>30</v>
      </c>
      <c r="L31" s="437">
        <f>IF(J31=AE31,0,1)</f>
        <v>1</v>
      </c>
      <c r="M31" s="440" t="str">
        <f>_xlfn.XLOOKUP(I31,Order!$V$46:$V$859,Order!$P$46:$P$859,"")</f>
        <v>1L Marginals</v>
      </c>
      <c r="N31" s="449" t="s">
        <v>1083</v>
      </c>
      <c r="O31" s="421"/>
      <c r="P31" s="427">
        <v>91</v>
      </c>
      <c r="Q31" s="446" t="str">
        <f>_xlfn.XLOOKUP(P31,Order!$V$46:$V$859,Order!$C$46:$C$859,"")</f>
        <v>Schizostylis Red</v>
      </c>
      <c r="R31" s="506">
        <f>_xlfn.XLOOKUP(P31,Order!$V$46:$V$859,Order!$T$46:$T$859,"")</f>
        <v>30</v>
      </c>
      <c r="S31" s="437">
        <f t="shared" si="6"/>
        <v>1</v>
      </c>
      <c r="T31" s="440" t="str">
        <f>_xlfn.XLOOKUP(P31,Order!$V$46:$V$859,Order!$P$46:$P$859,"")</f>
        <v>1L Marginals</v>
      </c>
      <c r="U31" s="449" t="s">
        <v>1083</v>
      </c>
      <c r="W31" s="427">
        <v>52</v>
      </c>
      <c r="X31" s="446" t="s">
        <v>305</v>
      </c>
      <c r="Y31" s="509">
        <v>35</v>
      </c>
      <c r="Z31" s="437">
        <v>0</v>
      </c>
      <c r="AA31" s="440" t="s">
        <v>628</v>
      </c>
      <c r="AB31" s="449" t="s">
        <v>1083</v>
      </c>
      <c r="AC31" s="421" t="s">
        <v>1083</v>
      </c>
      <c r="AD31" s="427">
        <v>53</v>
      </c>
      <c r="AE31" s="446" t="s">
        <v>319</v>
      </c>
      <c r="AF31" s="506">
        <v>35</v>
      </c>
      <c r="AG31" s="437">
        <v>0</v>
      </c>
      <c r="AH31" s="440" t="s">
        <v>628</v>
      </c>
      <c r="AI31" s="449" t="s">
        <v>1083</v>
      </c>
      <c r="AJ31" s="421"/>
    </row>
    <row r="32" spans="2:42" x14ac:dyDescent="0.25">
      <c r="B32" s="427">
        <v>60</v>
      </c>
      <c r="C32" s="446" t="str">
        <f>_xlfn.XLOOKUP(B32,Order!$V$46:$V$859,Order!$C$46:$C$859,"")</f>
        <v>Myosotis palustris</v>
      </c>
      <c r="D32" s="509">
        <f>_xlfn.XLOOKUP(B32,Order!$V$46:$V$859,Order!$T$46:$T$859,"")</f>
        <v>30</v>
      </c>
      <c r="E32" s="437">
        <f t="shared" si="3"/>
        <v>1</v>
      </c>
      <c r="F32" s="440" t="str">
        <f>_xlfn.XLOOKUP(B32,Order!$V$46:$V$859,Order!$P$46:$P$859,"")</f>
        <v>1L Marginals</v>
      </c>
      <c r="G32" s="449" t="s">
        <v>1083</v>
      </c>
      <c r="H32" s="421" t="s">
        <v>1083</v>
      </c>
      <c r="I32" s="427">
        <v>85</v>
      </c>
      <c r="J32" s="446" t="str">
        <f>_xlfn.XLOOKUP(I32,Order!$V$46:$V$859,Order!$C$46:$C$859,"")</f>
        <v>Ranunculus flammula</v>
      </c>
      <c r="K32" s="506">
        <f>_xlfn.XLOOKUP(I32,Order!$V$46:$V$859,Order!$T$46:$T$859,"")</f>
        <v>30</v>
      </c>
      <c r="L32" s="437">
        <f>IF(J32=AE32,0,1)</f>
        <v>1</v>
      </c>
      <c r="M32" s="440" t="str">
        <f>_xlfn.XLOOKUP(I32,Order!$V$46:$V$859,Order!$P$46:$P$859,"")</f>
        <v>1L Marginals</v>
      </c>
      <c r="N32" s="449" t="s">
        <v>1083</v>
      </c>
      <c r="O32" s="421"/>
      <c r="P32" s="427">
        <v>90</v>
      </c>
      <c r="Q32" s="446" t="str">
        <f>_xlfn.XLOOKUP(P32,Order!$V$46:$V$859,Order!$C$46:$C$859,"")</f>
        <v>Ranunculus lingua grandiflora</v>
      </c>
      <c r="R32" s="506">
        <f>_xlfn.XLOOKUP(P32,Order!$V$46:$V$859,Order!$T$46:$T$859,"")</f>
        <v>30</v>
      </c>
      <c r="S32" s="437">
        <f t="shared" si="6"/>
        <v>1</v>
      </c>
      <c r="T32" s="440" t="str">
        <f>_xlfn.XLOOKUP(P32,Order!$V$46:$V$859,Order!$P$46:$P$859,"")</f>
        <v>1L Marginals</v>
      </c>
      <c r="U32" s="449" t="s">
        <v>1083</v>
      </c>
      <c r="W32" s="427">
        <v>50</v>
      </c>
      <c r="X32" s="446" t="s">
        <v>1203</v>
      </c>
      <c r="Y32" s="509">
        <v>35</v>
      </c>
      <c r="Z32" s="437">
        <v>0</v>
      </c>
      <c r="AA32" s="440" t="s">
        <v>628</v>
      </c>
      <c r="AB32" s="449" t="s">
        <v>1083</v>
      </c>
      <c r="AC32" s="421" t="s">
        <v>1083</v>
      </c>
      <c r="AD32" s="427">
        <v>51</v>
      </c>
      <c r="AE32" s="446" t="s">
        <v>284</v>
      </c>
      <c r="AF32" s="506">
        <v>35</v>
      </c>
      <c r="AG32" s="437">
        <v>0</v>
      </c>
      <c r="AH32" s="440" t="s">
        <v>628</v>
      </c>
      <c r="AI32" s="449" t="s">
        <v>1083</v>
      </c>
      <c r="AJ32" s="421"/>
    </row>
    <row r="33" spans="2:36" x14ac:dyDescent="0.25">
      <c r="B33" s="427">
        <v>59</v>
      </c>
      <c r="C33" s="446" t="str">
        <f>_xlfn.XLOOKUP(B33,Order!$V$46:$V$859,Order!$C$46:$C$859,"")</f>
        <v>Preslia cervina</v>
      </c>
      <c r="D33" s="509">
        <f>_xlfn.XLOOKUP(B33,Order!$V$46:$V$859,Order!$T$46:$T$859,"")</f>
        <v>30</v>
      </c>
      <c r="E33" s="437">
        <f t="shared" si="3"/>
        <v>1</v>
      </c>
      <c r="F33" s="440" t="str">
        <f>_xlfn.XLOOKUP(B33,Order!$V$46:$V$859,Order!$P$46:$P$859,"")</f>
        <v>1L Marginals</v>
      </c>
      <c r="G33" s="449" t="s">
        <v>1083</v>
      </c>
      <c r="H33" s="421" t="s">
        <v>1083</v>
      </c>
      <c r="I33" s="427">
        <v>86</v>
      </c>
      <c r="J33" s="446" t="str">
        <f>_xlfn.XLOOKUP(I33,Order!$V$46:$V$859,Order!$C$46:$C$859,"")</f>
        <v>Primula denticulata 'Rubin'</v>
      </c>
      <c r="K33" s="506">
        <f>_xlfn.XLOOKUP(I33,Order!$V$46:$V$859,Order!$T$46:$T$859,"")</f>
        <v>35</v>
      </c>
      <c r="L33" s="437">
        <f>IF(J33=AE33,0,1)</f>
        <v>1</v>
      </c>
      <c r="M33" s="440" t="str">
        <f>_xlfn.XLOOKUP(I33,Order!$V$46:$V$859,Order!$P$46:$P$859,"")</f>
        <v>1L Marginals</v>
      </c>
      <c r="N33" s="449" t="s">
        <v>1083</v>
      </c>
      <c r="O33" s="421"/>
      <c r="P33" s="427">
        <v>89</v>
      </c>
      <c r="Q33" s="446" t="str">
        <f>_xlfn.XLOOKUP(P33,Order!$V$46:$V$859,Order!$C$46:$C$859,"")</f>
        <v>Primula rosea</v>
      </c>
      <c r="R33" s="506">
        <f>_xlfn.XLOOKUP(P33,Order!$V$46:$V$859,Order!$T$46:$T$859,"")</f>
        <v>35</v>
      </c>
      <c r="S33" s="437">
        <f t="shared" si="6"/>
        <v>1</v>
      </c>
      <c r="T33" s="440" t="str">
        <f>_xlfn.XLOOKUP(P33,Order!$V$46:$V$859,Order!$P$46:$P$859,"")</f>
        <v>1L Marginals</v>
      </c>
      <c r="U33" s="449" t="s">
        <v>1083</v>
      </c>
      <c r="W33" s="427">
        <v>48</v>
      </c>
      <c r="X33" s="446" t="s">
        <v>1210</v>
      </c>
      <c r="Y33" s="509">
        <v>35</v>
      </c>
      <c r="Z33" s="437">
        <v>0</v>
      </c>
      <c r="AA33" s="440" t="s">
        <v>628</v>
      </c>
      <c r="AB33" s="449" t="s">
        <v>1083</v>
      </c>
      <c r="AC33" s="421" t="s">
        <v>1083</v>
      </c>
      <c r="AD33" s="427">
        <v>49</v>
      </c>
      <c r="AE33" s="446" t="s">
        <v>1211</v>
      </c>
      <c r="AF33" s="506">
        <v>35</v>
      </c>
      <c r="AG33" s="437">
        <v>0</v>
      </c>
      <c r="AH33" s="440" t="s">
        <v>628</v>
      </c>
      <c r="AI33" s="449" t="s">
        <v>1083</v>
      </c>
      <c r="AJ33" s="421"/>
    </row>
    <row r="34" spans="2:36" x14ac:dyDescent="0.25">
      <c r="B34" s="428">
        <v>58</v>
      </c>
      <c r="C34" s="447" t="str">
        <f>_xlfn.XLOOKUP(B34,Order!$V$46:$V$859,Order!$C$46:$C$859,"")</f>
        <v>Primula denticulata</v>
      </c>
      <c r="D34" s="510">
        <f>_xlfn.XLOOKUP(B34,Order!$V$46:$V$859,Order!$T$46:$T$859,"")</f>
        <v>40</v>
      </c>
      <c r="E34" s="438">
        <f t="shared" si="3"/>
        <v>1</v>
      </c>
      <c r="F34" s="441" t="str">
        <f>_xlfn.XLOOKUP(B34,Order!$V$46:$V$859,Order!$P$46:$P$859,"")</f>
        <v>1L Marginals</v>
      </c>
      <c r="G34" s="450" t="s">
        <v>1083</v>
      </c>
      <c r="H34" s="421" t="s">
        <v>1083</v>
      </c>
      <c r="I34" s="428">
        <v>87</v>
      </c>
      <c r="J34" s="447" t="str">
        <f>_xlfn.XLOOKUP(I34,Order!$V$46:$V$859,Order!$C$46:$C$859,"")</f>
        <v>Primula denticulata 'Alba'</v>
      </c>
      <c r="K34" s="507">
        <f>_xlfn.XLOOKUP(I34,Order!$V$46:$V$859,Order!$T$46:$T$859,"")</f>
        <v>35</v>
      </c>
      <c r="L34" s="438">
        <f>IF(J34=AE34,0,1)</f>
        <v>1</v>
      </c>
      <c r="M34" s="441" t="str">
        <f>_xlfn.XLOOKUP(I34,Order!$V$46:$V$859,Order!$P$46:$P$859,"")</f>
        <v>1L Marginals</v>
      </c>
      <c r="N34" s="450" t="s">
        <v>1083</v>
      </c>
      <c r="O34" s="421"/>
      <c r="P34" s="428">
        <v>88</v>
      </c>
      <c r="Q34" s="446" t="str">
        <f>_xlfn.XLOOKUP(P34,Order!$V$46:$V$859,Order!$C$46:$C$859,"")</f>
        <v>Primula Denticulata Lilac</v>
      </c>
      <c r="R34" s="506">
        <f>_xlfn.XLOOKUP(P34,Order!$V$46:$V$859,Order!$T$46:$T$859,"")</f>
        <v>35</v>
      </c>
      <c r="S34" s="437">
        <f t="shared" si="6"/>
        <v>1</v>
      </c>
      <c r="T34" s="440" t="str">
        <f>_xlfn.XLOOKUP(P34,Order!$V$46:$V$859,Order!$P$46:$P$859,"")</f>
        <v>1L Marginals</v>
      </c>
      <c r="U34" s="449" t="s">
        <v>1083</v>
      </c>
      <c r="W34" s="428">
        <v>46</v>
      </c>
      <c r="X34" s="447" t="s">
        <v>1201</v>
      </c>
      <c r="Y34" s="510">
        <v>35</v>
      </c>
      <c r="Z34" s="438">
        <v>0</v>
      </c>
      <c r="AA34" s="441" t="s">
        <v>628</v>
      </c>
      <c r="AB34" s="450" t="s">
        <v>1083</v>
      </c>
      <c r="AC34" s="421" t="s">
        <v>1083</v>
      </c>
      <c r="AD34" s="428">
        <v>47</v>
      </c>
      <c r="AE34" s="447" t="s">
        <v>1202</v>
      </c>
      <c r="AF34" s="507">
        <v>35</v>
      </c>
      <c r="AG34" s="438">
        <v>0</v>
      </c>
      <c r="AH34" s="441" t="s">
        <v>628</v>
      </c>
      <c r="AI34" s="450" t="s">
        <v>1083</v>
      </c>
      <c r="AJ34" s="421"/>
    </row>
    <row r="35" spans="2:36" x14ac:dyDescent="0.25">
      <c r="Q35" s="435" t="s">
        <v>1094</v>
      </c>
      <c r="R35" s="435"/>
      <c r="S35" s="435"/>
      <c r="T35" s="435"/>
      <c r="U35" s="435"/>
    </row>
    <row r="36" spans="2:36" x14ac:dyDescent="0.25">
      <c r="B36" s="426">
        <v>16</v>
      </c>
      <c r="C36" s="445" t="str">
        <f>_xlfn.XLOOKUP(B36,Order!$V$46:$V$859,Order!$C$46:$C$859,"")</f>
        <v/>
      </c>
      <c r="D36" s="508" t="str">
        <f>_xlfn.XLOOKUP(B36,Order!$V$46:$V$859,Order!$T$46:$T$859,"")</f>
        <v/>
      </c>
      <c r="E36" s="436"/>
      <c r="F36" s="439" t="str">
        <f>_xlfn.XLOOKUP(B36,Order!$V$46:$V$859,Order!$P$46:$P$859,"")</f>
        <v/>
      </c>
      <c r="G36" s="448" t="s">
        <v>1083</v>
      </c>
      <c r="I36" s="426">
        <v>23</v>
      </c>
      <c r="J36" s="446" t="str">
        <f>_xlfn.XLOOKUP(I36,Order!$V$46:$V$859,Order!$C$46:$C$859,"")</f>
        <v/>
      </c>
      <c r="K36" s="509" t="str">
        <f>_xlfn.XLOOKUP(I36,Order!$V$46:$V$859,Order!$T$46:$T$859,"")</f>
        <v/>
      </c>
      <c r="L36" s="437">
        <f>IF(J36=X40,0,1)</f>
        <v>0</v>
      </c>
      <c r="M36" s="440" t="str">
        <f>_xlfn.XLOOKUP(I36,Order!$V$46:$V$859,Order!$P$46:$P$859,"")</f>
        <v/>
      </c>
      <c r="N36" s="449" t="s">
        <v>1083</v>
      </c>
      <c r="P36" s="426">
        <v>54</v>
      </c>
      <c r="Q36" s="446" t="str">
        <f>_xlfn.XLOOKUP(P36,Order!$V$46:$V$859,Order!$C$46:$C$859,"")</f>
        <v/>
      </c>
      <c r="R36" s="509" t="str">
        <f>_xlfn.XLOOKUP(P36,Order!$V$46:$V$859,Order!$T$46:$T$859,"")</f>
        <v/>
      </c>
      <c r="S36" s="437">
        <f>IF(Q36=X44,0,1)</f>
        <v>0</v>
      </c>
      <c r="T36" s="440" t="str">
        <f>_xlfn.XLOOKUP(P36,Order!$V$46:$V$859,Order!$P$46:$P$859,"")</f>
        <v/>
      </c>
      <c r="U36" s="449" t="s">
        <v>1083</v>
      </c>
    </row>
    <row r="37" spans="2:36" x14ac:dyDescent="0.25">
      <c r="B37" s="427">
        <v>17</v>
      </c>
      <c r="C37" s="446" t="str">
        <f>_xlfn.XLOOKUP(B37,Order!$V$46:$V$859,Order!$C$46:$C$859,"")</f>
        <v/>
      </c>
      <c r="D37" s="509" t="str">
        <f>_xlfn.XLOOKUP(B37,Order!$V$46:$V$859,Order!$T$46:$T$859,"")</f>
        <v/>
      </c>
      <c r="E37" s="437"/>
      <c r="F37" s="440" t="str">
        <f>_xlfn.XLOOKUP(B37,Order!$V$46:$V$859,Order!$P$46:$P$859,"")</f>
        <v/>
      </c>
      <c r="G37" s="449" t="s">
        <v>1083</v>
      </c>
      <c r="I37" s="427">
        <v>22</v>
      </c>
      <c r="J37" s="446" t="str">
        <f>_xlfn.XLOOKUP(I37,Order!$V$46:$V$859,Order!$C$46:$C$859,"")</f>
        <v/>
      </c>
      <c r="K37" s="509" t="str">
        <f>_xlfn.XLOOKUP(I37,Order!$V$46:$V$859,Order!$T$46:$T$859,"")</f>
        <v/>
      </c>
      <c r="L37" s="437">
        <f>IF(J37=X41,0,1)</f>
        <v>0</v>
      </c>
      <c r="M37" s="440" t="str">
        <f>_xlfn.XLOOKUP(I37,Order!$V$46:$V$859,Order!$P$46:$P$859,"")</f>
        <v/>
      </c>
      <c r="N37" s="449" t="s">
        <v>1083</v>
      </c>
      <c r="P37" s="670">
        <v>55</v>
      </c>
      <c r="Q37" s="446" t="str">
        <f>_xlfn.XLOOKUP(P37,Order!$V$46:$V$859,Order!$C$46:$C$859,"")</f>
        <v/>
      </c>
      <c r="R37" s="509" t="str">
        <f>_xlfn.XLOOKUP(P37,Order!$V$46:$V$859,Order!$T$46:$T$859,"")</f>
        <v/>
      </c>
      <c r="S37" s="437">
        <f>IF(Q37=X45,0,1)</f>
        <v>0</v>
      </c>
      <c r="T37" s="440" t="str">
        <f>_xlfn.XLOOKUP(P37,Order!$V$46:$V$859,Order!$P$46:$P$859,"")</f>
        <v/>
      </c>
      <c r="U37" s="449" t="s">
        <v>1083</v>
      </c>
    </row>
    <row r="38" spans="2:36" x14ac:dyDescent="0.25">
      <c r="B38" s="426">
        <v>18</v>
      </c>
      <c r="C38" s="446" t="str">
        <f>_xlfn.XLOOKUP(B38,Order!$V$46:$V$859,Order!$C$46:$C$859,"")</f>
        <v/>
      </c>
      <c r="D38" s="509" t="str">
        <f>_xlfn.XLOOKUP(B38,Order!$V$46:$V$859,Order!$T$46:$T$859,"")</f>
        <v/>
      </c>
      <c r="E38" s="437">
        <f t="shared" ref="E38:E39" si="7">IF(C38=X38,0,1)</f>
        <v>0</v>
      </c>
      <c r="F38" s="440" t="str">
        <f>_xlfn.XLOOKUP(B38,Order!$V$46:$V$859,Order!$P$46:$P$859,"")</f>
        <v/>
      </c>
      <c r="G38" s="449" t="s">
        <v>1083</v>
      </c>
      <c r="I38" s="426">
        <v>21</v>
      </c>
      <c r="J38" s="446" t="str">
        <f>_xlfn.XLOOKUP(I38,Order!$V$46:$V$859,Order!$C$46:$C$859,"")</f>
        <v/>
      </c>
      <c r="K38" s="509" t="str">
        <f>_xlfn.XLOOKUP(I38,Order!$V$46:$V$859,Order!$T$46:$T$859,"")</f>
        <v/>
      </c>
      <c r="L38" s="437">
        <f>IF(J38=X42,0,1)</f>
        <v>0</v>
      </c>
      <c r="M38" s="440" t="str">
        <f>_xlfn.XLOOKUP(I38,Order!$V$46:$V$859,Order!$P$46:$P$859,"")</f>
        <v/>
      </c>
      <c r="N38" s="449" t="s">
        <v>1083</v>
      </c>
      <c r="P38" s="671">
        <v>56</v>
      </c>
      <c r="Q38" s="446" t="str">
        <f>_xlfn.XLOOKUP(P38,Order!$V$46:$V$859,Order!$C$46:$C$859,"")</f>
        <v/>
      </c>
      <c r="R38" s="509" t="str">
        <f>_xlfn.XLOOKUP(P38,Order!$V$46:$V$859,Order!$T$46:$T$859,"")</f>
        <v/>
      </c>
      <c r="S38" s="437">
        <f>IF(Q38=X46,0,1)</f>
        <v>0</v>
      </c>
      <c r="T38" s="440" t="str">
        <f>_xlfn.XLOOKUP(P38,Order!$V$46:$V$859,Order!$P$46:$P$859,"")</f>
        <v/>
      </c>
      <c r="U38" s="449" t="s">
        <v>1083</v>
      </c>
    </row>
    <row r="39" spans="2:36" x14ac:dyDescent="0.25">
      <c r="B39" s="427">
        <v>19</v>
      </c>
      <c r="C39" s="446" t="str">
        <f>_xlfn.XLOOKUP(B39,Order!$V$46:$V$859,Order!$C$46:$C$859,"")</f>
        <v/>
      </c>
      <c r="D39" s="509" t="str">
        <f>_xlfn.XLOOKUP(B39,Order!$V$46:$V$859,Order!$T$46:$T$859,"")</f>
        <v/>
      </c>
      <c r="E39" s="437">
        <f t="shared" si="7"/>
        <v>0</v>
      </c>
      <c r="F39" s="440" t="str">
        <f>_xlfn.XLOOKUP(B39,Order!$V$46:$V$859,Order!$P$46:$P$859,"")</f>
        <v/>
      </c>
      <c r="G39" s="449" t="s">
        <v>1083</v>
      </c>
      <c r="I39" s="427">
        <v>20</v>
      </c>
      <c r="J39" s="446" t="str">
        <f>_xlfn.XLOOKUP(I39,Order!$V$46:$V$859,Order!$C$46:$C$859,"")</f>
        <v/>
      </c>
      <c r="K39" s="509" t="str">
        <f>_xlfn.XLOOKUP(I39,Order!$V$46:$V$859,Order!$T$46:$T$859,"")</f>
        <v/>
      </c>
      <c r="L39" s="437">
        <f>IF(J39=X43,0,1)</f>
        <v>0</v>
      </c>
      <c r="M39" s="440" t="str">
        <f>_xlfn.XLOOKUP(I39,Order!$V$46:$V$859,Order!$P$46:$P$859,"")</f>
        <v/>
      </c>
      <c r="N39" s="449" t="s">
        <v>1083</v>
      </c>
      <c r="P39" s="670">
        <v>57</v>
      </c>
      <c r="Q39" s="446" t="str">
        <f>_xlfn.XLOOKUP(P39,Order!$V$46:$V$859,Order!$C$46:$C$859,"")</f>
        <v/>
      </c>
      <c r="R39" s="509" t="str">
        <f>_xlfn.XLOOKUP(P39,Order!$V$46:$V$859,Order!$T$46:$T$859,"")</f>
        <v/>
      </c>
      <c r="S39" s="437">
        <f>IF(Q39=X47,0,1)</f>
        <v>0</v>
      </c>
      <c r="T39" s="440" t="str">
        <f>_xlfn.XLOOKUP(P39,Order!$V$46:$V$859,Order!$P$46:$P$859,"")</f>
        <v/>
      </c>
      <c r="U39" s="449" t="s">
        <v>1083</v>
      </c>
    </row>
  </sheetData>
  <conditionalFormatting sqref="E36:E39 L36:L39 S36:S39">
    <cfRule type="colorScale" priority="1">
      <colorScale>
        <cfvo type="num" val="0"/>
        <cfvo type="num" val="1"/>
        <color theme="0"/>
        <color rgb="FFFF0000"/>
      </colorScale>
    </cfRule>
  </conditionalFormatting>
  <conditionalFormatting sqref="Z4:Z18">
    <cfRule type="colorScale" priority="7">
      <colorScale>
        <cfvo type="num" val="0"/>
        <cfvo type="num" val="1"/>
        <color theme="0"/>
        <color rgb="FFFF0000"/>
      </colorScale>
    </cfRule>
  </conditionalFormatting>
  <conditionalFormatting sqref="Z20:Z34">
    <cfRule type="colorScale" priority="4">
      <colorScale>
        <cfvo type="num" val="0"/>
        <cfvo type="num" val="1"/>
        <color theme="0"/>
        <color rgb="FFFF0000"/>
      </colorScale>
    </cfRule>
  </conditionalFormatting>
  <conditionalFormatting sqref="AG4:AG18">
    <cfRule type="colorScale" priority="6">
      <colorScale>
        <cfvo type="num" val="0"/>
        <cfvo type="num" val="1"/>
        <color theme="0"/>
        <color rgb="FFFF0000"/>
      </colorScale>
    </cfRule>
  </conditionalFormatting>
  <conditionalFormatting sqref="AG20:AG34">
    <cfRule type="colorScale" priority="3">
      <colorScale>
        <cfvo type="num" val="0"/>
        <cfvo type="num" val="1"/>
        <color theme="0"/>
        <color rgb="FFFF0000"/>
      </colorScale>
    </cfRule>
  </conditionalFormatting>
  <conditionalFormatting sqref="AN4:AN18">
    <cfRule type="colorScale" priority="5">
      <colorScale>
        <cfvo type="num" val="0"/>
        <cfvo type="num" val="1"/>
        <color theme="0"/>
        <color rgb="FFFF0000"/>
      </colorScale>
    </cfRule>
  </conditionalFormatting>
  <pageMargins left="0.23622047244094491" right="0.23622047244094491" top="0.55118110236220474" bottom="0.55118110236220474"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E408-EB60-4BC6-8B67-5A67CED35CC3}">
  <dimension ref="A1:O113"/>
  <sheetViews>
    <sheetView topLeftCell="A66" workbookViewId="0">
      <selection activeCell="J13" sqref="J13"/>
    </sheetView>
  </sheetViews>
  <sheetFormatPr defaultRowHeight="15" x14ac:dyDescent="0.25"/>
  <cols>
    <col min="2" max="2" width="28" bestFit="1" customWidth="1"/>
    <col min="3" max="3" width="28" customWidth="1"/>
    <col min="10" max="10" width="28" bestFit="1" customWidth="1"/>
    <col min="11" max="11" width="12.5703125" bestFit="1" customWidth="1"/>
    <col min="12" max="12" width="19.28515625" customWidth="1"/>
    <col min="13" max="13" width="2.7109375" customWidth="1"/>
    <col min="14" max="14" width="26" customWidth="1"/>
    <col min="15" max="15" width="13.7109375" customWidth="1"/>
  </cols>
  <sheetData>
    <row r="1" spans="1:15" x14ac:dyDescent="0.25">
      <c r="I1" s="1262" t="s">
        <v>1100</v>
      </c>
      <c r="J1" s="1262"/>
      <c r="K1" s="1262"/>
      <c r="N1" s="430" t="s">
        <v>1101</v>
      </c>
    </row>
    <row r="2" spans="1:15" ht="18.75" x14ac:dyDescent="0.3">
      <c r="I2" s="1263"/>
      <c r="J2" s="1263"/>
      <c r="K2" s="1263"/>
      <c r="L2" s="454"/>
      <c r="M2" s="454"/>
      <c r="N2" s="455" t="str">
        <f>'Stock position'!T1</f>
        <v>Week 12</v>
      </c>
    </row>
    <row r="3" spans="1:15" x14ac:dyDescent="0.25">
      <c r="I3" s="425" t="s">
        <v>15</v>
      </c>
      <c r="J3" s="452" t="s">
        <v>1096</v>
      </c>
      <c r="K3" s="456" t="s">
        <v>1099</v>
      </c>
      <c r="L3" s="452" t="s">
        <v>1097</v>
      </c>
      <c r="M3" s="560" t="s">
        <v>1200</v>
      </c>
      <c r="N3" s="453" t="s">
        <v>1098</v>
      </c>
      <c r="O3" s="478"/>
    </row>
    <row r="4" spans="1:15" x14ac:dyDescent="0.25">
      <c r="A4">
        <v>1</v>
      </c>
      <c r="B4" t="str">
        <f>_xlfn.XLOOKUP(A4,Order!$V$46:$V$859,Order!$C$46:$C$859,"")</f>
        <v>Hippuris vulgaris</v>
      </c>
      <c r="C4" t="str">
        <f>_xlfn.XLOOKUP(A4,Order!$V$46:$V$859,Order!$P$46:$P$859,"")</f>
        <v>1L Oxygenators</v>
      </c>
      <c r="D4">
        <f>_xlfn.XLOOKUP(A4,Order!$V$46:$V$859,Order!$H$46:$H$859,"")</f>
        <v>1</v>
      </c>
      <c r="E4">
        <f t="shared" ref="E4:E67" si="0">IFERROR(RANK(D4,D$4:D$113,1)*100+A4,"")</f>
        <v>201</v>
      </c>
      <c r="F4">
        <f t="shared" ref="F4:F67" si="1">IFERROR(RANK(E4,E$4:E$113,1),"")</f>
        <v>2</v>
      </c>
      <c r="I4" s="422"/>
      <c r="J4" s="423" t="s">
        <v>1129</v>
      </c>
      <c r="K4" s="457"/>
      <c r="L4" s="423"/>
      <c r="M4" s="472">
        <v>0</v>
      </c>
      <c r="N4" s="451"/>
    </row>
    <row r="5" spans="1:15" x14ac:dyDescent="0.25">
      <c r="A5">
        <v>2</v>
      </c>
      <c r="B5" t="str">
        <f>_xlfn.XLOOKUP(A5,Order!$V$46:$V$859,Order!$C$46:$C$859,"")</f>
        <v>Hydrocotyle Novae-Zeelandiae</v>
      </c>
      <c r="C5" t="str">
        <f>_xlfn.XLOOKUP(A5,Order!$V$46:$V$859,Order!$P$46:$P$859,"")</f>
        <v>1L Oxygenators</v>
      </c>
      <c r="D5">
        <f>_xlfn.XLOOKUP(A5,Order!$V$46:$V$859,Order!$H$46:$H$859,"")</f>
        <v>2</v>
      </c>
      <c r="E5">
        <f t="shared" si="0"/>
        <v>3502</v>
      </c>
      <c r="F5">
        <f t="shared" si="1"/>
        <v>35</v>
      </c>
      <c r="I5" s="422">
        <v>1</v>
      </c>
      <c r="J5" s="625" t="str">
        <f t="shared" ref="J5:J53" si="2">_xlfn.SINGLE(_xlfn.XLOOKUP(I5,F$4:F$113,B$4:B$113,""))</f>
        <v>Assorted 2L Floating Island</v>
      </c>
      <c r="K5" s="626">
        <f t="shared" ref="K5:K54" si="3">_xlfn.SINGLE(_xlfn.XLOOKUP(I5,F$4:F$113,A$4:A$113,""))</f>
        <v>38</v>
      </c>
      <c r="L5" s="625" t="str">
        <f>_xlfn.XLOOKUP(I5,F$4:F$113,C$4:C$113,"")</f>
        <v>2L with Floating Island</v>
      </c>
      <c r="M5" s="457">
        <v>0</v>
      </c>
      <c r="N5" s="451"/>
    </row>
    <row r="6" spans="1:15" x14ac:dyDescent="0.25">
      <c r="A6">
        <v>3</v>
      </c>
      <c r="B6" t="str">
        <f>_xlfn.XLOOKUP(A6,Order!$V$46:$V$859,Order!$C$46:$C$859,"")</f>
        <v>Hydrocotyle var.</v>
      </c>
      <c r="C6" t="str">
        <f>_xlfn.XLOOKUP(A6,Order!$V$46:$V$859,Order!$P$46:$P$859,"")</f>
        <v>1L Oxygenators</v>
      </c>
      <c r="D6">
        <f>_xlfn.XLOOKUP(A6,Order!$V$46:$V$859,Order!$H$46:$H$859,"")</f>
        <v>2</v>
      </c>
      <c r="E6">
        <f>IFERROR(RANK(D6,D$4:D$113,1)*100+A6,"")</f>
        <v>3503</v>
      </c>
      <c r="F6">
        <f t="shared" si="1"/>
        <v>36</v>
      </c>
      <c r="I6" s="422">
        <v>2</v>
      </c>
      <c r="J6" s="625" t="str">
        <f t="shared" si="2"/>
        <v>Hippuris vulgaris</v>
      </c>
      <c r="K6" s="626">
        <f t="shared" si="3"/>
        <v>1</v>
      </c>
      <c r="L6" s="625" t="str">
        <f t="shared" ref="L6:L51" si="4">_xlfn.SINGLE(_xlfn.XLOOKUP(I6,F$4:F$113,C$4:C$113,""))</f>
        <v>1L Oxygenators</v>
      </c>
      <c r="M6" s="457">
        <f t="shared" ref="M6:M50" si="5">IF(K6&lt;&gt;"",IF(K6&gt;K5,M5,M5+1),"")</f>
        <v>1</v>
      </c>
      <c r="N6" s="451"/>
    </row>
    <row r="7" spans="1:15" x14ac:dyDescent="0.25">
      <c r="A7">
        <v>4</v>
      </c>
      <c r="B7" t="str">
        <f>_xlfn.XLOOKUP(A7,Order!$V$46:$V$859,Order!$C$46:$C$859,"")</f>
        <v>Hydrocotyle Vulgaris</v>
      </c>
      <c r="C7" t="str">
        <f>_xlfn.XLOOKUP(A7,Order!$V$46:$V$859,Order!$P$46:$P$859,"")</f>
        <v>1L Oxygenators</v>
      </c>
      <c r="D7">
        <f>_xlfn.XLOOKUP(A7,Order!$V$46:$V$859,Order!$H$46:$H$859,"")</f>
        <v>2</v>
      </c>
      <c r="E7">
        <f t="shared" si="0"/>
        <v>3504</v>
      </c>
      <c r="F7">
        <f t="shared" si="1"/>
        <v>37</v>
      </c>
      <c r="I7" s="422">
        <v>3</v>
      </c>
      <c r="J7" s="625" t="str">
        <f t="shared" si="2"/>
        <v>Littorella uniflora</v>
      </c>
      <c r="K7" s="626">
        <f t="shared" si="3"/>
        <v>6</v>
      </c>
      <c r="L7" s="625" t="str">
        <f t="shared" si="4"/>
        <v>1L Oxygenators</v>
      </c>
      <c r="M7" s="457">
        <f t="shared" si="5"/>
        <v>1</v>
      </c>
      <c r="N7" s="451"/>
    </row>
    <row r="8" spans="1:15" x14ac:dyDescent="0.25">
      <c r="A8">
        <v>5</v>
      </c>
      <c r="B8" t="str">
        <f>_xlfn.XLOOKUP(A8,Order!$V$46:$V$859,Order!$C$46:$C$859,"")</f>
        <v>Lilaeopsis brasilensis</v>
      </c>
      <c r="C8" t="str">
        <f>_xlfn.XLOOKUP(A8,Order!$V$46:$V$859,Order!$P$46:$P$859,"")</f>
        <v>1L Oxygenators</v>
      </c>
      <c r="D8">
        <f>_xlfn.XLOOKUP(A8,Order!$V$46:$V$859,Order!$H$46:$H$859,"")</f>
        <v>2</v>
      </c>
      <c r="E8">
        <f t="shared" si="0"/>
        <v>3505</v>
      </c>
      <c r="F8">
        <f t="shared" si="1"/>
        <v>38</v>
      </c>
      <c r="I8" s="422">
        <v>4</v>
      </c>
      <c r="J8" s="625" t="str">
        <f t="shared" si="2"/>
        <v xml:space="preserve">Myriophyllum red stem    </v>
      </c>
      <c r="K8" s="626">
        <f t="shared" si="3"/>
        <v>7</v>
      </c>
      <c r="L8" s="625" t="str">
        <f t="shared" si="4"/>
        <v>1L Oxygenators</v>
      </c>
      <c r="M8" s="457">
        <f t="shared" si="5"/>
        <v>1</v>
      </c>
      <c r="N8" s="451"/>
    </row>
    <row r="9" spans="1:15" x14ac:dyDescent="0.25">
      <c r="A9">
        <v>6</v>
      </c>
      <c r="B9" t="str">
        <f>_xlfn.XLOOKUP(A9,Order!$V$46:$V$859,Order!$C$46:$C$859,"")</f>
        <v>Littorella uniflora</v>
      </c>
      <c r="C9" t="str">
        <f>_xlfn.XLOOKUP(A9,Order!$V$46:$V$859,Order!$P$46:$P$859,"")</f>
        <v>1L Oxygenators</v>
      </c>
      <c r="D9">
        <f>_xlfn.XLOOKUP(A9,Order!$V$46:$V$859,Order!$H$46:$H$859,"")</f>
        <v>1</v>
      </c>
      <c r="E9">
        <f t="shared" si="0"/>
        <v>206</v>
      </c>
      <c r="F9">
        <f t="shared" si="1"/>
        <v>3</v>
      </c>
      <c r="I9" s="422">
        <v>5</v>
      </c>
      <c r="J9" s="625" t="str">
        <f t="shared" si="2"/>
        <v>Myriophyllum crispatum</v>
      </c>
      <c r="K9" s="626">
        <f t="shared" si="3"/>
        <v>8</v>
      </c>
      <c r="L9" s="625" t="str">
        <f t="shared" si="4"/>
        <v>1L Oxygenators</v>
      </c>
      <c r="M9" s="457">
        <f t="shared" si="5"/>
        <v>1</v>
      </c>
      <c r="N9" s="451"/>
    </row>
    <row r="10" spans="1:15" x14ac:dyDescent="0.25">
      <c r="A10">
        <v>7</v>
      </c>
      <c r="B10" t="str">
        <f>_xlfn.XLOOKUP(A10,Order!$V$46:$V$859,Order!$C$46:$C$859,"")</f>
        <v xml:space="preserve">Myriophyllum red stem    </v>
      </c>
      <c r="C10" t="str">
        <f>_xlfn.XLOOKUP(A10,Order!$V$46:$V$859,Order!$P$46:$P$859,"")</f>
        <v>1L Oxygenators</v>
      </c>
      <c r="D10">
        <f>_xlfn.XLOOKUP(A10,Order!$V$46:$V$859,Order!$H$46:$H$859,"")</f>
        <v>1</v>
      </c>
      <c r="E10">
        <f t="shared" si="0"/>
        <v>207</v>
      </c>
      <c r="F10">
        <f t="shared" si="1"/>
        <v>4</v>
      </c>
      <c r="I10" s="422">
        <v>6</v>
      </c>
      <c r="J10" s="625" t="str">
        <f t="shared" si="2"/>
        <v>Scirpus Cernuus</v>
      </c>
      <c r="K10" s="626">
        <f t="shared" si="3"/>
        <v>31</v>
      </c>
      <c r="L10" s="625" t="str">
        <f t="shared" si="4"/>
        <v>1L Oxygenators</v>
      </c>
      <c r="M10" s="457">
        <f t="shared" si="5"/>
        <v>1</v>
      </c>
      <c r="N10" s="451"/>
    </row>
    <row r="11" spans="1:15" x14ac:dyDescent="0.25">
      <c r="A11">
        <v>8</v>
      </c>
      <c r="B11" t="str">
        <f>_xlfn.XLOOKUP(A11,Order!$V$46:$V$859,Order!$C$46:$C$859,"")</f>
        <v>Myriophyllum crispatum</v>
      </c>
      <c r="C11" t="str">
        <f>_xlfn.XLOOKUP(A11,Order!$V$46:$V$859,Order!$P$46:$P$859,"")</f>
        <v>1L Oxygenators</v>
      </c>
      <c r="D11">
        <f>_xlfn.XLOOKUP(A11,Order!$V$46:$V$859,Order!$H$46:$H$859,"")</f>
        <v>1</v>
      </c>
      <c r="E11">
        <f t="shared" si="0"/>
        <v>208</v>
      </c>
      <c r="F11">
        <f t="shared" si="1"/>
        <v>5</v>
      </c>
      <c r="I11" s="422">
        <v>7</v>
      </c>
      <c r="J11" s="625" t="str">
        <f t="shared" si="2"/>
        <v>Scirpus cernuus</v>
      </c>
      <c r="K11" s="626">
        <f t="shared" si="3"/>
        <v>33</v>
      </c>
      <c r="L11" s="625" t="str">
        <f t="shared" si="4"/>
        <v>Gardeners Choice Oxygenators</v>
      </c>
      <c r="M11" s="457">
        <f t="shared" si="5"/>
        <v>1</v>
      </c>
      <c r="N11" s="451"/>
    </row>
    <row r="12" spans="1:15" x14ac:dyDescent="0.25">
      <c r="A12">
        <v>9</v>
      </c>
      <c r="B12" t="str">
        <f>_xlfn.XLOOKUP(A12,Order!$V$46:$V$859,Order!$C$46:$C$859,"")</f>
        <v>Rotala rotundifolia</v>
      </c>
      <c r="C12" t="str">
        <f>_xlfn.XLOOKUP(A12,Order!$V$46:$V$859,Order!$P$46:$P$859,"")</f>
        <v>1L Oxygenators</v>
      </c>
      <c r="D12">
        <f>_xlfn.XLOOKUP(A12,Order!$V$46:$V$859,Order!$H$46:$H$859,"")</f>
        <v>2</v>
      </c>
      <c r="E12">
        <f t="shared" si="0"/>
        <v>3509</v>
      </c>
      <c r="F12">
        <f t="shared" si="1"/>
        <v>39</v>
      </c>
      <c r="I12" s="422">
        <v>8</v>
      </c>
      <c r="J12" s="625" t="str">
        <f t="shared" si="2"/>
        <v xml:space="preserve">Myriophyllum red stem    </v>
      </c>
      <c r="K12" s="626">
        <f t="shared" si="3"/>
        <v>34</v>
      </c>
      <c r="L12" s="625" t="str">
        <f t="shared" si="4"/>
        <v>Gardeners Choice Oxygenators</v>
      </c>
      <c r="M12" s="457">
        <f t="shared" si="5"/>
        <v>1</v>
      </c>
      <c r="N12" s="451"/>
    </row>
    <row r="13" spans="1:15" x14ac:dyDescent="0.25">
      <c r="A13">
        <v>10</v>
      </c>
      <c r="B13" t="str">
        <f>_xlfn.XLOOKUP(A13,Order!$V$46:$V$859,Order!$C$46:$C$859,"")</f>
        <v/>
      </c>
      <c r="C13" t="str">
        <f>_xlfn.XLOOKUP(A13,Order!$V$46:$V$859,Order!$P$46:$P$859,"")</f>
        <v/>
      </c>
      <c r="D13" t="str">
        <f>_xlfn.XLOOKUP(A13,Order!$V$46:$V$859,Order!$H$46:$H$859,"")</f>
        <v/>
      </c>
      <c r="E13" t="str">
        <f t="shared" si="0"/>
        <v/>
      </c>
      <c r="F13" t="str">
        <f t="shared" si="1"/>
        <v/>
      </c>
      <c r="I13" s="422">
        <v>9</v>
      </c>
      <c r="J13" s="625" t="str">
        <f t="shared" si="2"/>
        <v>Lilaeopsis brasilensis</v>
      </c>
      <c r="K13" s="626">
        <f t="shared" si="3"/>
        <v>35</v>
      </c>
      <c r="L13" s="625" t="str">
        <f t="shared" si="4"/>
        <v>Gardeners Choice Oxygenators</v>
      </c>
      <c r="M13" s="457">
        <f t="shared" si="5"/>
        <v>1</v>
      </c>
      <c r="N13" s="451"/>
    </row>
    <row r="14" spans="1:15" x14ac:dyDescent="0.25">
      <c r="A14">
        <v>11</v>
      </c>
      <c r="B14" t="str">
        <f>_xlfn.XLOOKUP(A14,Order!$V$46:$V$859,Order!$C$46:$C$859,"")</f>
        <v/>
      </c>
      <c r="C14" t="str">
        <f>_xlfn.XLOOKUP(A14,Order!$V$46:$V$859,Order!$P$46:$P$859,"")</f>
        <v/>
      </c>
      <c r="D14" t="str">
        <f>_xlfn.XLOOKUP(A14,Order!$V$46:$V$859,Order!$H$46:$H$859,"")</f>
        <v/>
      </c>
      <c r="E14" t="str">
        <f t="shared" si="0"/>
        <v/>
      </c>
      <c r="F14" t="str">
        <f t="shared" si="1"/>
        <v/>
      </c>
      <c r="I14" s="422">
        <v>10</v>
      </c>
      <c r="J14" s="625" t="str">
        <f t="shared" si="2"/>
        <v>Hippuris vulgaris</v>
      </c>
      <c r="K14" s="626">
        <f t="shared" si="3"/>
        <v>37</v>
      </c>
      <c r="L14" s="625" t="str">
        <f t="shared" si="4"/>
        <v>Gardeners Choice Oxygenators</v>
      </c>
      <c r="M14" s="457">
        <f t="shared" si="5"/>
        <v>1</v>
      </c>
      <c r="N14" s="451"/>
    </row>
    <row r="15" spans="1:15" x14ac:dyDescent="0.25">
      <c r="A15">
        <v>12</v>
      </c>
      <c r="B15" t="str">
        <f>_xlfn.XLOOKUP(A15,Order!$V$46:$V$859,Order!$C$46:$C$859,"")</f>
        <v/>
      </c>
      <c r="C15" t="str">
        <f>_xlfn.XLOOKUP(A15,Order!$V$46:$V$859,Order!$P$46:$P$859,"")</f>
        <v/>
      </c>
      <c r="D15" t="str">
        <f>_xlfn.XLOOKUP(A15,Order!$V$46:$V$859,Order!$H$46:$H$859,"")</f>
        <v/>
      </c>
      <c r="E15" t="str">
        <f t="shared" si="0"/>
        <v/>
      </c>
      <c r="F15" t="str">
        <f t="shared" si="1"/>
        <v/>
      </c>
      <c r="I15" s="422">
        <v>11</v>
      </c>
      <c r="J15" s="625" t="str">
        <f t="shared" si="2"/>
        <v>Acorus gramineus 'Ogon'</v>
      </c>
      <c r="K15" s="626">
        <f t="shared" si="3"/>
        <v>39</v>
      </c>
      <c r="L15" s="625" t="str">
        <f t="shared" si="4"/>
        <v>1L Marginals</v>
      </c>
      <c r="M15" s="457">
        <f t="shared" si="5"/>
        <v>1</v>
      </c>
      <c r="N15" s="451"/>
    </row>
    <row r="16" spans="1:15" x14ac:dyDescent="0.25">
      <c r="A16">
        <v>13</v>
      </c>
      <c r="B16" t="str">
        <f>_xlfn.XLOOKUP(A16,Order!$V$46:$V$859,Order!$C$46:$C$859,"")</f>
        <v/>
      </c>
      <c r="C16" t="str">
        <f>_xlfn.XLOOKUP(A16,Order!$V$46:$V$859,Order!$P$46:$P$859,"")</f>
        <v/>
      </c>
      <c r="D16" t="str">
        <f>_xlfn.XLOOKUP(A16,Order!$V$46:$V$859,Order!$H$46:$H$859,"")</f>
        <v/>
      </c>
      <c r="E16" t="str">
        <f t="shared" si="0"/>
        <v/>
      </c>
      <c r="F16" t="str">
        <f t="shared" si="1"/>
        <v/>
      </c>
      <c r="I16" s="422">
        <v>12</v>
      </c>
      <c r="J16" s="625" t="str">
        <f t="shared" si="2"/>
        <v>Houttuynia cordata</v>
      </c>
      <c r="K16" s="626">
        <f t="shared" si="3"/>
        <v>42</v>
      </c>
      <c r="L16" s="625" t="str">
        <f t="shared" si="4"/>
        <v>1L Marginals</v>
      </c>
      <c r="M16" s="457">
        <f t="shared" si="5"/>
        <v>1</v>
      </c>
      <c r="N16" s="451"/>
    </row>
    <row r="17" spans="1:14" x14ac:dyDescent="0.25">
      <c r="A17">
        <v>14</v>
      </c>
      <c r="B17" t="str">
        <f>_xlfn.XLOOKUP(A17,Order!$V$46:$V$859,Order!$C$46:$C$859,"")</f>
        <v/>
      </c>
      <c r="C17" t="str">
        <f>_xlfn.XLOOKUP(A17,Order!$V$46:$V$859,Order!$P$46:$P$859,"")</f>
        <v/>
      </c>
      <c r="D17" t="str">
        <f>_xlfn.XLOOKUP(A17,Order!$V$46:$V$859,Order!$H$46:$H$859,"")</f>
        <v/>
      </c>
      <c r="E17" t="str">
        <f t="shared" si="0"/>
        <v/>
      </c>
      <c r="F17" t="str">
        <f t="shared" si="1"/>
        <v/>
      </c>
      <c r="I17" s="422">
        <v>13</v>
      </c>
      <c r="J17" s="625" t="str">
        <f t="shared" si="2"/>
        <v>Iris louisiana</v>
      </c>
      <c r="K17" s="626">
        <f t="shared" si="3"/>
        <v>43</v>
      </c>
      <c r="L17" s="625" t="str">
        <f t="shared" si="4"/>
        <v>1L Marginals</v>
      </c>
      <c r="M17" s="457">
        <f t="shared" si="5"/>
        <v>1</v>
      </c>
      <c r="N17" s="451"/>
    </row>
    <row r="18" spans="1:14" x14ac:dyDescent="0.25">
      <c r="A18">
        <v>15</v>
      </c>
      <c r="B18" t="str">
        <f>_xlfn.XLOOKUP(A18,Order!$V$46:$V$859,Order!$C$46:$C$859,"")</f>
        <v/>
      </c>
      <c r="C18" t="str">
        <f>_xlfn.XLOOKUP(A18,Order!$V$46:$V$859,Order!$P$46:$P$859,"")</f>
        <v/>
      </c>
      <c r="D18" t="str">
        <f>_xlfn.XLOOKUP(A18,Order!$V$46:$V$859,Order!$H$46:$H$859,"")</f>
        <v/>
      </c>
      <c r="E18" t="str">
        <f t="shared" si="0"/>
        <v/>
      </c>
      <c r="F18" t="str">
        <f t="shared" si="1"/>
        <v/>
      </c>
      <c r="I18" s="422">
        <v>14</v>
      </c>
      <c r="J18" s="625" t="str">
        <f t="shared" si="2"/>
        <v>Iris pseudacorus</v>
      </c>
      <c r="K18" s="626">
        <f t="shared" si="3"/>
        <v>44</v>
      </c>
      <c r="L18" s="625" t="str">
        <f t="shared" si="4"/>
        <v>1L Marginals</v>
      </c>
      <c r="M18" s="457">
        <f t="shared" si="5"/>
        <v>1</v>
      </c>
      <c r="N18" s="451"/>
    </row>
    <row r="19" spans="1:14" x14ac:dyDescent="0.25">
      <c r="A19">
        <v>16</v>
      </c>
      <c r="B19" t="str">
        <f>_xlfn.XLOOKUP(A19,Order!$V$46:$V$859,Order!$C$46:$C$859,"")</f>
        <v/>
      </c>
      <c r="C19" t="str">
        <f>_xlfn.XLOOKUP(A19,Order!$V$46:$V$859,Order!$P$46:$P$859,"")</f>
        <v/>
      </c>
      <c r="D19" t="str">
        <f>_xlfn.XLOOKUP(A19,Order!$V$46:$V$859,Order!$H$46:$H$859,"")</f>
        <v/>
      </c>
      <c r="E19" t="str">
        <f t="shared" si="0"/>
        <v/>
      </c>
      <c r="F19" t="str">
        <f t="shared" si="1"/>
        <v/>
      </c>
      <c r="I19" s="422">
        <v>15</v>
      </c>
      <c r="J19" s="625" t="str">
        <f t="shared" si="2"/>
        <v>Iris versicolor</v>
      </c>
      <c r="K19" s="626">
        <f t="shared" si="3"/>
        <v>45</v>
      </c>
      <c r="L19" s="625" t="str">
        <f t="shared" si="4"/>
        <v>1L Marginals</v>
      </c>
      <c r="M19" s="457">
        <f t="shared" si="5"/>
        <v>1</v>
      </c>
      <c r="N19" s="451"/>
    </row>
    <row r="20" spans="1:14" x14ac:dyDescent="0.25">
      <c r="A20">
        <v>17</v>
      </c>
      <c r="B20" t="str">
        <f>_xlfn.XLOOKUP(A20,Order!$V$46:$V$859,Order!$C$46:$C$859,"")</f>
        <v/>
      </c>
      <c r="C20" t="str">
        <f>_xlfn.XLOOKUP(A20,Order!$V$46:$V$859,Order!$P$46:$P$859,"")</f>
        <v/>
      </c>
      <c r="D20" t="str">
        <f>_xlfn.XLOOKUP(A20,Order!$V$46:$V$859,Order!$H$46:$H$859,"")</f>
        <v/>
      </c>
      <c r="E20" t="str">
        <f t="shared" si="0"/>
        <v/>
      </c>
      <c r="F20" t="str">
        <f t="shared" si="1"/>
        <v/>
      </c>
      <c r="I20" s="422">
        <v>16</v>
      </c>
      <c r="J20" s="625" t="str">
        <f t="shared" si="2"/>
        <v>Lobelia Queen Victoria</v>
      </c>
      <c r="K20" s="626">
        <f t="shared" si="3"/>
        <v>46</v>
      </c>
      <c r="L20" s="625" t="str">
        <f t="shared" si="4"/>
        <v>1L Marginals</v>
      </c>
      <c r="M20" s="457">
        <f t="shared" si="5"/>
        <v>1</v>
      </c>
      <c r="N20" s="451"/>
    </row>
    <row r="21" spans="1:14" x14ac:dyDescent="0.25">
      <c r="A21">
        <v>18</v>
      </c>
      <c r="B21" t="str">
        <f>_xlfn.XLOOKUP(A21,Order!$V$46:$V$859,Order!$C$46:$C$859,"")</f>
        <v/>
      </c>
      <c r="C21" t="str">
        <f>_xlfn.XLOOKUP(A21,Order!$V$46:$V$859,Order!$P$46:$P$859,"")</f>
        <v/>
      </c>
      <c r="D21" t="str">
        <f>_xlfn.XLOOKUP(A21,Order!$V$46:$V$859,Order!$H$46:$H$859,"")</f>
        <v/>
      </c>
      <c r="E21" t="str">
        <f t="shared" si="0"/>
        <v/>
      </c>
      <c r="F21" t="str">
        <f t="shared" si="1"/>
        <v/>
      </c>
      <c r="I21" s="422">
        <v>17</v>
      </c>
      <c r="J21" s="625" t="str">
        <f t="shared" si="2"/>
        <v>Lysimachia nummularia 'aurea'</v>
      </c>
      <c r="K21" s="626">
        <f t="shared" si="3"/>
        <v>49</v>
      </c>
      <c r="L21" s="625" t="str">
        <f t="shared" si="4"/>
        <v>1L Marginals</v>
      </c>
      <c r="M21" s="457">
        <f t="shared" si="5"/>
        <v>1</v>
      </c>
      <c r="N21" s="451"/>
    </row>
    <row r="22" spans="1:14" x14ac:dyDescent="0.25">
      <c r="A22">
        <v>19</v>
      </c>
      <c r="B22" t="str">
        <f>_xlfn.XLOOKUP(A22,Order!$V$46:$V$859,Order!$C$46:$C$859,"")</f>
        <v/>
      </c>
      <c r="C22" t="str">
        <f>_xlfn.XLOOKUP(A22,Order!$V$46:$V$859,Order!$P$46:$P$859,"")</f>
        <v/>
      </c>
      <c r="D22" t="str">
        <f>_xlfn.XLOOKUP(A22,Order!$V$46:$V$859,Order!$H$46:$H$859,"")</f>
        <v/>
      </c>
      <c r="E22" t="str">
        <f t="shared" si="0"/>
        <v/>
      </c>
      <c r="F22" t="str">
        <f t="shared" si="1"/>
        <v/>
      </c>
      <c r="I22" s="422">
        <v>18</v>
      </c>
      <c r="J22" s="625" t="str">
        <f t="shared" si="2"/>
        <v>Oenanthe 'Flamingo'</v>
      </c>
      <c r="K22" s="626">
        <f t="shared" si="3"/>
        <v>52</v>
      </c>
      <c r="L22" s="625" t="str">
        <f t="shared" si="4"/>
        <v>1L Marginals</v>
      </c>
      <c r="M22" s="457">
        <f t="shared" si="5"/>
        <v>1</v>
      </c>
      <c r="N22" s="451"/>
    </row>
    <row r="23" spans="1:14" x14ac:dyDescent="0.25">
      <c r="A23">
        <v>20</v>
      </c>
      <c r="B23" t="str">
        <f>_xlfn.XLOOKUP(A23,Order!$V$46:$V$859,Order!$C$46:$C$859,"")</f>
        <v/>
      </c>
      <c r="C23" t="str">
        <f>_xlfn.XLOOKUP(A23,Order!$V$46:$V$859,Order!$P$46:$P$859,"")</f>
        <v/>
      </c>
      <c r="D23" t="str">
        <f>_xlfn.XLOOKUP(A23,Order!$V$46:$V$859,Order!$H$46:$H$859,"")</f>
        <v/>
      </c>
      <c r="E23" t="str">
        <f t="shared" si="0"/>
        <v/>
      </c>
      <c r="F23" t="str">
        <f t="shared" si="1"/>
        <v/>
      </c>
      <c r="I23" s="422">
        <v>19</v>
      </c>
      <c r="J23" s="625" t="str">
        <f t="shared" si="2"/>
        <v>Myosotis palustris</v>
      </c>
      <c r="K23" s="626">
        <f t="shared" si="3"/>
        <v>60</v>
      </c>
      <c r="L23" s="625" t="str">
        <f t="shared" si="4"/>
        <v>1L Marginals</v>
      </c>
      <c r="M23" s="457">
        <f t="shared" si="5"/>
        <v>1</v>
      </c>
      <c r="N23" s="451"/>
    </row>
    <row r="24" spans="1:14" x14ac:dyDescent="0.25">
      <c r="A24">
        <v>21</v>
      </c>
      <c r="B24" t="str">
        <f>_xlfn.XLOOKUP(A24,Order!$V$46:$V$859,Order!$C$46:$C$859,"")</f>
        <v/>
      </c>
      <c r="C24" t="str">
        <f>_xlfn.XLOOKUP(A24,Order!$V$46:$V$859,Order!$P$46:$P$859,"")</f>
        <v/>
      </c>
      <c r="D24" t="str">
        <f>_xlfn.XLOOKUP(A24,Order!$V$46:$V$859,Order!$H$46:$H$859,"")</f>
        <v/>
      </c>
      <c r="E24" t="str">
        <f t="shared" si="0"/>
        <v/>
      </c>
      <c r="F24" t="str">
        <f t="shared" si="1"/>
        <v/>
      </c>
      <c r="I24" s="422">
        <v>20</v>
      </c>
      <c r="J24" s="625" t="str">
        <f t="shared" si="2"/>
        <v>Lobelia syphilitica 'Alba'</v>
      </c>
      <c r="K24" s="626">
        <f t="shared" si="3"/>
        <v>64</v>
      </c>
      <c r="L24" s="625" t="str">
        <f t="shared" si="4"/>
        <v>1L Marginals</v>
      </c>
      <c r="M24" s="457">
        <f t="shared" si="5"/>
        <v>1</v>
      </c>
      <c r="N24" s="451"/>
    </row>
    <row r="25" spans="1:14" x14ac:dyDescent="0.25">
      <c r="A25">
        <v>22</v>
      </c>
      <c r="B25" t="str">
        <f>_xlfn.XLOOKUP(A25,Order!$V$46:$V$859,Order!$C$46:$C$859,"")</f>
        <v/>
      </c>
      <c r="C25" t="str">
        <f>_xlfn.XLOOKUP(A25,Order!$V$46:$V$859,Order!$P$46:$P$859,"")</f>
        <v/>
      </c>
      <c r="D25" t="str">
        <f>_xlfn.XLOOKUP(A25,Order!$V$46:$V$859,Order!$H$46:$H$859,"")</f>
        <v/>
      </c>
      <c r="E25" t="str">
        <f t="shared" si="0"/>
        <v/>
      </c>
      <c r="F25" t="str">
        <f t="shared" si="1"/>
        <v/>
      </c>
      <c r="I25" s="422">
        <v>21</v>
      </c>
      <c r="J25" s="625" t="str">
        <f t="shared" si="2"/>
        <v>Lobelia speciosa Fan Scarlet</v>
      </c>
      <c r="K25" s="626">
        <f t="shared" si="3"/>
        <v>65</v>
      </c>
      <c r="L25" s="625" t="str">
        <f t="shared" si="4"/>
        <v>1L Marginals</v>
      </c>
      <c r="M25" s="457">
        <f t="shared" si="5"/>
        <v>1</v>
      </c>
      <c r="N25" s="451"/>
    </row>
    <row r="26" spans="1:14" x14ac:dyDescent="0.25">
      <c r="A26">
        <v>23</v>
      </c>
      <c r="B26" t="str">
        <f>_xlfn.XLOOKUP(A26,Order!$V$46:$V$859,Order!$C$46:$C$859,"")</f>
        <v/>
      </c>
      <c r="C26" t="str">
        <f>_xlfn.XLOOKUP(A26,Order!$V$46:$V$859,Order!$P$46:$P$859,"")</f>
        <v/>
      </c>
      <c r="D26" t="str">
        <f>_xlfn.XLOOKUP(A26,Order!$V$46:$V$859,Order!$H$46:$H$859,"")</f>
        <v/>
      </c>
      <c r="E26" t="str">
        <f t="shared" si="0"/>
        <v/>
      </c>
      <c r="F26" t="str">
        <f t="shared" si="1"/>
        <v/>
      </c>
      <c r="I26" s="422">
        <v>22</v>
      </c>
      <c r="J26" s="625" t="str">
        <f t="shared" si="2"/>
        <v>Juncus effusus 'Spiralis'</v>
      </c>
      <c r="K26" s="626">
        <f t="shared" si="3"/>
        <v>66</v>
      </c>
      <c r="L26" s="625" t="str">
        <f t="shared" si="4"/>
        <v>1L Marginals</v>
      </c>
      <c r="M26" s="457">
        <f t="shared" si="5"/>
        <v>1</v>
      </c>
      <c r="N26" s="451"/>
    </row>
    <row r="27" spans="1:14" x14ac:dyDescent="0.25">
      <c r="A27">
        <v>24</v>
      </c>
      <c r="B27" t="str">
        <f>_xlfn.XLOOKUP(A27,Order!$V$46:$V$859,Order!$C$46:$C$859,"")</f>
        <v/>
      </c>
      <c r="C27" t="str">
        <f>_xlfn.XLOOKUP(A27,Order!$V$46:$V$859,Order!$P$46:$P$859,"")</f>
        <v/>
      </c>
      <c r="D27" t="str">
        <f>_xlfn.XLOOKUP(A27,Order!$V$46:$V$859,Order!$H$46:$H$859,"")</f>
        <v/>
      </c>
      <c r="E27" t="str">
        <f t="shared" si="0"/>
        <v/>
      </c>
      <c r="F27" t="str">
        <f t="shared" si="1"/>
        <v/>
      </c>
      <c r="I27" s="422">
        <v>23</v>
      </c>
      <c r="J27" s="625" t="str">
        <f t="shared" si="2"/>
        <v>Caltha palustris</v>
      </c>
      <c r="K27" s="626">
        <f t="shared" si="3"/>
        <v>71</v>
      </c>
      <c r="L27" s="625" t="str">
        <f t="shared" si="4"/>
        <v>1L Marginals</v>
      </c>
      <c r="M27" s="457">
        <f t="shared" si="5"/>
        <v>1</v>
      </c>
      <c r="N27" s="451"/>
    </row>
    <row r="28" spans="1:14" x14ac:dyDescent="0.25">
      <c r="A28">
        <v>25</v>
      </c>
      <c r="B28" t="str">
        <f>_xlfn.XLOOKUP(A28,Order!$V$46:$V$859,Order!$C$46:$C$859,"")</f>
        <v/>
      </c>
      <c r="C28" t="str">
        <f>_xlfn.XLOOKUP(A28,Order!$V$46:$V$859,Order!$P$46:$P$859,"")</f>
        <v/>
      </c>
      <c r="D28" t="str">
        <f>_xlfn.XLOOKUP(A28,Order!$V$46:$V$859,Order!$H$46:$H$859,"")</f>
        <v/>
      </c>
      <c r="E28" t="str">
        <f t="shared" si="0"/>
        <v/>
      </c>
      <c r="F28" t="str">
        <f t="shared" si="1"/>
        <v/>
      </c>
      <c r="I28" s="422">
        <v>24</v>
      </c>
      <c r="J28" s="625" t="str">
        <f t="shared" si="2"/>
        <v>Iris pseudacorus</v>
      </c>
      <c r="K28" s="626">
        <f t="shared" si="3"/>
        <v>78</v>
      </c>
      <c r="L28" s="625" t="str">
        <f t="shared" si="4"/>
        <v>Gardeners Choice</v>
      </c>
      <c r="M28" s="457">
        <f t="shared" si="5"/>
        <v>1</v>
      </c>
      <c r="N28" s="451"/>
    </row>
    <row r="29" spans="1:14" x14ac:dyDescent="0.25">
      <c r="A29">
        <v>26</v>
      </c>
      <c r="B29" t="str">
        <f>_xlfn.XLOOKUP(A29,Order!$V$46:$V$859,Order!$C$46:$C$859,"")</f>
        <v/>
      </c>
      <c r="C29" t="str">
        <f>_xlfn.XLOOKUP(A29,Order!$V$46:$V$859,Order!$P$46:$P$859,"")</f>
        <v/>
      </c>
      <c r="D29" t="str">
        <f>_xlfn.XLOOKUP(A29,Order!$V$46:$V$859,Order!$H$46:$H$859,"")</f>
        <v/>
      </c>
      <c r="E29" t="str">
        <f t="shared" si="0"/>
        <v/>
      </c>
      <c r="F29" t="str">
        <f t="shared" si="1"/>
        <v/>
      </c>
      <c r="I29" s="422">
        <v>25</v>
      </c>
      <c r="J29" s="625" t="str">
        <f t="shared" si="2"/>
        <v>Acorus gramineus 'Ogon'</v>
      </c>
      <c r="K29" s="626">
        <f t="shared" si="3"/>
        <v>80</v>
      </c>
      <c r="L29" s="625" t="str">
        <f t="shared" si="4"/>
        <v>Gardeners Choice</v>
      </c>
      <c r="M29" s="457">
        <f t="shared" si="5"/>
        <v>1</v>
      </c>
      <c r="N29" s="451"/>
    </row>
    <row r="30" spans="1:14" x14ac:dyDescent="0.25">
      <c r="A30">
        <v>27</v>
      </c>
      <c r="B30" t="str">
        <f>_xlfn.XLOOKUP(A30,Order!$V$46:$V$859,Order!$C$46:$C$859,"")</f>
        <v/>
      </c>
      <c r="C30" t="str">
        <f>_xlfn.XLOOKUP(A30,Order!$V$46:$V$859,Order!$P$46:$P$859,"")</f>
        <v/>
      </c>
      <c r="D30" t="str">
        <f>_xlfn.XLOOKUP(A30,Order!$V$46:$V$859,Order!$H$46:$H$859,"")</f>
        <v/>
      </c>
      <c r="E30" t="str">
        <f t="shared" si="0"/>
        <v/>
      </c>
      <c r="F30" t="str">
        <f t="shared" si="1"/>
        <v/>
      </c>
      <c r="I30" s="422">
        <v>26</v>
      </c>
      <c r="J30" s="625" t="str">
        <f t="shared" si="2"/>
        <v>Veronica beccabunga</v>
      </c>
      <c r="K30" s="626">
        <f t="shared" si="3"/>
        <v>81</v>
      </c>
      <c r="L30" s="625" t="str">
        <f t="shared" si="4"/>
        <v>1L Marginals</v>
      </c>
      <c r="M30" s="457">
        <f t="shared" si="5"/>
        <v>1</v>
      </c>
      <c r="N30" s="451"/>
    </row>
    <row r="31" spans="1:14" x14ac:dyDescent="0.25">
      <c r="A31">
        <v>28</v>
      </c>
      <c r="B31" t="str">
        <f>_xlfn.XLOOKUP(A31,Order!$V$46:$V$859,Order!$C$46:$C$859,"")</f>
        <v/>
      </c>
      <c r="C31" t="str">
        <f>_xlfn.XLOOKUP(A31,Order!$V$46:$V$859,Order!$P$46:$P$859,"")</f>
        <v/>
      </c>
      <c r="D31" t="str">
        <f>_xlfn.XLOOKUP(A31,Order!$V$46:$V$859,Order!$H$46:$H$859,"")</f>
        <v/>
      </c>
      <c r="E31" t="str">
        <f t="shared" si="0"/>
        <v/>
      </c>
      <c r="F31" t="str">
        <f t="shared" si="1"/>
        <v/>
      </c>
      <c r="I31" s="422">
        <v>27</v>
      </c>
      <c r="J31" s="625" t="str">
        <f t="shared" si="2"/>
        <v>Ranunculus flammula</v>
      </c>
      <c r="K31" s="626">
        <f t="shared" si="3"/>
        <v>85</v>
      </c>
      <c r="L31" s="625" t="str">
        <f t="shared" si="4"/>
        <v>1L Marginals</v>
      </c>
      <c r="M31" s="457">
        <f t="shared" si="5"/>
        <v>1</v>
      </c>
      <c r="N31" s="451"/>
    </row>
    <row r="32" spans="1:14" x14ac:dyDescent="0.25">
      <c r="A32">
        <v>29</v>
      </c>
      <c r="B32" t="str">
        <f>_xlfn.XLOOKUP(A32,Order!$V$46:$V$859,Order!$C$46:$C$859,"")</f>
        <v/>
      </c>
      <c r="C32" t="str">
        <f>_xlfn.XLOOKUP(A32,Order!$V$46:$V$859,Order!$P$46:$P$859,"")</f>
        <v/>
      </c>
      <c r="D32" t="str">
        <f>_xlfn.XLOOKUP(A32,Order!$V$46:$V$859,Order!$H$46:$H$859,"")</f>
        <v/>
      </c>
      <c r="E32" t="str">
        <f t="shared" si="0"/>
        <v/>
      </c>
      <c r="F32" t="str">
        <f t="shared" si="1"/>
        <v/>
      </c>
      <c r="I32" s="422">
        <v>28</v>
      </c>
      <c r="J32" s="625" t="str">
        <f t="shared" si="2"/>
        <v>Primula denticulata 'Rubin'</v>
      </c>
      <c r="K32" s="626">
        <f t="shared" si="3"/>
        <v>86</v>
      </c>
      <c r="L32" s="625" t="str">
        <f t="shared" si="4"/>
        <v>1L Marginals</v>
      </c>
      <c r="M32" s="457">
        <f t="shared" si="5"/>
        <v>1</v>
      </c>
      <c r="N32" s="451"/>
    </row>
    <row r="33" spans="1:14" x14ac:dyDescent="0.25">
      <c r="A33">
        <v>30</v>
      </c>
      <c r="B33" t="str">
        <f>_xlfn.XLOOKUP(A33,Order!$V$46:$V$859,Order!$C$46:$C$859,"")</f>
        <v/>
      </c>
      <c r="C33" t="str">
        <f>_xlfn.XLOOKUP(A33,Order!$V$46:$V$859,Order!$P$46:$P$859,"")</f>
        <v/>
      </c>
      <c r="D33" t="str">
        <f>_xlfn.XLOOKUP(A33,Order!$V$46:$V$859,Order!$H$46:$H$859,"")</f>
        <v/>
      </c>
      <c r="E33" t="str">
        <f t="shared" si="0"/>
        <v/>
      </c>
      <c r="F33" t="str">
        <f t="shared" si="1"/>
        <v/>
      </c>
      <c r="I33" s="422">
        <v>29</v>
      </c>
      <c r="J33" s="625" t="str">
        <f t="shared" si="2"/>
        <v>Ranunculus lingua grandiflora</v>
      </c>
      <c r="K33" s="626">
        <f t="shared" si="3"/>
        <v>90</v>
      </c>
      <c r="L33" s="625" t="str">
        <f t="shared" si="4"/>
        <v>1L Marginals</v>
      </c>
      <c r="M33" s="457">
        <f t="shared" si="5"/>
        <v>1</v>
      </c>
      <c r="N33" s="451"/>
    </row>
    <row r="34" spans="1:14" x14ac:dyDescent="0.25">
      <c r="A34">
        <v>31</v>
      </c>
      <c r="B34" t="str">
        <f>_xlfn.XLOOKUP(A34,Order!$V$46:$V$859,Order!$C$46:$C$859,"")</f>
        <v>Scirpus Cernuus</v>
      </c>
      <c r="C34" t="str">
        <f>_xlfn.XLOOKUP(A34,Order!$V$46:$V$859,Order!$P$46:$P$859,"")</f>
        <v>1L Oxygenators</v>
      </c>
      <c r="D34">
        <f>_xlfn.XLOOKUP(A34,Order!$V$46:$V$859,Order!$H$46:$H$859,"")</f>
        <v>1</v>
      </c>
      <c r="E34">
        <f t="shared" si="0"/>
        <v>231</v>
      </c>
      <c r="F34">
        <f t="shared" si="1"/>
        <v>6</v>
      </c>
      <c r="I34" s="422">
        <v>30</v>
      </c>
      <c r="J34" s="625" t="str">
        <f t="shared" si="2"/>
        <v>Typha angustifolia</v>
      </c>
      <c r="K34" s="626">
        <f t="shared" si="3"/>
        <v>92</v>
      </c>
      <c r="L34" s="625" t="str">
        <f t="shared" si="4"/>
        <v>1L Marginals</v>
      </c>
      <c r="M34" s="457">
        <f t="shared" si="5"/>
        <v>1</v>
      </c>
      <c r="N34" s="451"/>
    </row>
    <row r="35" spans="1:14" x14ac:dyDescent="0.25">
      <c r="A35">
        <v>32</v>
      </c>
      <c r="B35" t="str">
        <f>_xlfn.XLOOKUP(A35,Order!$V$46:$V$859,Order!$C$46:$C$859,"")</f>
        <v>Scirpus Isolepis</v>
      </c>
      <c r="C35" t="str">
        <f>_xlfn.XLOOKUP(A35,Order!$V$46:$V$859,Order!$P$46:$P$859,"")</f>
        <v>1L Oxygenators</v>
      </c>
      <c r="D35">
        <f>_xlfn.XLOOKUP(A35,Order!$V$46:$V$859,Order!$H$46:$H$859,"")</f>
        <v>3</v>
      </c>
      <c r="E35">
        <f t="shared" si="0"/>
        <v>6932</v>
      </c>
      <c r="F35">
        <f t="shared" si="1"/>
        <v>69</v>
      </c>
      <c r="I35" s="422">
        <v>31</v>
      </c>
      <c r="J35" s="625" t="str">
        <f t="shared" si="2"/>
        <v>Typha minima</v>
      </c>
      <c r="K35" s="626">
        <f t="shared" si="3"/>
        <v>93</v>
      </c>
      <c r="L35" s="625" t="str">
        <f t="shared" si="4"/>
        <v>1L Marginals</v>
      </c>
      <c r="M35" s="457">
        <f t="shared" si="5"/>
        <v>1</v>
      </c>
      <c r="N35" s="451"/>
    </row>
    <row r="36" spans="1:14" x14ac:dyDescent="0.25">
      <c r="A36">
        <v>33</v>
      </c>
      <c r="B36" t="str">
        <f>_xlfn.XLOOKUP(A36,Order!$V$46:$V$859,Order!$C$46:$C$859,"")</f>
        <v>Scirpus cernuus</v>
      </c>
      <c r="C36" t="str">
        <f>_xlfn.XLOOKUP(A36,Order!$V$46:$V$859,Order!$P$46:$P$859,"")</f>
        <v>Gardeners Choice Oxygenators</v>
      </c>
      <c r="D36">
        <f>_xlfn.XLOOKUP(A36,Order!$V$46:$V$859,Order!$H$46:$H$859,"")</f>
        <v>1</v>
      </c>
      <c r="E36">
        <f t="shared" si="0"/>
        <v>233</v>
      </c>
      <c r="F36">
        <f t="shared" si="1"/>
        <v>7</v>
      </c>
      <c r="I36" s="422">
        <v>32</v>
      </c>
      <c r="J36" s="625" t="str">
        <f t="shared" si="2"/>
        <v>Caltha palustris</v>
      </c>
      <c r="K36" s="626">
        <f t="shared" si="3"/>
        <v>94</v>
      </c>
      <c r="L36" s="625" t="str">
        <f t="shared" si="4"/>
        <v>Gardeners Choice</v>
      </c>
      <c r="M36" s="457">
        <f t="shared" si="5"/>
        <v>1</v>
      </c>
      <c r="N36" s="451"/>
    </row>
    <row r="37" spans="1:14" x14ac:dyDescent="0.25">
      <c r="A37">
        <v>34</v>
      </c>
      <c r="B37" t="str">
        <f>_xlfn.XLOOKUP(A37,Order!$V$46:$V$859,Order!$C$46:$C$859,"")</f>
        <v xml:space="preserve">Myriophyllum red stem    </v>
      </c>
      <c r="C37" t="str">
        <f>_xlfn.XLOOKUP(A37,Order!$V$46:$V$859,Order!$P$46:$P$859,"")</f>
        <v>Gardeners Choice Oxygenators</v>
      </c>
      <c r="D37">
        <f>_xlfn.XLOOKUP(A37,Order!$V$46:$V$859,Order!$H$46:$H$859,"")</f>
        <v>1</v>
      </c>
      <c r="E37">
        <f t="shared" si="0"/>
        <v>234</v>
      </c>
      <c r="F37">
        <f t="shared" si="1"/>
        <v>8</v>
      </c>
      <c r="I37" s="422">
        <v>33</v>
      </c>
      <c r="J37" s="625" t="str">
        <f t="shared" si="2"/>
        <v>Iris versicolor</v>
      </c>
      <c r="K37" s="626">
        <f t="shared" si="3"/>
        <v>96</v>
      </c>
      <c r="L37" s="625" t="str">
        <f t="shared" si="4"/>
        <v>Gardeners Choice</v>
      </c>
      <c r="M37" s="457">
        <f t="shared" si="5"/>
        <v>1</v>
      </c>
      <c r="N37" s="451"/>
    </row>
    <row r="38" spans="1:14" x14ac:dyDescent="0.25">
      <c r="A38">
        <v>35</v>
      </c>
      <c r="B38" t="str">
        <f>_xlfn.XLOOKUP(A38,Order!$V$46:$V$859,Order!$C$46:$C$859,"")</f>
        <v>Lilaeopsis brasilensis</v>
      </c>
      <c r="C38" t="str">
        <f>_xlfn.XLOOKUP(A38,Order!$V$46:$V$859,Order!$P$46:$P$859,"")</f>
        <v>Gardeners Choice Oxygenators</v>
      </c>
      <c r="D38">
        <f>_xlfn.XLOOKUP(A38,Order!$V$46:$V$859,Order!$H$46:$H$859,"")</f>
        <v>1</v>
      </c>
      <c r="E38">
        <f t="shared" si="0"/>
        <v>235</v>
      </c>
      <c r="F38">
        <f t="shared" si="1"/>
        <v>9</v>
      </c>
      <c r="I38" s="422">
        <v>34</v>
      </c>
      <c r="J38" s="625" t="str">
        <f t="shared" si="2"/>
        <v>Typha minima</v>
      </c>
      <c r="K38" s="626">
        <f t="shared" si="3"/>
        <v>102</v>
      </c>
      <c r="L38" s="625" t="str">
        <f t="shared" si="4"/>
        <v>Gardeners Choice</v>
      </c>
      <c r="M38" s="457">
        <f t="shared" si="5"/>
        <v>1</v>
      </c>
      <c r="N38" s="451"/>
    </row>
    <row r="39" spans="1:14" x14ac:dyDescent="0.25">
      <c r="A39">
        <v>36</v>
      </c>
      <c r="B39" t="str">
        <f>_xlfn.XLOOKUP(A39,Order!$V$46:$V$859,Order!$C$46:$C$859,"")</f>
        <v>Hydrocotyle Vulgaris</v>
      </c>
      <c r="C39" t="str">
        <f>_xlfn.XLOOKUP(A39,Order!$V$46:$V$859,Order!$P$46:$P$859,"")</f>
        <v>Gardeners Choice Oxygenators</v>
      </c>
      <c r="D39">
        <f>_xlfn.XLOOKUP(A39,Order!$V$46:$V$859,Order!$H$46:$H$859,"")</f>
        <v>2</v>
      </c>
      <c r="E39">
        <f t="shared" si="0"/>
        <v>3536</v>
      </c>
      <c r="F39">
        <f t="shared" si="1"/>
        <v>40</v>
      </c>
      <c r="I39" s="422">
        <v>35</v>
      </c>
      <c r="J39" s="625" t="str">
        <f t="shared" si="2"/>
        <v>Hydrocotyle Novae-Zeelandiae</v>
      </c>
      <c r="K39" s="626">
        <f t="shared" si="3"/>
        <v>2</v>
      </c>
      <c r="L39" s="625" t="str">
        <f t="shared" si="4"/>
        <v>1L Oxygenators</v>
      </c>
      <c r="M39" s="457">
        <f t="shared" si="5"/>
        <v>2</v>
      </c>
      <c r="N39" s="451"/>
    </row>
    <row r="40" spans="1:14" x14ac:dyDescent="0.25">
      <c r="A40">
        <v>37</v>
      </c>
      <c r="B40" t="str">
        <f>_xlfn.XLOOKUP(A40,Order!$V$46:$V$859,Order!$C$46:$C$859,"")</f>
        <v>Hippuris vulgaris</v>
      </c>
      <c r="C40" t="str">
        <f>_xlfn.XLOOKUP(A40,Order!$V$46:$V$859,Order!$P$46:$P$859,"")</f>
        <v>Gardeners Choice Oxygenators</v>
      </c>
      <c r="D40">
        <f>_xlfn.XLOOKUP(A40,Order!$V$46:$V$859,Order!$H$46:$H$859,"")</f>
        <v>1</v>
      </c>
      <c r="E40">
        <f t="shared" si="0"/>
        <v>237</v>
      </c>
      <c r="F40">
        <f t="shared" si="1"/>
        <v>10</v>
      </c>
      <c r="I40" s="422">
        <v>36</v>
      </c>
      <c r="J40" s="625" t="str">
        <f t="shared" si="2"/>
        <v>Hydrocotyle var.</v>
      </c>
      <c r="K40" s="626">
        <f t="shared" si="3"/>
        <v>3</v>
      </c>
      <c r="L40" s="625" t="str">
        <f t="shared" si="4"/>
        <v>1L Oxygenators</v>
      </c>
      <c r="M40" s="457">
        <f t="shared" si="5"/>
        <v>2</v>
      </c>
      <c r="N40" s="451"/>
    </row>
    <row r="41" spans="1:14" x14ac:dyDescent="0.25">
      <c r="A41">
        <v>38</v>
      </c>
      <c r="B41" t="str">
        <f>_xlfn.XLOOKUP(A41,Order!$V$46:$V$859,Order!$C$46:$C$859,"")</f>
        <v>Assorted 2L Floating Island</v>
      </c>
      <c r="C41" t="str">
        <f>_xlfn.XLOOKUP(A41,Order!$V$46:$V$859,Order!$P$46:$P$859,"")</f>
        <v>2L with Floating Island</v>
      </c>
      <c r="D41">
        <f>_xlfn.XLOOKUP(A41,Order!$V$46:$V$859,Order!$H$46:$H$859,"")</f>
        <v>0</v>
      </c>
      <c r="E41">
        <f t="shared" si="0"/>
        <v>138</v>
      </c>
      <c r="F41">
        <f t="shared" si="1"/>
        <v>1</v>
      </c>
      <c r="I41" s="422">
        <v>37</v>
      </c>
      <c r="J41" s="625" t="str">
        <f t="shared" si="2"/>
        <v>Hydrocotyle Vulgaris</v>
      </c>
      <c r="K41" s="626">
        <f t="shared" si="3"/>
        <v>4</v>
      </c>
      <c r="L41" s="625" t="str">
        <f t="shared" si="4"/>
        <v>1L Oxygenators</v>
      </c>
      <c r="M41" s="457">
        <f t="shared" si="5"/>
        <v>2</v>
      </c>
      <c r="N41" s="451"/>
    </row>
    <row r="42" spans="1:14" x14ac:dyDescent="0.25">
      <c r="A42">
        <v>39</v>
      </c>
      <c r="B42" t="str">
        <f>_xlfn.XLOOKUP(A42,Order!$V$46:$V$859,Order!$C$46:$C$859,"")</f>
        <v>Acorus gramineus 'Ogon'</v>
      </c>
      <c r="C42" t="str">
        <f>_xlfn.XLOOKUP(A42,Order!$V$46:$V$859,Order!$P$46:$P$859,"")</f>
        <v>1L Marginals</v>
      </c>
      <c r="D42">
        <f>_xlfn.XLOOKUP(A42,Order!$V$46:$V$859,Order!$H$46:$H$859,"")</f>
        <v>1</v>
      </c>
      <c r="E42">
        <f t="shared" si="0"/>
        <v>239</v>
      </c>
      <c r="F42">
        <f t="shared" si="1"/>
        <v>11</v>
      </c>
      <c r="I42" s="422">
        <v>38</v>
      </c>
      <c r="J42" s="625" t="str">
        <f t="shared" si="2"/>
        <v>Lilaeopsis brasilensis</v>
      </c>
      <c r="K42" s="626">
        <f t="shared" si="3"/>
        <v>5</v>
      </c>
      <c r="L42" s="625" t="str">
        <f t="shared" si="4"/>
        <v>1L Oxygenators</v>
      </c>
      <c r="M42" s="457">
        <f t="shared" si="5"/>
        <v>2</v>
      </c>
      <c r="N42" s="451"/>
    </row>
    <row r="43" spans="1:14" x14ac:dyDescent="0.25">
      <c r="A43">
        <v>40</v>
      </c>
      <c r="B43" t="str">
        <f>_xlfn.XLOOKUP(A43,Order!$V$46:$V$859,Order!$C$46:$C$859,"")</f>
        <v>Alisma plantago</v>
      </c>
      <c r="C43" t="str">
        <f>_xlfn.XLOOKUP(A43,Order!$V$46:$V$859,Order!$P$46:$P$859,"")</f>
        <v>1L Marginals</v>
      </c>
      <c r="D43">
        <f>_xlfn.XLOOKUP(A43,Order!$V$46:$V$859,Order!$H$46:$H$859,"")</f>
        <v>2</v>
      </c>
      <c r="E43">
        <f t="shared" si="0"/>
        <v>3540</v>
      </c>
      <c r="F43">
        <f t="shared" si="1"/>
        <v>41</v>
      </c>
      <c r="I43" s="422">
        <v>39</v>
      </c>
      <c r="J43" s="625" t="str">
        <f t="shared" si="2"/>
        <v>Rotala rotundifolia</v>
      </c>
      <c r="K43" s="626">
        <f t="shared" si="3"/>
        <v>9</v>
      </c>
      <c r="L43" s="625" t="str">
        <f t="shared" si="4"/>
        <v>1L Oxygenators</v>
      </c>
      <c r="M43" s="457">
        <f t="shared" si="5"/>
        <v>2</v>
      </c>
      <c r="N43" s="451"/>
    </row>
    <row r="44" spans="1:14" x14ac:dyDescent="0.25">
      <c r="A44">
        <v>41</v>
      </c>
      <c r="B44" t="str">
        <f>_xlfn.XLOOKUP(A44,Order!$V$46:$V$859,Order!$C$46:$C$859,"")</f>
        <v>Carex pendula</v>
      </c>
      <c r="C44" t="str">
        <f>_xlfn.XLOOKUP(A44,Order!$V$46:$V$859,Order!$P$46:$P$859,"")</f>
        <v>1L Marginals</v>
      </c>
      <c r="D44">
        <f>_xlfn.XLOOKUP(A44,Order!$V$46:$V$859,Order!$H$46:$H$859,"")</f>
        <v>2</v>
      </c>
      <c r="E44">
        <f t="shared" si="0"/>
        <v>3541</v>
      </c>
      <c r="F44">
        <f t="shared" si="1"/>
        <v>42</v>
      </c>
      <c r="I44" s="422">
        <v>40</v>
      </c>
      <c r="J44" s="625" t="str">
        <f t="shared" si="2"/>
        <v>Hydrocotyle Vulgaris</v>
      </c>
      <c r="K44" s="626">
        <f t="shared" si="3"/>
        <v>36</v>
      </c>
      <c r="L44" s="625" t="str">
        <f t="shared" si="4"/>
        <v>Gardeners Choice Oxygenators</v>
      </c>
      <c r="M44" s="457">
        <f>IF(K44&lt;&gt;"",IF(K44&gt;K43,M43,M43+1),"")</f>
        <v>2</v>
      </c>
      <c r="N44" s="451"/>
    </row>
    <row r="45" spans="1:14" x14ac:dyDescent="0.25">
      <c r="A45">
        <v>42</v>
      </c>
      <c r="B45" t="str">
        <f>_xlfn.XLOOKUP(A45,Order!$V$46:$V$859,Order!$C$46:$C$859,"")</f>
        <v>Houttuynia cordata</v>
      </c>
      <c r="C45" t="str">
        <f>_xlfn.XLOOKUP(A45,Order!$V$46:$V$859,Order!$P$46:$P$859,"")</f>
        <v>1L Marginals</v>
      </c>
      <c r="D45">
        <f>_xlfn.XLOOKUP(A45,Order!$V$46:$V$859,Order!$H$46:$H$859,"")</f>
        <v>1</v>
      </c>
      <c r="E45">
        <f t="shared" si="0"/>
        <v>242</v>
      </c>
      <c r="F45">
        <f t="shared" si="1"/>
        <v>12</v>
      </c>
      <c r="I45" s="422">
        <v>41</v>
      </c>
      <c r="J45" s="625" t="str">
        <f t="shared" si="2"/>
        <v>Alisma plantago</v>
      </c>
      <c r="K45" s="626">
        <f t="shared" si="3"/>
        <v>40</v>
      </c>
      <c r="L45" s="625" t="str">
        <f t="shared" si="4"/>
        <v>1L Marginals</v>
      </c>
      <c r="M45" s="457">
        <f>IF(K45&lt;&gt;"",IF(K45&gt;K44,M44,M44+1),"")</f>
        <v>2</v>
      </c>
      <c r="N45" s="451"/>
    </row>
    <row r="46" spans="1:14" x14ac:dyDescent="0.25">
      <c r="A46">
        <v>43</v>
      </c>
      <c r="B46" t="str">
        <f>_xlfn.XLOOKUP(A46,Order!$V$46:$V$859,Order!$C$46:$C$859,"")</f>
        <v>Iris louisiana</v>
      </c>
      <c r="C46" t="str">
        <f>_xlfn.XLOOKUP(A46,Order!$V$46:$V$859,Order!$P$46:$P$859,"")</f>
        <v>1L Marginals</v>
      </c>
      <c r="D46">
        <f>_xlfn.XLOOKUP(A46,Order!$V$46:$V$859,Order!$H$46:$H$859,"")</f>
        <v>1</v>
      </c>
      <c r="E46">
        <f t="shared" si="0"/>
        <v>243</v>
      </c>
      <c r="F46">
        <f t="shared" si="1"/>
        <v>13</v>
      </c>
      <c r="I46" s="422">
        <v>42</v>
      </c>
      <c r="J46" s="625" t="str">
        <f t="shared" si="2"/>
        <v>Carex pendula</v>
      </c>
      <c r="K46" s="626">
        <f t="shared" si="3"/>
        <v>41</v>
      </c>
      <c r="L46" s="625" t="str">
        <f t="shared" si="4"/>
        <v>1L Marginals</v>
      </c>
      <c r="M46" s="457">
        <f t="shared" si="5"/>
        <v>2</v>
      </c>
      <c r="N46" s="451"/>
    </row>
    <row r="47" spans="1:14" x14ac:dyDescent="0.25">
      <c r="A47">
        <v>44</v>
      </c>
      <c r="B47" t="str">
        <f>_xlfn.XLOOKUP(A47,Order!$V$46:$V$859,Order!$C$46:$C$859,"")</f>
        <v>Iris pseudacorus</v>
      </c>
      <c r="C47" t="str">
        <f>_xlfn.XLOOKUP(A47,Order!$V$46:$V$859,Order!$P$46:$P$859,"")</f>
        <v>1L Marginals</v>
      </c>
      <c r="D47">
        <f>_xlfn.XLOOKUP(A47,Order!$V$46:$V$859,Order!$H$46:$H$859,"")</f>
        <v>1</v>
      </c>
      <c r="E47">
        <f t="shared" si="0"/>
        <v>244</v>
      </c>
      <c r="F47">
        <f t="shared" si="1"/>
        <v>14</v>
      </c>
      <c r="I47" s="422">
        <v>43</v>
      </c>
      <c r="J47" s="625" t="str">
        <f t="shared" si="2"/>
        <v>Lobelia syphilitica</v>
      </c>
      <c r="K47" s="626">
        <f t="shared" si="3"/>
        <v>47</v>
      </c>
      <c r="L47" s="625" t="str">
        <f t="shared" si="4"/>
        <v>1L Marginals</v>
      </c>
      <c r="M47" s="457">
        <f t="shared" si="5"/>
        <v>2</v>
      </c>
      <c r="N47" s="451"/>
    </row>
    <row r="48" spans="1:14" x14ac:dyDescent="0.25">
      <c r="A48">
        <v>45</v>
      </c>
      <c r="B48" t="str">
        <f>_xlfn.XLOOKUP(A48,Order!$V$46:$V$859,Order!$C$46:$C$859,"")</f>
        <v>Iris versicolor</v>
      </c>
      <c r="C48" t="str">
        <f>_xlfn.XLOOKUP(A48,Order!$V$46:$V$859,Order!$P$46:$P$859,"")</f>
        <v>1L Marginals</v>
      </c>
      <c r="D48">
        <f>_xlfn.XLOOKUP(A48,Order!$V$46:$V$859,Order!$H$46:$H$859,"")</f>
        <v>1</v>
      </c>
      <c r="E48">
        <f t="shared" si="0"/>
        <v>245</v>
      </c>
      <c r="F48">
        <f t="shared" si="1"/>
        <v>15</v>
      </c>
      <c r="I48" s="422">
        <v>44</v>
      </c>
      <c r="J48" s="625" t="str">
        <f t="shared" si="2"/>
        <v>Mazus reptans Alba</v>
      </c>
      <c r="K48" s="626">
        <f t="shared" si="3"/>
        <v>50</v>
      </c>
      <c r="L48" s="625" t="str">
        <f t="shared" si="4"/>
        <v>1L Marginals</v>
      </c>
      <c r="M48" s="457">
        <f t="shared" si="5"/>
        <v>2</v>
      </c>
      <c r="N48" s="451"/>
    </row>
    <row r="49" spans="1:14" x14ac:dyDescent="0.25">
      <c r="A49">
        <v>46</v>
      </c>
      <c r="B49" t="str">
        <f>_xlfn.XLOOKUP(A49,Order!$V$46:$V$859,Order!$C$46:$C$859,"")</f>
        <v>Lobelia Queen Victoria</v>
      </c>
      <c r="C49" t="str">
        <f>_xlfn.XLOOKUP(A49,Order!$V$46:$V$859,Order!$P$46:$P$859,"")</f>
        <v>1L Marginals</v>
      </c>
      <c r="D49">
        <f>_xlfn.XLOOKUP(A49,Order!$V$46:$V$859,Order!$H$46:$H$859,"")</f>
        <v>1</v>
      </c>
      <c r="E49">
        <f t="shared" si="0"/>
        <v>246</v>
      </c>
      <c r="F49">
        <f t="shared" si="1"/>
        <v>16</v>
      </c>
      <c r="I49" s="422">
        <v>45</v>
      </c>
      <c r="J49" s="625" t="str">
        <f t="shared" si="2"/>
        <v>Mimulus ringens</v>
      </c>
      <c r="K49" s="626">
        <f t="shared" si="3"/>
        <v>51</v>
      </c>
      <c r="L49" s="625" t="str">
        <f t="shared" si="4"/>
        <v>1L Marginals</v>
      </c>
      <c r="M49" s="457">
        <f t="shared" si="5"/>
        <v>2</v>
      </c>
      <c r="N49" s="451"/>
    </row>
    <row r="50" spans="1:14" x14ac:dyDescent="0.25">
      <c r="A50">
        <v>47</v>
      </c>
      <c r="B50" t="str">
        <f>_xlfn.XLOOKUP(A50,Order!$V$46:$V$859,Order!$C$46:$C$859,"")</f>
        <v>Lobelia syphilitica</v>
      </c>
      <c r="C50" t="str">
        <f>_xlfn.XLOOKUP(A50,Order!$V$46:$V$859,Order!$P$46:$P$859,"")</f>
        <v>1L Marginals</v>
      </c>
      <c r="D50">
        <f>_xlfn.XLOOKUP(A50,Order!$V$46:$V$859,Order!$H$46:$H$859,"")</f>
        <v>2</v>
      </c>
      <c r="E50">
        <f t="shared" si="0"/>
        <v>3547</v>
      </c>
      <c r="F50">
        <f t="shared" si="1"/>
        <v>43</v>
      </c>
      <c r="I50" s="422">
        <v>46</v>
      </c>
      <c r="J50" s="625" t="str">
        <f t="shared" si="2"/>
        <v>Primula denticulata</v>
      </c>
      <c r="K50" s="626">
        <f t="shared" si="3"/>
        <v>58</v>
      </c>
      <c r="L50" s="625" t="str">
        <f t="shared" si="4"/>
        <v>1L Marginals</v>
      </c>
      <c r="M50" s="457">
        <f t="shared" si="5"/>
        <v>2</v>
      </c>
      <c r="N50" s="451"/>
    </row>
    <row r="51" spans="1:14" x14ac:dyDescent="0.25">
      <c r="A51">
        <v>48</v>
      </c>
      <c r="B51" t="str">
        <f>_xlfn.XLOOKUP(A51,Order!$V$46:$V$859,Order!$C$46:$C$859,"")</f>
        <v>Lychnis flos cuculi</v>
      </c>
      <c r="C51" t="str">
        <f>_xlfn.XLOOKUP(A51,Order!$V$46:$V$859,Order!$P$46:$P$859,"")</f>
        <v>1L Marginals</v>
      </c>
      <c r="D51">
        <f>_xlfn.XLOOKUP(A51,Order!$V$46:$V$859,Order!$H$46:$H$859,"")</f>
        <v>3</v>
      </c>
      <c r="E51">
        <f t="shared" si="0"/>
        <v>6948</v>
      </c>
      <c r="F51">
        <f t="shared" si="1"/>
        <v>70</v>
      </c>
      <c r="I51" s="422">
        <v>47</v>
      </c>
      <c r="J51" s="625" t="str">
        <f t="shared" si="2"/>
        <v>Mentha aquatica</v>
      </c>
      <c r="K51" s="626">
        <f t="shared" si="3"/>
        <v>61</v>
      </c>
      <c r="L51" s="625" t="str">
        <f t="shared" si="4"/>
        <v>1L Marginals</v>
      </c>
      <c r="M51" s="457">
        <f>IF(K51&lt;&gt;"",IF(K51&gt;K50,M50,M50+1),"")</f>
        <v>2</v>
      </c>
      <c r="N51" s="451"/>
    </row>
    <row r="52" spans="1:14" x14ac:dyDescent="0.25">
      <c r="A52">
        <v>49</v>
      </c>
      <c r="B52" t="str">
        <f>_xlfn.XLOOKUP(A52,Order!$V$46:$V$859,Order!$C$46:$C$859,"")</f>
        <v>Lysimachia nummularia 'aurea'</v>
      </c>
      <c r="C52" t="str">
        <f>_xlfn.XLOOKUP(A52,Order!$V$46:$V$859,Order!$P$46:$P$859,"")</f>
        <v>1L Marginals</v>
      </c>
      <c r="D52">
        <f>_xlfn.XLOOKUP(A52,Order!$V$46:$V$859,Order!$H$46:$H$859,"")</f>
        <v>1</v>
      </c>
      <c r="E52">
        <f t="shared" si="0"/>
        <v>249</v>
      </c>
      <c r="F52">
        <f t="shared" si="1"/>
        <v>17</v>
      </c>
      <c r="I52" s="422">
        <v>48</v>
      </c>
      <c r="J52" s="625" t="str">
        <f t="shared" si="2"/>
        <v>Mazus reptans</v>
      </c>
      <c r="K52" s="626">
        <f t="shared" si="3"/>
        <v>62</v>
      </c>
      <c r="L52" s="625" t="str">
        <f>_xlfn.SINGLE(_xlfn.XLOOKUP(I52,F$4:F$113,C$4:C$113,""))</f>
        <v>1L Marginals</v>
      </c>
      <c r="M52" s="457">
        <f>IF(K52&lt;&gt;"",IF(K52&gt;K51,M51,M51+1),"")</f>
        <v>2</v>
      </c>
      <c r="N52" s="451"/>
    </row>
    <row r="53" spans="1:14" x14ac:dyDescent="0.25">
      <c r="A53">
        <v>50</v>
      </c>
      <c r="B53" t="str">
        <f>_xlfn.XLOOKUP(A53,Order!$V$46:$V$859,Order!$C$46:$C$859,"")</f>
        <v>Mazus reptans Alba</v>
      </c>
      <c r="C53" t="str">
        <f>_xlfn.XLOOKUP(A53,Order!$V$46:$V$859,Order!$P$46:$P$859,"")</f>
        <v>1L Marginals</v>
      </c>
      <c r="D53">
        <f>_xlfn.XLOOKUP(A53,Order!$V$46:$V$859,Order!$H$46:$H$859,"")</f>
        <v>2</v>
      </c>
      <c r="E53">
        <f t="shared" si="0"/>
        <v>3550</v>
      </c>
      <c r="F53">
        <f t="shared" si="1"/>
        <v>44</v>
      </c>
      <c r="I53" s="422">
        <v>49</v>
      </c>
      <c r="J53" s="625" t="str">
        <f t="shared" si="2"/>
        <v>Lysimachia nummularia</v>
      </c>
      <c r="K53" s="626">
        <f t="shared" si="3"/>
        <v>63</v>
      </c>
      <c r="L53" s="625" t="str">
        <f>_xlfn.SINGLE(_xlfn.XLOOKUP(I53,F$4:F$113,C$4:C$113,""))</f>
        <v>1L Marginals</v>
      </c>
      <c r="M53" s="457">
        <f>IF(K53&lt;&gt;"",IF(K53&gt;K52,M52,M52+1),"")</f>
        <v>2</v>
      </c>
      <c r="N53" s="451"/>
    </row>
    <row r="54" spans="1:14" x14ac:dyDescent="0.25">
      <c r="A54">
        <v>51</v>
      </c>
      <c r="B54" t="str">
        <f>_xlfn.XLOOKUP(A54,Order!$V$46:$V$859,Order!$C$46:$C$859,"")</f>
        <v>Mimulus ringens</v>
      </c>
      <c r="C54" t="str">
        <f>_xlfn.XLOOKUP(A54,Order!$V$46:$V$859,Order!$P$46:$P$859,"")</f>
        <v>1L Marginals</v>
      </c>
      <c r="D54">
        <f>_xlfn.XLOOKUP(A54,Order!$V$46:$V$859,Order!$H$46:$H$859,"")</f>
        <v>2</v>
      </c>
      <c r="E54">
        <f t="shared" si="0"/>
        <v>3551</v>
      </c>
      <c r="F54">
        <f t="shared" si="1"/>
        <v>45</v>
      </c>
      <c r="I54" s="422">
        <v>50</v>
      </c>
      <c r="J54" s="625" t="str">
        <f>_xlfn.SINGLE(_xlfn.XLOOKUP(I54,F$4:F$113,B$4:B$113,""))</f>
        <v>Iris sibirica 'Snow Queen'</v>
      </c>
      <c r="K54" s="626">
        <f t="shared" si="3"/>
        <v>67</v>
      </c>
      <c r="L54" s="625" t="str">
        <f>_xlfn.SINGLE(_xlfn.XLOOKUP(I54,F$4:F$113,C$4:C$113,""))</f>
        <v>1L Marginals</v>
      </c>
      <c r="M54" s="457">
        <f>IF(K54&lt;&gt;"",IF(K54&gt;K53,M53,M53+1),"")</f>
        <v>2</v>
      </c>
      <c r="N54" s="451"/>
    </row>
    <row r="55" spans="1:14" x14ac:dyDescent="0.25">
      <c r="A55">
        <v>52</v>
      </c>
      <c r="B55" t="str">
        <f>_xlfn.XLOOKUP(A55,Order!$V$46:$V$859,Order!$C$46:$C$859,"")</f>
        <v>Oenanthe 'Flamingo'</v>
      </c>
      <c r="C55" t="str">
        <f>_xlfn.XLOOKUP(A55,Order!$V$46:$V$859,Order!$P$46:$P$859,"")</f>
        <v>1L Marginals</v>
      </c>
      <c r="D55">
        <f>_xlfn.XLOOKUP(A55,Order!$V$46:$V$859,Order!$H$46:$H$859,"")</f>
        <v>1</v>
      </c>
      <c r="E55">
        <f t="shared" si="0"/>
        <v>252</v>
      </c>
      <c r="F55">
        <f t="shared" si="1"/>
        <v>18</v>
      </c>
      <c r="K55" s="432"/>
      <c r="N55" s="430" t="s">
        <v>1102</v>
      </c>
    </row>
    <row r="56" spans="1:14" x14ac:dyDescent="0.25">
      <c r="A56">
        <v>53</v>
      </c>
      <c r="B56" t="str">
        <f>_xlfn.XLOOKUP(A56,Order!$V$46:$V$859,Order!$C$46:$C$859,"")</f>
        <v>Preslia cervina alba</v>
      </c>
      <c r="C56" t="str">
        <f>_xlfn.XLOOKUP(A56,Order!$V$46:$V$859,Order!$P$46:$P$859,"")</f>
        <v>1L Marginals</v>
      </c>
      <c r="D56">
        <f>_xlfn.XLOOKUP(A56,Order!$V$46:$V$859,Order!$H$46:$H$859,"")</f>
        <v>3</v>
      </c>
      <c r="E56">
        <f t="shared" si="0"/>
        <v>6953</v>
      </c>
      <c r="F56">
        <f t="shared" si="1"/>
        <v>71</v>
      </c>
      <c r="I56" s="425" t="s">
        <v>15</v>
      </c>
      <c r="J56" s="452" t="s">
        <v>1096</v>
      </c>
      <c r="K56" s="456" t="s">
        <v>1099</v>
      </c>
      <c r="L56" s="452" t="s">
        <v>1097</v>
      </c>
      <c r="M56" s="452" t="s">
        <v>1200</v>
      </c>
      <c r="N56" s="453" t="s">
        <v>1098</v>
      </c>
    </row>
    <row r="57" spans="1:14" x14ac:dyDescent="0.25">
      <c r="A57">
        <v>54</v>
      </c>
      <c r="B57" t="str">
        <f>_xlfn.XLOOKUP(A57,Order!$V$46:$V$859,Order!$C$46:$C$859,"")</f>
        <v/>
      </c>
      <c r="C57" t="str">
        <f>_xlfn.XLOOKUP(A57,Order!$V$46:$V$859,Order!$P$46:$P$859,"")</f>
        <v/>
      </c>
      <c r="D57" t="str">
        <f>_xlfn.XLOOKUP(A57,Order!$V$46:$V$859,Order!$H$46:$H$859,"")</f>
        <v/>
      </c>
      <c r="E57" t="str">
        <f t="shared" si="0"/>
        <v/>
      </c>
      <c r="F57" t="str">
        <f t="shared" si="1"/>
        <v/>
      </c>
      <c r="I57" s="422">
        <v>51</v>
      </c>
      <c r="J57" s="625" t="str">
        <f t="shared" ref="J57:J104" si="6">_xlfn.SINGLE(_xlfn.XLOOKUP(I57,F$4:F$113,B$4:B$113,""))</f>
        <v>Iris louisiana 'Black Gamecock'</v>
      </c>
      <c r="K57" s="626">
        <f t="shared" ref="K57:K104" si="7">_xlfn.SINGLE(_xlfn.XLOOKUP(I57,F$4:F$113,A$4:A$113,""))</f>
        <v>68</v>
      </c>
      <c r="L57" s="625" t="str">
        <f t="shared" ref="L57:L105" si="8">_xlfn.SINGLE(_xlfn.XLOOKUP(I57,F$4:F$113,C$4:C$113,""))</f>
        <v>1L Marginals</v>
      </c>
      <c r="M57" s="457">
        <f>IF(K57&lt;&gt;"",IF(K57&gt;K54,M54,M54+1),"")</f>
        <v>2</v>
      </c>
      <c r="N57" s="451"/>
    </row>
    <row r="58" spans="1:14" x14ac:dyDescent="0.25">
      <c r="A58">
        <v>55</v>
      </c>
      <c r="B58" t="str">
        <f>_xlfn.XLOOKUP(A58,Order!$V$46:$V$859,Order!$C$46:$C$859,"")</f>
        <v/>
      </c>
      <c r="C58" t="str">
        <f>_xlfn.XLOOKUP(A58,Order!$V$46:$V$859,Order!$P$46:$P$859,"")</f>
        <v/>
      </c>
      <c r="D58" t="str">
        <f>_xlfn.XLOOKUP(A58,Order!$V$46:$V$859,Order!$H$46:$H$859,"")</f>
        <v/>
      </c>
      <c r="E58" t="str">
        <f t="shared" si="0"/>
        <v/>
      </c>
      <c r="F58" t="str">
        <f t="shared" si="1"/>
        <v/>
      </c>
      <c r="I58" s="422">
        <v>52</v>
      </c>
      <c r="J58" s="625" t="str">
        <f t="shared" si="6"/>
        <v>Iris ensata</v>
      </c>
      <c r="K58" s="626">
        <f t="shared" si="7"/>
        <v>69</v>
      </c>
      <c r="L58" s="625" t="str">
        <f t="shared" si="8"/>
        <v>1L Marginals</v>
      </c>
      <c r="M58" s="457">
        <f t="shared" ref="M58:M75" si="9">IF(K58&lt;&gt;"",IF(K58&gt;K57,M57,M57+1),"")</f>
        <v>2</v>
      </c>
      <c r="N58" s="451"/>
    </row>
    <row r="59" spans="1:14" x14ac:dyDescent="0.25">
      <c r="A59">
        <v>56</v>
      </c>
      <c r="B59" t="str">
        <f>_xlfn.XLOOKUP(A59,Order!$V$46:$V$859,Order!$C$46:$C$859,"")</f>
        <v/>
      </c>
      <c r="C59" t="str">
        <f>_xlfn.XLOOKUP(A59,Order!$V$46:$V$859,Order!$P$46:$P$859,"")</f>
        <v/>
      </c>
      <c r="D59" t="str">
        <f>_xlfn.XLOOKUP(A59,Order!$V$46:$V$859,Order!$H$46:$H$859,"")</f>
        <v/>
      </c>
      <c r="E59" t="str">
        <f t="shared" si="0"/>
        <v/>
      </c>
      <c r="F59" t="str">
        <f t="shared" si="1"/>
        <v/>
      </c>
      <c r="I59" s="422">
        <v>53</v>
      </c>
      <c r="J59" s="625" t="str">
        <f t="shared" si="6"/>
        <v>Acorus gramineus 'Variegatus'</v>
      </c>
      <c r="K59" s="626">
        <f t="shared" si="7"/>
        <v>72</v>
      </c>
      <c r="L59" s="625" t="str">
        <f t="shared" si="8"/>
        <v>1L Marginals</v>
      </c>
      <c r="M59" s="457">
        <f t="shared" si="9"/>
        <v>2</v>
      </c>
      <c r="N59" s="451"/>
    </row>
    <row r="60" spans="1:14" x14ac:dyDescent="0.25">
      <c r="A60">
        <v>57</v>
      </c>
      <c r="B60" t="str">
        <f>_xlfn.XLOOKUP(A60,Order!$V$46:$V$859,Order!$C$46:$C$859,"")</f>
        <v/>
      </c>
      <c r="C60" t="str">
        <f>_xlfn.XLOOKUP(A60,Order!$V$46:$V$859,Order!$P$46:$P$859,"")</f>
        <v/>
      </c>
      <c r="D60" t="str">
        <f>_xlfn.XLOOKUP(A60,Order!$V$46:$V$859,Order!$H$46:$H$859,"")</f>
        <v/>
      </c>
      <c r="E60" t="str">
        <f t="shared" si="0"/>
        <v/>
      </c>
      <c r="F60" t="str">
        <f t="shared" si="1"/>
        <v/>
      </c>
      <c r="I60" s="422">
        <v>54</v>
      </c>
      <c r="J60" s="625" t="str">
        <f t="shared" si="6"/>
        <v>Ranunculus lingua grandiflora</v>
      </c>
      <c r="K60" s="626">
        <f t="shared" si="7"/>
        <v>73</v>
      </c>
      <c r="L60" s="625" t="str">
        <f t="shared" si="8"/>
        <v>Gardeners Choice</v>
      </c>
      <c r="M60" s="457">
        <f t="shared" si="9"/>
        <v>2</v>
      </c>
      <c r="N60" s="451"/>
    </row>
    <row r="61" spans="1:14" x14ac:dyDescent="0.25">
      <c r="A61">
        <v>58</v>
      </c>
      <c r="B61" t="str">
        <f>_xlfn.XLOOKUP(A61,Order!$V$46:$V$859,Order!$C$46:$C$859,"")</f>
        <v>Primula denticulata</v>
      </c>
      <c r="C61" t="str">
        <f>_xlfn.XLOOKUP(A61,Order!$V$46:$V$859,Order!$P$46:$P$859,"")</f>
        <v>1L Marginals</v>
      </c>
      <c r="D61">
        <f>_xlfn.XLOOKUP(A61,Order!$V$46:$V$859,Order!$H$46:$H$859,"")</f>
        <v>2</v>
      </c>
      <c r="E61">
        <f t="shared" si="0"/>
        <v>3558</v>
      </c>
      <c r="F61">
        <f t="shared" si="1"/>
        <v>46</v>
      </c>
      <c r="I61" s="422">
        <v>55</v>
      </c>
      <c r="J61" s="625" t="str">
        <f t="shared" si="6"/>
        <v xml:space="preserve">Phalaris arundinacea 'Picta'   </v>
      </c>
      <c r="K61" s="626">
        <f t="shared" si="7"/>
        <v>74</v>
      </c>
      <c r="L61" s="625" t="str">
        <f t="shared" si="8"/>
        <v>Gardeners Choice</v>
      </c>
      <c r="M61" s="457">
        <f t="shared" si="9"/>
        <v>2</v>
      </c>
      <c r="N61" s="451"/>
    </row>
    <row r="62" spans="1:14" x14ac:dyDescent="0.25">
      <c r="A62">
        <v>59</v>
      </c>
      <c r="B62" t="str">
        <f>_xlfn.XLOOKUP(A62,Order!$V$46:$V$859,Order!$C$46:$C$859,"")</f>
        <v>Preslia cervina</v>
      </c>
      <c r="C62" t="str">
        <f>_xlfn.XLOOKUP(A62,Order!$V$46:$V$859,Order!$P$46:$P$859,"")</f>
        <v>1L Marginals</v>
      </c>
      <c r="D62">
        <f>_xlfn.XLOOKUP(A62,Order!$V$46:$V$859,Order!$H$46:$H$859,"")</f>
        <v>3</v>
      </c>
      <c r="E62">
        <f t="shared" si="0"/>
        <v>6959</v>
      </c>
      <c r="F62">
        <f t="shared" si="1"/>
        <v>72</v>
      </c>
      <c r="I62" s="422">
        <v>56</v>
      </c>
      <c r="J62" s="625" t="str">
        <f t="shared" si="6"/>
        <v>Myosotis palustris</v>
      </c>
      <c r="K62" s="626">
        <f t="shared" si="7"/>
        <v>75</v>
      </c>
      <c r="L62" s="625" t="str">
        <f t="shared" si="8"/>
        <v>Gardeners Choice</v>
      </c>
      <c r="M62" s="457">
        <f t="shared" si="9"/>
        <v>2</v>
      </c>
      <c r="N62" s="451"/>
    </row>
    <row r="63" spans="1:14" x14ac:dyDescent="0.25">
      <c r="A63">
        <v>60</v>
      </c>
      <c r="B63" t="str">
        <f>_xlfn.XLOOKUP(A63,Order!$V$46:$V$859,Order!$C$46:$C$859,"")</f>
        <v>Myosotis palustris</v>
      </c>
      <c r="C63" t="str">
        <f>_xlfn.XLOOKUP(A63,Order!$V$46:$V$859,Order!$P$46:$P$859,"")</f>
        <v>1L Marginals</v>
      </c>
      <c r="D63">
        <f>_xlfn.XLOOKUP(A63,Order!$V$46:$V$859,Order!$H$46:$H$859,"")</f>
        <v>1</v>
      </c>
      <c r="E63">
        <f t="shared" si="0"/>
        <v>260</v>
      </c>
      <c r="F63">
        <f t="shared" si="1"/>
        <v>19</v>
      </c>
      <c r="I63" s="422">
        <v>57</v>
      </c>
      <c r="J63" s="625" t="str">
        <f t="shared" si="6"/>
        <v>Lysimachia nummularia 'aurea'</v>
      </c>
      <c r="K63" s="626">
        <f t="shared" si="7"/>
        <v>76</v>
      </c>
      <c r="L63" s="625" t="str">
        <f t="shared" si="8"/>
        <v>Gardeners Choice</v>
      </c>
      <c r="M63" s="457">
        <f t="shared" si="9"/>
        <v>2</v>
      </c>
      <c r="N63" s="451"/>
    </row>
    <row r="64" spans="1:14" x14ac:dyDescent="0.25">
      <c r="A64">
        <v>61</v>
      </c>
      <c r="B64" t="str">
        <f>_xlfn.XLOOKUP(A64,Order!$V$46:$V$859,Order!$C$46:$C$859,"")</f>
        <v>Mentha aquatica</v>
      </c>
      <c r="C64" t="str">
        <f>_xlfn.XLOOKUP(A64,Order!$V$46:$V$859,Order!$P$46:$P$859,"")</f>
        <v>1L Marginals</v>
      </c>
      <c r="D64">
        <f>_xlfn.XLOOKUP(A64,Order!$V$46:$V$859,Order!$H$46:$H$859,"")</f>
        <v>2</v>
      </c>
      <c r="E64">
        <f t="shared" si="0"/>
        <v>3561</v>
      </c>
      <c r="F64">
        <f t="shared" si="1"/>
        <v>47</v>
      </c>
      <c r="I64" s="422">
        <v>58</v>
      </c>
      <c r="J64" s="625" t="str">
        <f t="shared" si="6"/>
        <v>Typha latifolia</v>
      </c>
      <c r="K64" s="626">
        <f t="shared" si="7"/>
        <v>82</v>
      </c>
      <c r="L64" s="625" t="str">
        <f t="shared" si="8"/>
        <v>1L Marginals</v>
      </c>
      <c r="M64" s="457">
        <f t="shared" si="9"/>
        <v>2</v>
      </c>
      <c r="N64" s="451"/>
    </row>
    <row r="65" spans="1:14" x14ac:dyDescent="0.25">
      <c r="A65">
        <v>62</v>
      </c>
      <c r="B65" t="str">
        <f>_xlfn.XLOOKUP(A65,Order!$V$46:$V$859,Order!$C$46:$C$859,"")</f>
        <v>Mazus reptans</v>
      </c>
      <c r="C65" t="str">
        <f>_xlfn.XLOOKUP(A65,Order!$V$46:$V$859,Order!$P$46:$P$859,"")</f>
        <v>1L Marginals</v>
      </c>
      <c r="D65">
        <f>_xlfn.XLOOKUP(A65,Order!$V$46:$V$859,Order!$H$46:$H$859,"")</f>
        <v>2</v>
      </c>
      <c r="E65">
        <f t="shared" si="0"/>
        <v>3562</v>
      </c>
      <c r="F65">
        <f t="shared" si="1"/>
        <v>48</v>
      </c>
      <c r="I65" s="422">
        <v>59</v>
      </c>
      <c r="J65" s="625" t="str">
        <f t="shared" si="6"/>
        <v>Sisyrinchium Californicum</v>
      </c>
      <c r="K65" s="626">
        <f t="shared" si="7"/>
        <v>83</v>
      </c>
      <c r="L65" s="625" t="str">
        <f t="shared" si="8"/>
        <v>1L Marginals</v>
      </c>
      <c r="M65" s="457">
        <f t="shared" si="9"/>
        <v>2</v>
      </c>
      <c r="N65" s="451"/>
    </row>
    <row r="66" spans="1:14" x14ac:dyDescent="0.25">
      <c r="A66">
        <v>63</v>
      </c>
      <c r="B66" t="str">
        <f>_xlfn.XLOOKUP(A66,Order!$V$46:$V$859,Order!$C$46:$C$859,"")</f>
        <v>Lysimachia nummularia</v>
      </c>
      <c r="C66" t="str">
        <f>_xlfn.XLOOKUP(A66,Order!$V$46:$V$859,Order!$P$46:$P$859,"")</f>
        <v>1L Marginals</v>
      </c>
      <c r="D66">
        <f>_xlfn.XLOOKUP(A66,Order!$V$46:$V$859,Order!$H$46:$H$859,"")</f>
        <v>2</v>
      </c>
      <c r="E66">
        <f t="shared" si="0"/>
        <v>3563</v>
      </c>
      <c r="F66">
        <f t="shared" si="1"/>
        <v>49</v>
      </c>
      <c r="I66" s="422">
        <v>60</v>
      </c>
      <c r="J66" s="625" t="str">
        <f t="shared" si="6"/>
        <v xml:space="preserve">Schizostylis Pink      </v>
      </c>
      <c r="K66" s="626">
        <f t="shared" si="7"/>
        <v>84</v>
      </c>
      <c r="L66" s="625" t="str">
        <f t="shared" si="8"/>
        <v>1L Marginals</v>
      </c>
      <c r="M66" s="457">
        <f t="shared" si="9"/>
        <v>2</v>
      </c>
      <c r="N66" s="451"/>
    </row>
    <row r="67" spans="1:14" x14ac:dyDescent="0.25">
      <c r="A67">
        <v>64</v>
      </c>
      <c r="B67" t="str">
        <f>_xlfn.XLOOKUP(A67,Order!$V$46:$V$859,Order!$C$46:$C$859,"")</f>
        <v>Lobelia syphilitica 'Alba'</v>
      </c>
      <c r="C67" t="str">
        <f>_xlfn.XLOOKUP(A67,Order!$V$46:$V$859,Order!$P$46:$P$859,"")</f>
        <v>1L Marginals</v>
      </c>
      <c r="D67">
        <f>_xlfn.XLOOKUP(A67,Order!$V$46:$V$859,Order!$H$46:$H$859,"")</f>
        <v>1</v>
      </c>
      <c r="E67">
        <f t="shared" si="0"/>
        <v>264</v>
      </c>
      <c r="F67">
        <f t="shared" si="1"/>
        <v>20</v>
      </c>
      <c r="I67" s="422">
        <v>61</v>
      </c>
      <c r="J67" s="625" t="str">
        <f t="shared" si="6"/>
        <v>Primula denticulata 'Alba'</v>
      </c>
      <c r="K67" s="626">
        <f t="shared" si="7"/>
        <v>87</v>
      </c>
      <c r="L67" s="625" t="str">
        <f t="shared" si="8"/>
        <v>1L Marginals</v>
      </c>
      <c r="M67" s="457">
        <f t="shared" si="9"/>
        <v>2</v>
      </c>
      <c r="N67" s="451"/>
    </row>
    <row r="68" spans="1:14" x14ac:dyDescent="0.25">
      <c r="A68">
        <v>65</v>
      </c>
      <c r="B68" t="str">
        <f>_xlfn.XLOOKUP(A68,Order!$V$46:$V$859,Order!$C$46:$C$859,"")</f>
        <v>Lobelia speciosa Fan Scarlet</v>
      </c>
      <c r="C68" t="str">
        <f>_xlfn.XLOOKUP(A68,Order!$V$46:$V$859,Order!$P$46:$P$859,"")</f>
        <v>1L Marginals</v>
      </c>
      <c r="D68">
        <f>_xlfn.XLOOKUP(A68,Order!$V$46:$V$859,Order!$H$46:$H$859,"")</f>
        <v>1</v>
      </c>
      <c r="E68">
        <f t="shared" ref="E68:E88" si="10">IFERROR(RANK(D68,D$4:D$113,1)*100+A68,"")</f>
        <v>265</v>
      </c>
      <c r="F68">
        <f t="shared" ref="F68:F100" si="11">IFERROR(RANK(E68,E$4:E$113,1),"")</f>
        <v>21</v>
      </c>
      <c r="I68" s="422">
        <v>62</v>
      </c>
      <c r="J68" s="625" t="str">
        <f t="shared" si="6"/>
        <v>Primula Denticulata Lilac</v>
      </c>
      <c r="K68" s="626">
        <f t="shared" si="7"/>
        <v>88</v>
      </c>
      <c r="L68" s="625" t="str">
        <f t="shared" si="8"/>
        <v>1L Marginals</v>
      </c>
      <c r="M68" s="457">
        <f t="shared" si="9"/>
        <v>2</v>
      </c>
      <c r="N68" s="451"/>
    </row>
    <row r="69" spans="1:14" x14ac:dyDescent="0.25">
      <c r="A69">
        <v>66</v>
      </c>
      <c r="B69" t="str">
        <f>_xlfn.XLOOKUP(A69,Order!$V$46:$V$859,Order!$C$46:$C$859,"")</f>
        <v>Juncus effusus 'Spiralis'</v>
      </c>
      <c r="C69" t="str">
        <f>_xlfn.XLOOKUP(A69,Order!$V$46:$V$859,Order!$P$46:$P$859,"")</f>
        <v>1L Marginals</v>
      </c>
      <c r="D69">
        <f>_xlfn.XLOOKUP(A69,Order!$V$46:$V$859,Order!$H$46:$H$859,"")</f>
        <v>1</v>
      </c>
      <c r="E69">
        <f t="shared" si="10"/>
        <v>266</v>
      </c>
      <c r="F69">
        <f t="shared" si="11"/>
        <v>22</v>
      </c>
      <c r="I69" s="422">
        <v>63</v>
      </c>
      <c r="J69" s="625" t="str">
        <f t="shared" si="6"/>
        <v>Primula rosea</v>
      </c>
      <c r="K69" s="626">
        <f t="shared" si="7"/>
        <v>89</v>
      </c>
      <c r="L69" s="625" t="str">
        <f t="shared" si="8"/>
        <v>1L Marginals</v>
      </c>
      <c r="M69" s="457">
        <f t="shared" si="9"/>
        <v>2</v>
      </c>
      <c r="N69" s="451"/>
    </row>
    <row r="70" spans="1:14" x14ac:dyDescent="0.25">
      <c r="A70">
        <v>67</v>
      </c>
      <c r="B70" t="str">
        <f>_xlfn.XLOOKUP(A70,Order!$V$46:$V$859,Order!$C$46:$C$859,"")</f>
        <v>Iris sibirica 'Snow Queen'</v>
      </c>
      <c r="C70" t="str">
        <f>_xlfn.XLOOKUP(A70,Order!$V$46:$V$859,Order!$P$46:$P$859,"")</f>
        <v>1L Marginals</v>
      </c>
      <c r="D70">
        <f>_xlfn.XLOOKUP(A70,Order!$V$46:$V$859,Order!$H$46:$H$859,"")</f>
        <v>2</v>
      </c>
      <c r="E70">
        <f t="shared" si="10"/>
        <v>3567</v>
      </c>
      <c r="F70">
        <f t="shared" si="11"/>
        <v>50</v>
      </c>
      <c r="I70" s="422">
        <v>64</v>
      </c>
      <c r="J70" s="625" t="str">
        <f t="shared" si="6"/>
        <v>Schizostylis Red</v>
      </c>
      <c r="K70" s="626">
        <f t="shared" si="7"/>
        <v>91</v>
      </c>
      <c r="L70" s="625" t="str">
        <f t="shared" si="8"/>
        <v>1L Marginals</v>
      </c>
      <c r="M70" s="457">
        <f t="shared" si="9"/>
        <v>2</v>
      </c>
      <c r="N70" s="451"/>
    </row>
    <row r="71" spans="1:14" x14ac:dyDescent="0.25">
      <c r="A71">
        <v>68</v>
      </c>
      <c r="B71" t="str">
        <f>_xlfn.XLOOKUP(A71,Order!$V$46:$V$859,Order!$C$46:$C$859,"")</f>
        <v>Iris louisiana 'Black Gamecock'</v>
      </c>
      <c r="C71" t="str">
        <f>_xlfn.XLOOKUP(A71,Order!$V$46:$V$859,Order!$P$46:$P$859,"")</f>
        <v>1L Marginals</v>
      </c>
      <c r="D71">
        <f>_xlfn.XLOOKUP(A71,Order!$V$46:$V$859,Order!$H$46:$H$859,"")</f>
        <v>2</v>
      </c>
      <c r="E71">
        <f t="shared" si="10"/>
        <v>3568</v>
      </c>
      <c r="F71">
        <f t="shared" si="11"/>
        <v>51</v>
      </c>
      <c r="I71" s="422">
        <v>65</v>
      </c>
      <c r="J71" s="625" t="str">
        <f t="shared" si="6"/>
        <v>Mentha aquatica</v>
      </c>
      <c r="K71" s="626">
        <f t="shared" si="7"/>
        <v>98</v>
      </c>
      <c r="L71" s="625" t="str">
        <f t="shared" si="8"/>
        <v>Gardeners Choice</v>
      </c>
      <c r="M71" s="457">
        <f t="shared" si="9"/>
        <v>2</v>
      </c>
      <c r="N71" s="451"/>
    </row>
    <row r="72" spans="1:14" x14ac:dyDescent="0.25">
      <c r="A72">
        <v>69</v>
      </c>
      <c r="B72" t="str">
        <f>_xlfn.XLOOKUP(A72,Order!$V$46:$V$859,Order!$C$46:$C$859,"")</f>
        <v>Iris ensata</v>
      </c>
      <c r="C72" t="str">
        <f>_xlfn.XLOOKUP(A72,Order!$V$46:$V$859,Order!$P$46:$P$859,"")</f>
        <v>1L Marginals</v>
      </c>
      <c r="D72">
        <f>_xlfn.XLOOKUP(A72,Order!$V$46:$V$859,Order!$H$46:$H$859,"")</f>
        <v>2</v>
      </c>
      <c r="E72">
        <f t="shared" si="10"/>
        <v>3569</v>
      </c>
      <c r="F72">
        <f t="shared" si="11"/>
        <v>52</v>
      </c>
      <c r="I72" s="422">
        <v>66</v>
      </c>
      <c r="J72" s="625" t="str">
        <f t="shared" si="6"/>
        <v>Oenanthe 'Flamingo'</v>
      </c>
      <c r="K72" s="626">
        <f t="shared" si="7"/>
        <v>99</v>
      </c>
      <c r="L72" s="625" t="str">
        <f t="shared" si="8"/>
        <v>Gardeners Choice</v>
      </c>
      <c r="M72" s="457">
        <f t="shared" si="9"/>
        <v>2</v>
      </c>
      <c r="N72" s="451"/>
    </row>
    <row r="73" spans="1:14" x14ac:dyDescent="0.25">
      <c r="A73">
        <v>70</v>
      </c>
      <c r="B73" t="str">
        <f>_xlfn.XLOOKUP(A73,Order!$V$46:$V$859,Order!$C$46:$C$859,"")</f>
        <v>Glyceria Maxima</v>
      </c>
      <c r="C73" t="str">
        <f>_xlfn.XLOOKUP(A73,Order!$V$46:$V$859,Order!$P$46:$P$859,"")</f>
        <v>1L Marginals</v>
      </c>
      <c r="D73">
        <f>_xlfn.XLOOKUP(A73,Order!$V$46:$V$859,Order!$H$46:$H$859,"")</f>
        <v>3</v>
      </c>
      <c r="E73">
        <f t="shared" si="10"/>
        <v>6970</v>
      </c>
      <c r="F73">
        <f t="shared" si="11"/>
        <v>73</v>
      </c>
      <c r="I73" s="422">
        <v>67</v>
      </c>
      <c r="J73" s="625" t="str">
        <f t="shared" si="6"/>
        <v>Ranunculus flammula</v>
      </c>
      <c r="K73" s="626">
        <f t="shared" si="7"/>
        <v>100</v>
      </c>
      <c r="L73" s="625" t="str">
        <f t="shared" si="8"/>
        <v>Gardeners Choice</v>
      </c>
      <c r="M73" s="457">
        <f t="shared" si="9"/>
        <v>2</v>
      </c>
      <c r="N73" s="451"/>
    </row>
    <row r="74" spans="1:14" x14ac:dyDescent="0.25">
      <c r="A74">
        <v>71</v>
      </c>
      <c r="B74" t="str">
        <f>_xlfn.XLOOKUP(A74,Order!$V$46:$V$859,Order!$C$46:$C$859,"")</f>
        <v>Caltha palustris</v>
      </c>
      <c r="C74" t="str">
        <f>_xlfn.XLOOKUP(A74,Order!$V$46:$V$859,Order!$P$46:$P$859,"")</f>
        <v>1L Marginals</v>
      </c>
      <c r="D74">
        <f>_xlfn.XLOOKUP(A74,Order!$V$46:$V$859,Order!$H$46:$H$859,"")</f>
        <v>1</v>
      </c>
      <c r="E74">
        <f t="shared" si="10"/>
        <v>271</v>
      </c>
      <c r="F74">
        <f t="shared" si="11"/>
        <v>23</v>
      </c>
      <c r="I74" s="422">
        <v>68</v>
      </c>
      <c r="J74" s="625" t="str">
        <f t="shared" si="6"/>
        <v>Typha angustifolia</v>
      </c>
      <c r="K74" s="626">
        <f t="shared" si="7"/>
        <v>101</v>
      </c>
      <c r="L74" s="625" t="str">
        <f t="shared" si="8"/>
        <v>Gardeners Choice</v>
      </c>
      <c r="M74" s="457">
        <f t="shared" si="9"/>
        <v>2</v>
      </c>
      <c r="N74" s="451"/>
    </row>
    <row r="75" spans="1:14" x14ac:dyDescent="0.25">
      <c r="A75">
        <v>72</v>
      </c>
      <c r="B75" t="str">
        <f>_xlfn.XLOOKUP(A75,Order!$V$46:$V$859,Order!$C$46:$C$859,"")</f>
        <v>Acorus gramineus 'Variegatus'</v>
      </c>
      <c r="C75" t="str">
        <f>_xlfn.XLOOKUP(A75,Order!$V$46:$V$859,Order!$P$46:$P$859,"")</f>
        <v>1L Marginals</v>
      </c>
      <c r="D75">
        <f>_xlfn.XLOOKUP(A75,Order!$V$46:$V$859,Order!$H$46:$H$859,"")</f>
        <v>2</v>
      </c>
      <c r="E75">
        <f t="shared" si="10"/>
        <v>3572</v>
      </c>
      <c r="F75">
        <f t="shared" si="11"/>
        <v>53</v>
      </c>
      <c r="I75" s="422">
        <v>69</v>
      </c>
      <c r="J75" s="625" t="str">
        <f t="shared" si="6"/>
        <v>Scirpus Isolepis</v>
      </c>
      <c r="K75" s="626">
        <f t="shared" si="7"/>
        <v>32</v>
      </c>
      <c r="L75" s="625" t="str">
        <f t="shared" si="8"/>
        <v>1L Oxygenators</v>
      </c>
      <c r="M75" s="457">
        <f t="shared" si="9"/>
        <v>3</v>
      </c>
      <c r="N75" s="451"/>
    </row>
    <row r="76" spans="1:14" x14ac:dyDescent="0.25">
      <c r="A76">
        <v>73</v>
      </c>
      <c r="B76" t="str">
        <f>_xlfn.XLOOKUP(A76,Order!$V$46:$V$859,Order!$C$46:$C$859,"")</f>
        <v>Ranunculus lingua grandiflora</v>
      </c>
      <c r="C76" t="str">
        <f>_xlfn.XLOOKUP(A76,Order!$V$46:$V$859,Order!$P$46:$P$859,"")</f>
        <v>Gardeners Choice</v>
      </c>
      <c r="D76">
        <f>_xlfn.XLOOKUP(A76,Order!$V$46:$V$859,Order!$H$46:$H$859,"")</f>
        <v>2</v>
      </c>
      <c r="E76">
        <f t="shared" si="10"/>
        <v>3573</v>
      </c>
      <c r="F76">
        <f t="shared" si="11"/>
        <v>54</v>
      </c>
      <c r="I76" s="422">
        <v>70</v>
      </c>
      <c r="J76" s="625" t="str">
        <f t="shared" si="6"/>
        <v>Lychnis flos cuculi</v>
      </c>
      <c r="K76" s="626">
        <f t="shared" si="7"/>
        <v>48</v>
      </c>
      <c r="L76" s="625" t="str">
        <f t="shared" si="8"/>
        <v>1L Marginals</v>
      </c>
      <c r="M76" s="457">
        <f>IF(K76&lt;&gt;"",IF(K76&gt;K75,M75,M75+1),"")</f>
        <v>3</v>
      </c>
      <c r="N76" s="451"/>
    </row>
    <row r="77" spans="1:14" x14ac:dyDescent="0.25">
      <c r="A77">
        <v>74</v>
      </c>
      <c r="B77" t="str">
        <f>_xlfn.XLOOKUP(A77,Order!$V$46:$V$859,Order!$C$46:$C$859,"")</f>
        <v xml:space="preserve">Phalaris arundinacea 'Picta'   </v>
      </c>
      <c r="C77" t="str">
        <f>_xlfn.XLOOKUP(A77,Order!$V$46:$V$859,Order!$P$46:$P$859,"")</f>
        <v>Gardeners Choice</v>
      </c>
      <c r="D77">
        <f>_xlfn.XLOOKUP(A77,Order!$V$46:$V$859,Order!$H$46:$H$859,"")</f>
        <v>2</v>
      </c>
      <c r="E77">
        <f t="shared" si="10"/>
        <v>3574</v>
      </c>
      <c r="F77">
        <f t="shared" si="11"/>
        <v>55</v>
      </c>
      <c r="I77" s="422">
        <v>71</v>
      </c>
      <c r="J77" s="625" t="str">
        <f t="shared" si="6"/>
        <v>Preslia cervina alba</v>
      </c>
      <c r="K77" s="626">
        <f t="shared" si="7"/>
        <v>53</v>
      </c>
      <c r="L77" s="625" t="str">
        <f t="shared" si="8"/>
        <v>1L Marginals</v>
      </c>
      <c r="M77" s="457">
        <f>IF(K77&lt;&gt;"",IF(K77&gt;K76,M76,M76+1),"")</f>
        <v>3</v>
      </c>
      <c r="N77" s="451"/>
    </row>
    <row r="78" spans="1:14" x14ac:dyDescent="0.25">
      <c r="A78">
        <v>75</v>
      </c>
      <c r="B78" t="str">
        <f>_xlfn.XLOOKUP(A78,Order!$V$46:$V$859,Order!$C$46:$C$859,"")</f>
        <v>Myosotis palustris</v>
      </c>
      <c r="C78" t="str">
        <f>_xlfn.XLOOKUP(A78,Order!$V$46:$V$859,Order!$P$46:$P$859,"")</f>
        <v>Gardeners Choice</v>
      </c>
      <c r="D78">
        <f>_xlfn.XLOOKUP(A78,Order!$V$46:$V$859,Order!$H$46:$H$859,"")</f>
        <v>2</v>
      </c>
      <c r="E78">
        <f t="shared" si="10"/>
        <v>3575</v>
      </c>
      <c r="F78">
        <f t="shared" si="11"/>
        <v>56</v>
      </c>
      <c r="I78" s="422">
        <v>72</v>
      </c>
      <c r="J78" s="625" t="str">
        <f t="shared" si="6"/>
        <v>Preslia cervina</v>
      </c>
      <c r="K78" s="626">
        <f t="shared" si="7"/>
        <v>59</v>
      </c>
      <c r="L78" s="625" t="str">
        <f t="shared" si="8"/>
        <v>1L Marginals</v>
      </c>
      <c r="M78" s="457">
        <f>IF(K78&lt;&gt;"",IF(K78&gt;K77,M77,M77+1),"")</f>
        <v>3</v>
      </c>
      <c r="N78" s="451"/>
    </row>
    <row r="79" spans="1:14" x14ac:dyDescent="0.25">
      <c r="A79">
        <v>76</v>
      </c>
      <c r="B79" t="str">
        <f>_xlfn.XLOOKUP(A79,Order!$V$46:$V$859,Order!$C$46:$C$859,"")</f>
        <v>Lysimachia nummularia 'aurea'</v>
      </c>
      <c r="C79" t="str">
        <f>_xlfn.XLOOKUP(A79,Order!$V$46:$V$859,Order!$P$46:$P$859,"")</f>
        <v>Gardeners Choice</v>
      </c>
      <c r="D79">
        <f>_xlfn.XLOOKUP(A79,Order!$V$46:$V$859,Order!$H$46:$H$859,"")</f>
        <v>2</v>
      </c>
      <c r="E79">
        <f t="shared" si="10"/>
        <v>3576</v>
      </c>
      <c r="F79">
        <f t="shared" si="11"/>
        <v>57</v>
      </c>
      <c r="I79" s="422">
        <v>73</v>
      </c>
      <c r="J79" s="625" t="str">
        <f t="shared" si="6"/>
        <v>Glyceria Maxima</v>
      </c>
      <c r="K79" s="626">
        <f t="shared" si="7"/>
        <v>70</v>
      </c>
      <c r="L79" s="625" t="str">
        <f t="shared" si="8"/>
        <v>1L Marginals</v>
      </c>
      <c r="M79" s="457">
        <f>IF(K79&lt;&gt;"",IF(K79&gt;K78,M78,M78+1),"")</f>
        <v>3</v>
      </c>
      <c r="N79" s="451"/>
    </row>
    <row r="80" spans="1:14" x14ac:dyDescent="0.25">
      <c r="A80">
        <v>77</v>
      </c>
      <c r="B80" t="str">
        <f>_xlfn.XLOOKUP(A80,Order!$V$46:$V$859,Order!$C$46:$C$859,"")</f>
        <v>Juncus effusus</v>
      </c>
      <c r="C80" t="str">
        <f>_xlfn.XLOOKUP(A80,Order!$V$46:$V$859,Order!$P$46:$P$859,"")</f>
        <v>Gardeners Choice</v>
      </c>
      <c r="D80">
        <f>_xlfn.XLOOKUP(A80,Order!$V$46:$V$859,Order!$H$46:$H$859,"")</f>
        <v>3</v>
      </c>
      <c r="E80">
        <f t="shared" si="10"/>
        <v>6977</v>
      </c>
      <c r="F80">
        <f t="shared" si="11"/>
        <v>74</v>
      </c>
      <c r="I80" s="422">
        <v>74</v>
      </c>
      <c r="J80" s="625" t="str">
        <f t="shared" si="6"/>
        <v>Juncus effusus</v>
      </c>
      <c r="K80" s="626">
        <f t="shared" si="7"/>
        <v>77</v>
      </c>
      <c r="L80" s="625" t="str">
        <f t="shared" si="8"/>
        <v>Gardeners Choice</v>
      </c>
      <c r="M80" s="457">
        <f>IF(K80&lt;&gt;"",IF(K80&gt;K79,M79,M79+1),"")</f>
        <v>3</v>
      </c>
      <c r="N80" s="451"/>
    </row>
    <row r="81" spans="1:14" x14ac:dyDescent="0.25">
      <c r="A81">
        <v>78</v>
      </c>
      <c r="B81" t="str">
        <f>_xlfn.XLOOKUP(A81,Order!$V$46:$V$859,Order!$C$46:$C$859,"")</f>
        <v>Iris pseudacorus</v>
      </c>
      <c r="C81" t="str">
        <f>_xlfn.XLOOKUP(A81,Order!$V$46:$V$859,Order!$P$46:$P$859,"")</f>
        <v>Gardeners Choice</v>
      </c>
      <c r="D81">
        <f>_xlfn.XLOOKUP(A81,Order!$V$46:$V$859,Order!$H$46:$H$859,"")</f>
        <v>1</v>
      </c>
      <c r="E81">
        <f t="shared" si="10"/>
        <v>278</v>
      </c>
      <c r="F81">
        <f t="shared" si="11"/>
        <v>24</v>
      </c>
      <c r="I81" s="422">
        <v>75</v>
      </c>
      <c r="J81" s="625" t="str">
        <f t="shared" si="6"/>
        <v>Carex pendula</v>
      </c>
      <c r="K81" s="626">
        <f t="shared" si="7"/>
        <v>79</v>
      </c>
      <c r="L81" s="625" t="str">
        <f t="shared" si="8"/>
        <v>Gardeners Choice</v>
      </c>
      <c r="M81" s="457">
        <f t="shared" ref="M81:M95" si="12">IF(K81&lt;&gt;"",IF(K81&gt;K80,M80,M80+1),"")</f>
        <v>3</v>
      </c>
      <c r="N81" s="451"/>
    </row>
    <row r="82" spans="1:14" x14ac:dyDescent="0.25">
      <c r="A82">
        <v>79</v>
      </c>
      <c r="B82" t="str">
        <f>_xlfn.XLOOKUP(A82,Order!$V$46:$V$859,Order!$C$46:$C$859,"")</f>
        <v>Carex pendula</v>
      </c>
      <c r="C82" t="str">
        <f>_xlfn.XLOOKUP(A82,Order!$V$46:$V$859,Order!$P$46:$P$859,"")</f>
        <v>Gardeners Choice</v>
      </c>
      <c r="D82">
        <f>_xlfn.XLOOKUP(A82,Order!$V$46:$V$859,Order!$H$46:$H$859,"")</f>
        <v>3</v>
      </c>
      <c r="E82">
        <f t="shared" si="10"/>
        <v>6979</v>
      </c>
      <c r="F82">
        <f t="shared" si="11"/>
        <v>75</v>
      </c>
      <c r="I82" s="628">
        <v>76</v>
      </c>
      <c r="J82" s="625" t="str">
        <f t="shared" si="6"/>
        <v>Carex panicea</v>
      </c>
      <c r="K82" s="626">
        <f t="shared" si="7"/>
        <v>95</v>
      </c>
      <c r="L82" s="625" t="str">
        <f t="shared" si="8"/>
        <v>Gardeners Choice</v>
      </c>
      <c r="M82" s="457">
        <f t="shared" si="12"/>
        <v>3</v>
      </c>
      <c r="N82" s="629"/>
    </row>
    <row r="83" spans="1:14" x14ac:dyDescent="0.25">
      <c r="A83">
        <v>80</v>
      </c>
      <c r="B83" t="str">
        <f>_xlfn.XLOOKUP(A83,Order!$V$46:$V$859,Order!$C$46:$C$859,"")</f>
        <v>Acorus gramineus 'Ogon'</v>
      </c>
      <c r="C83" t="str">
        <f>_xlfn.XLOOKUP(A83,Order!$V$46:$V$859,Order!$P$46:$P$859,"")</f>
        <v>Gardeners Choice</v>
      </c>
      <c r="D83">
        <f>_xlfn.XLOOKUP(A83,Order!$V$46:$V$859,Order!$H$46:$H$859,"")</f>
        <v>1</v>
      </c>
      <c r="E83">
        <f t="shared" si="10"/>
        <v>280</v>
      </c>
      <c r="F83">
        <f t="shared" si="11"/>
        <v>25</v>
      </c>
      <c r="I83" s="630">
        <v>77</v>
      </c>
      <c r="J83" s="625" t="str">
        <f t="shared" si="6"/>
        <v>Juncus Inflexus</v>
      </c>
      <c r="K83" s="626">
        <f t="shared" si="7"/>
        <v>97</v>
      </c>
      <c r="L83" s="625" t="str">
        <f t="shared" si="8"/>
        <v>Gardeners Choice</v>
      </c>
      <c r="M83" s="631">
        <f t="shared" si="12"/>
        <v>3</v>
      </c>
      <c r="N83" s="632"/>
    </row>
    <row r="84" spans="1:14" x14ac:dyDescent="0.25">
      <c r="A84">
        <v>81</v>
      </c>
      <c r="B84" t="str">
        <f>_xlfn.XLOOKUP(A84,Order!$V$46:$V$859,Order!$C$46:$C$859,"")</f>
        <v>Veronica beccabunga</v>
      </c>
      <c r="C84" t="str">
        <f>_xlfn.XLOOKUP(A84,Order!$V$46:$V$859,Order!$P$46:$P$859,"")</f>
        <v>1L Marginals</v>
      </c>
      <c r="D84">
        <f>_xlfn.XLOOKUP(A84,Order!$V$46:$V$859,Order!$H$46:$H$859,"")</f>
        <v>1</v>
      </c>
      <c r="E84">
        <f t="shared" si="10"/>
        <v>281</v>
      </c>
      <c r="F84">
        <f t="shared" si="11"/>
        <v>26</v>
      </c>
      <c r="I84" s="624">
        <v>78</v>
      </c>
      <c r="J84" s="625" t="str">
        <f t="shared" si="6"/>
        <v/>
      </c>
      <c r="K84" s="626" t="str">
        <f t="shared" si="7"/>
        <v/>
      </c>
      <c r="L84" s="625" t="str">
        <f t="shared" si="8"/>
        <v/>
      </c>
      <c r="M84" s="626" t="str">
        <f t="shared" si="12"/>
        <v/>
      </c>
      <c r="N84" s="627"/>
    </row>
    <row r="85" spans="1:14" x14ac:dyDescent="0.25">
      <c r="A85">
        <v>82</v>
      </c>
      <c r="B85" t="str">
        <f>_xlfn.XLOOKUP(A85,Order!$V$46:$V$859,Order!$C$46:$C$859,"")</f>
        <v>Typha latifolia</v>
      </c>
      <c r="C85" t="str">
        <f>_xlfn.XLOOKUP(A85,Order!$V$46:$V$859,Order!$P$46:$P$859,"")</f>
        <v>1L Marginals</v>
      </c>
      <c r="D85">
        <f>_xlfn.XLOOKUP(A85,Order!$V$46:$V$859,Order!$H$46:$H$859,"")</f>
        <v>2</v>
      </c>
      <c r="E85">
        <f t="shared" si="10"/>
        <v>3582</v>
      </c>
      <c r="F85">
        <f t="shared" si="11"/>
        <v>58</v>
      </c>
      <c r="I85" s="624">
        <v>79</v>
      </c>
      <c r="J85" s="625" t="str">
        <f t="shared" si="6"/>
        <v/>
      </c>
      <c r="K85" s="626" t="str">
        <f t="shared" si="7"/>
        <v/>
      </c>
      <c r="L85" s="625" t="str">
        <f t="shared" si="8"/>
        <v/>
      </c>
      <c r="M85" s="626" t="str">
        <f t="shared" si="12"/>
        <v/>
      </c>
      <c r="N85" s="627"/>
    </row>
    <row r="86" spans="1:14" x14ac:dyDescent="0.25">
      <c r="A86">
        <v>83</v>
      </c>
      <c r="B86" t="str">
        <f>_xlfn.XLOOKUP(A86,Order!$V$46:$V$859,Order!$C$46:$C$859,"")</f>
        <v>Sisyrinchium Californicum</v>
      </c>
      <c r="C86" t="str">
        <f>_xlfn.XLOOKUP(A86,Order!$V$46:$V$859,Order!$P$46:$P$859,"")</f>
        <v>1L Marginals</v>
      </c>
      <c r="D86">
        <f>_xlfn.XLOOKUP(A86,Order!$V$46:$V$859,Order!$H$46:$H$859,"")</f>
        <v>2</v>
      </c>
      <c r="E86">
        <f t="shared" si="10"/>
        <v>3583</v>
      </c>
      <c r="F86">
        <f t="shared" si="11"/>
        <v>59</v>
      </c>
      <c r="I86" s="624">
        <v>80</v>
      </c>
      <c r="J86" s="625" t="str">
        <f t="shared" si="6"/>
        <v/>
      </c>
      <c r="K86" s="626" t="str">
        <f t="shared" si="7"/>
        <v/>
      </c>
      <c r="L86" s="625" t="str">
        <f t="shared" si="8"/>
        <v/>
      </c>
      <c r="M86" s="626" t="str">
        <f t="shared" si="12"/>
        <v/>
      </c>
      <c r="N86" s="627"/>
    </row>
    <row r="87" spans="1:14" x14ac:dyDescent="0.25">
      <c r="A87">
        <v>84</v>
      </c>
      <c r="B87" t="str">
        <f>_xlfn.XLOOKUP(A87,Order!$V$46:$V$859,Order!$C$46:$C$859,"")</f>
        <v xml:space="preserve">Schizostylis Pink      </v>
      </c>
      <c r="C87" t="str">
        <f>_xlfn.XLOOKUP(A87,Order!$V$46:$V$859,Order!$P$46:$P$859,"")</f>
        <v>1L Marginals</v>
      </c>
      <c r="D87">
        <f>_xlfn.XLOOKUP(A87,Order!$V$46:$V$859,Order!$H$46:$H$859,"")</f>
        <v>2</v>
      </c>
      <c r="E87">
        <f t="shared" si="10"/>
        <v>3584</v>
      </c>
      <c r="F87">
        <f t="shared" si="11"/>
        <v>60</v>
      </c>
      <c r="I87" s="624">
        <v>81</v>
      </c>
      <c r="J87" s="625" t="str">
        <f t="shared" si="6"/>
        <v/>
      </c>
      <c r="K87" s="626" t="str">
        <f t="shared" si="7"/>
        <v/>
      </c>
      <c r="L87" s="625" t="str">
        <f t="shared" si="8"/>
        <v/>
      </c>
      <c r="M87" s="626" t="str">
        <f t="shared" si="12"/>
        <v/>
      </c>
      <c r="N87" s="627"/>
    </row>
    <row r="88" spans="1:14" x14ac:dyDescent="0.25">
      <c r="A88">
        <v>85</v>
      </c>
      <c r="B88" t="str">
        <f>_xlfn.XLOOKUP(A88,Order!$V$46:$V$859,Order!$C$46:$C$859,"")</f>
        <v>Ranunculus flammula</v>
      </c>
      <c r="C88" t="str">
        <f>_xlfn.XLOOKUP(A88,Order!$V$46:$V$859,Order!$P$46:$P$859,"")</f>
        <v>1L Marginals</v>
      </c>
      <c r="D88">
        <f>_xlfn.XLOOKUP(A88,Order!$V$46:$V$859,Order!$H$46:$H$859,"")</f>
        <v>1</v>
      </c>
      <c r="E88">
        <f t="shared" si="10"/>
        <v>285</v>
      </c>
      <c r="F88">
        <f t="shared" si="11"/>
        <v>27</v>
      </c>
      <c r="I88" s="624">
        <v>82</v>
      </c>
      <c r="J88" s="625" t="str">
        <f t="shared" si="6"/>
        <v/>
      </c>
      <c r="K88" s="626" t="str">
        <f t="shared" si="7"/>
        <v/>
      </c>
      <c r="L88" s="625" t="str">
        <f t="shared" si="8"/>
        <v/>
      </c>
      <c r="M88" s="626" t="str">
        <f t="shared" si="12"/>
        <v/>
      </c>
      <c r="N88" s="627"/>
    </row>
    <row r="89" spans="1:14" x14ac:dyDescent="0.25">
      <c r="A89">
        <v>86</v>
      </c>
      <c r="B89" t="str">
        <f>_xlfn.XLOOKUP(A89,Order!$V$46:$V$859,Order!$C$46:$C$859,"")</f>
        <v>Primula denticulata 'Rubin'</v>
      </c>
      <c r="C89" t="str">
        <f>_xlfn.XLOOKUP(A89,Order!$V$46:$V$859,Order!$P$46:$P$859,"")</f>
        <v>1L Marginals</v>
      </c>
      <c r="D89">
        <f>_xlfn.XLOOKUP(A89,Order!$V$46:$V$859,Order!$H$46:$H$859,"")</f>
        <v>1</v>
      </c>
      <c r="E89">
        <f>IFERROR(RANK(D89,D$4:D$113,1)*100+A89,"")</f>
        <v>286</v>
      </c>
      <c r="F89">
        <f t="shared" si="11"/>
        <v>28</v>
      </c>
      <c r="I89" s="624">
        <v>83</v>
      </c>
      <c r="J89" s="625" t="str">
        <f t="shared" si="6"/>
        <v/>
      </c>
      <c r="K89" s="626" t="str">
        <f t="shared" si="7"/>
        <v/>
      </c>
      <c r="L89" s="625" t="str">
        <f t="shared" si="8"/>
        <v/>
      </c>
      <c r="M89" s="626" t="str">
        <f t="shared" si="12"/>
        <v/>
      </c>
      <c r="N89" s="627"/>
    </row>
    <row r="90" spans="1:14" x14ac:dyDescent="0.25">
      <c r="A90">
        <v>87</v>
      </c>
      <c r="B90" t="str">
        <f>_xlfn.XLOOKUP(A90,Order!$V$46:$V$859,Order!$C$46:$C$859,"")</f>
        <v>Primula denticulata 'Alba'</v>
      </c>
      <c r="C90" t="str">
        <f>_xlfn.XLOOKUP(A90,Order!$V$46:$V$859,Order!$P$46:$P$859,"")</f>
        <v>1L Marginals</v>
      </c>
      <c r="D90">
        <f>_xlfn.XLOOKUP(A90,Order!$V$46:$V$859,Order!$H$46:$H$859,"")</f>
        <v>2</v>
      </c>
      <c r="E90">
        <f t="shared" ref="E90:E113" si="13">IFERROR(RANK(D90,D$4:D$113,1)*100+A90,"")</f>
        <v>3587</v>
      </c>
      <c r="F90">
        <f t="shared" si="11"/>
        <v>61</v>
      </c>
      <c r="I90" s="624">
        <v>84</v>
      </c>
      <c r="J90" s="625" t="str">
        <f t="shared" si="6"/>
        <v/>
      </c>
      <c r="K90" s="626" t="str">
        <f t="shared" si="7"/>
        <v/>
      </c>
      <c r="L90" s="625" t="str">
        <f t="shared" si="8"/>
        <v/>
      </c>
      <c r="M90" s="626" t="str">
        <f t="shared" si="12"/>
        <v/>
      </c>
      <c r="N90" s="627"/>
    </row>
    <row r="91" spans="1:14" x14ac:dyDescent="0.25">
      <c r="A91">
        <v>88</v>
      </c>
      <c r="B91" t="str">
        <f>_xlfn.XLOOKUP(A91,Order!$V$46:$V$859,Order!$C$46:$C$859,"")</f>
        <v>Primula Denticulata Lilac</v>
      </c>
      <c r="C91" t="str">
        <f>_xlfn.XLOOKUP(A91,Order!$V$46:$V$859,Order!$P$46:$P$859,"")</f>
        <v>1L Marginals</v>
      </c>
      <c r="D91">
        <f>_xlfn.XLOOKUP(A91,Order!$V$46:$V$859,Order!$H$46:$H$859,"")</f>
        <v>2</v>
      </c>
      <c r="E91">
        <f t="shared" si="13"/>
        <v>3588</v>
      </c>
      <c r="F91">
        <f t="shared" si="11"/>
        <v>62</v>
      </c>
      <c r="I91" s="624">
        <v>85</v>
      </c>
      <c r="J91" s="625" t="str">
        <f t="shared" si="6"/>
        <v/>
      </c>
      <c r="K91" s="626" t="str">
        <f t="shared" si="7"/>
        <v/>
      </c>
      <c r="L91" s="625" t="str">
        <f t="shared" si="8"/>
        <v/>
      </c>
      <c r="M91" s="626" t="str">
        <f t="shared" si="12"/>
        <v/>
      </c>
      <c r="N91" s="627"/>
    </row>
    <row r="92" spans="1:14" x14ac:dyDescent="0.25">
      <c r="A92">
        <v>89</v>
      </c>
      <c r="B92" t="str">
        <f>_xlfn.XLOOKUP(A92,Order!$V$46:$V$859,Order!$C$46:$C$859,"")</f>
        <v>Primula rosea</v>
      </c>
      <c r="C92" t="str">
        <f>_xlfn.XLOOKUP(A92,Order!$V$46:$V$859,Order!$P$46:$P$859,"")</f>
        <v>1L Marginals</v>
      </c>
      <c r="D92">
        <f>_xlfn.XLOOKUP(A92,Order!$V$46:$V$859,Order!$H$46:$H$859,"")</f>
        <v>2</v>
      </c>
      <c r="E92">
        <f t="shared" si="13"/>
        <v>3589</v>
      </c>
      <c r="F92">
        <f t="shared" si="11"/>
        <v>63</v>
      </c>
      <c r="I92" s="624">
        <v>86</v>
      </c>
      <c r="J92" s="625" t="str">
        <f t="shared" si="6"/>
        <v/>
      </c>
      <c r="K92" s="626" t="str">
        <f t="shared" si="7"/>
        <v/>
      </c>
      <c r="L92" s="625" t="str">
        <f t="shared" si="8"/>
        <v/>
      </c>
      <c r="M92" s="626" t="str">
        <f t="shared" si="12"/>
        <v/>
      </c>
      <c r="N92" s="627"/>
    </row>
    <row r="93" spans="1:14" x14ac:dyDescent="0.25">
      <c r="A93">
        <v>90</v>
      </c>
      <c r="B93" t="str">
        <f>_xlfn.XLOOKUP(A93,Order!$V$46:$V$859,Order!$C$46:$C$859,"")</f>
        <v>Ranunculus lingua grandiflora</v>
      </c>
      <c r="C93" t="str">
        <f>_xlfn.XLOOKUP(A93,Order!$V$46:$V$859,Order!$P$46:$P$859,"")</f>
        <v>1L Marginals</v>
      </c>
      <c r="D93">
        <f>_xlfn.XLOOKUP(A93,Order!$V$46:$V$859,Order!$H$46:$H$859,"")</f>
        <v>1</v>
      </c>
      <c r="E93">
        <f t="shared" si="13"/>
        <v>290</v>
      </c>
      <c r="F93">
        <f t="shared" si="11"/>
        <v>29</v>
      </c>
      <c r="I93" s="624">
        <v>87</v>
      </c>
      <c r="J93" s="625" t="str">
        <f t="shared" si="6"/>
        <v/>
      </c>
      <c r="K93" s="626" t="str">
        <f t="shared" si="7"/>
        <v/>
      </c>
      <c r="L93" s="625" t="str">
        <f t="shared" si="8"/>
        <v/>
      </c>
      <c r="M93" s="626" t="str">
        <f t="shared" si="12"/>
        <v/>
      </c>
      <c r="N93" s="627"/>
    </row>
    <row r="94" spans="1:14" x14ac:dyDescent="0.25">
      <c r="A94">
        <v>91</v>
      </c>
      <c r="B94" t="str">
        <f>_xlfn.XLOOKUP(A94,Order!$V$46:$V$859,Order!$C$46:$C$859,"")</f>
        <v>Schizostylis Red</v>
      </c>
      <c r="C94" t="str">
        <f>_xlfn.XLOOKUP(A94,Order!$V$46:$V$859,Order!$P$46:$P$859,"")</f>
        <v>1L Marginals</v>
      </c>
      <c r="D94">
        <f>_xlfn.XLOOKUP(A94,Order!$V$46:$V$859,Order!$H$46:$H$859,"")</f>
        <v>2</v>
      </c>
      <c r="E94">
        <f t="shared" si="13"/>
        <v>3591</v>
      </c>
      <c r="F94">
        <f t="shared" si="11"/>
        <v>64</v>
      </c>
      <c r="I94" s="624">
        <v>88</v>
      </c>
      <c r="J94" s="625" t="str">
        <f t="shared" si="6"/>
        <v/>
      </c>
      <c r="K94" s="626" t="str">
        <f t="shared" si="7"/>
        <v/>
      </c>
      <c r="L94" s="625" t="str">
        <f t="shared" si="8"/>
        <v/>
      </c>
      <c r="M94" s="626" t="str">
        <f t="shared" si="12"/>
        <v/>
      </c>
      <c r="N94" s="627"/>
    </row>
    <row r="95" spans="1:14" x14ac:dyDescent="0.25">
      <c r="A95">
        <v>92</v>
      </c>
      <c r="B95" t="str">
        <f>_xlfn.XLOOKUP(A95,Order!$V$46:$V$859,Order!$C$46:$C$859,"")</f>
        <v>Typha angustifolia</v>
      </c>
      <c r="C95" t="str">
        <f>_xlfn.XLOOKUP(A95,Order!$V$46:$V$859,Order!$P$46:$P$859,"")</f>
        <v>1L Marginals</v>
      </c>
      <c r="D95">
        <f>_xlfn.XLOOKUP(A95,Order!$V$46:$V$859,Order!$H$46:$H$859,"")</f>
        <v>1</v>
      </c>
      <c r="E95">
        <f t="shared" si="13"/>
        <v>292</v>
      </c>
      <c r="F95">
        <f t="shared" si="11"/>
        <v>30</v>
      </c>
      <c r="I95" s="624">
        <v>89</v>
      </c>
      <c r="J95" s="625" t="str">
        <f t="shared" si="6"/>
        <v/>
      </c>
      <c r="K95" s="626" t="str">
        <f t="shared" si="7"/>
        <v/>
      </c>
      <c r="L95" s="625" t="str">
        <f t="shared" si="8"/>
        <v/>
      </c>
      <c r="M95" s="626" t="str">
        <f t="shared" si="12"/>
        <v/>
      </c>
      <c r="N95" s="627"/>
    </row>
    <row r="96" spans="1:14" x14ac:dyDescent="0.25">
      <c r="A96">
        <v>93</v>
      </c>
      <c r="B96" t="str">
        <f>_xlfn.XLOOKUP(A96,Order!$V$46:$V$859,Order!$C$46:$C$859,"")</f>
        <v>Typha minima</v>
      </c>
      <c r="C96" t="str">
        <f>_xlfn.XLOOKUP(A96,Order!$V$46:$V$859,Order!$P$46:$P$859,"")</f>
        <v>1L Marginals</v>
      </c>
      <c r="D96">
        <f>_xlfn.XLOOKUP(A96,Order!$V$46:$V$859,Order!$H$46:$H$859,"")</f>
        <v>1</v>
      </c>
      <c r="E96">
        <f t="shared" si="13"/>
        <v>293</v>
      </c>
      <c r="F96">
        <f t="shared" si="11"/>
        <v>31</v>
      </c>
      <c r="I96" s="624">
        <v>90</v>
      </c>
      <c r="J96" s="625" t="str">
        <f t="shared" si="6"/>
        <v/>
      </c>
      <c r="K96" s="626" t="str">
        <f t="shared" si="7"/>
        <v/>
      </c>
      <c r="L96" s="625" t="str">
        <f t="shared" si="8"/>
        <v/>
      </c>
      <c r="M96" s="626" t="str">
        <f t="shared" ref="M96:M103" si="14">IF(K96&lt;&gt;"",IF(K96&gt;K95,M95,M95+1),"")</f>
        <v/>
      </c>
      <c r="N96" s="627"/>
    </row>
    <row r="97" spans="1:14" x14ac:dyDescent="0.25">
      <c r="A97">
        <v>94</v>
      </c>
      <c r="B97" t="str">
        <f>_xlfn.XLOOKUP(A97,Order!$V$46:$V$859,Order!$C$46:$C$859,"")</f>
        <v>Caltha palustris</v>
      </c>
      <c r="C97" t="str">
        <f>_xlfn.XLOOKUP(A97,Order!$V$46:$V$859,Order!$P$46:$P$859,"")</f>
        <v>Gardeners Choice</v>
      </c>
      <c r="D97">
        <f>_xlfn.XLOOKUP(A97,Order!$V$46:$V$859,Order!$H$46:$H$859,"")</f>
        <v>1</v>
      </c>
      <c r="E97">
        <f t="shared" si="13"/>
        <v>294</v>
      </c>
      <c r="F97">
        <f t="shared" si="11"/>
        <v>32</v>
      </c>
      <c r="I97" s="624">
        <v>91</v>
      </c>
      <c r="J97" s="625" t="str">
        <f t="shared" si="6"/>
        <v/>
      </c>
      <c r="K97" s="626" t="str">
        <f t="shared" si="7"/>
        <v/>
      </c>
      <c r="L97" s="625" t="str">
        <f t="shared" si="8"/>
        <v/>
      </c>
      <c r="M97" s="626" t="str">
        <f t="shared" si="14"/>
        <v/>
      </c>
      <c r="N97" s="627"/>
    </row>
    <row r="98" spans="1:14" x14ac:dyDescent="0.25">
      <c r="A98">
        <v>95</v>
      </c>
      <c r="B98" t="str">
        <f>_xlfn.XLOOKUP(A98,Order!$V$46:$V$859,Order!$C$46:$C$859,"")</f>
        <v>Carex panicea</v>
      </c>
      <c r="C98" t="str">
        <f>_xlfn.XLOOKUP(A98,Order!$V$46:$V$859,Order!$P$46:$P$859,"")</f>
        <v>Gardeners Choice</v>
      </c>
      <c r="D98">
        <f>_xlfn.XLOOKUP(A98,Order!$V$46:$V$859,Order!$H$46:$H$859,"")</f>
        <v>3</v>
      </c>
      <c r="E98">
        <f t="shared" si="13"/>
        <v>6995</v>
      </c>
      <c r="F98">
        <f t="shared" si="11"/>
        <v>76</v>
      </c>
      <c r="I98" s="624">
        <v>92</v>
      </c>
      <c r="J98" s="625" t="str">
        <f t="shared" si="6"/>
        <v/>
      </c>
      <c r="K98" s="626" t="str">
        <f t="shared" si="7"/>
        <v/>
      </c>
      <c r="L98" s="625" t="str">
        <f t="shared" si="8"/>
        <v/>
      </c>
      <c r="M98" s="626" t="str">
        <f t="shared" si="14"/>
        <v/>
      </c>
      <c r="N98" s="627"/>
    </row>
    <row r="99" spans="1:14" x14ac:dyDescent="0.25">
      <c r="A99">
        <v>96</v>
      </c>
      <c r="B99" t="str">
        <f>_xlfn.XLOOKUP(A99,Order!$V$46:$V$859,Order!$C$46:$C$859,"")</f>
        <v>Iris versicolor</v>
      </c>
      <c r="C99" t="str">
        <f>_xlfn.XLOOKUP(A99,Order!$V$46:$V$859,Order!$P$46:$P$859,"")</f>
        <v>Gardeners Choice</v>
      </c>
      <c r="D99">
        <f>_xlfn.XLOOKUP(A99,Order!$V$46:$V$859,Order!$H$46:$H$859,"")</f>
        <v>1</v>
      </c>
      <c r="E99">
        <f t="shared" si="13"/>
        <v>296</v>
      </c>
      <c r="F99">
        <f t="shared" si="11"/>
        <v>33</v>
      </c>
      <c r="I99" s="624">
        <v>93</v>
      </c>
      <c r="J99" s="625" t="str">
        <f t="shared" si="6"/>
        <v/>
      </c>
      <c r="K99" s="626" t="str">
        <f t="shared" si="7"/>
        <v/>
      </c>
      <c r="L99" s="625" t="str">
        <f t="shared" si="8"/>
        <v/>
      </c>
      <c r="M99" s="626" t="str">
        <f t="shared" si="14"/>
        <v/>
      </c>
      <c r="N99" s="627"/>
    </row>
    <row r="100" spans="1:14" x14ac:dyDescent="0.25">
      <c r="A100">
        <v>97</v>
      </c>
      <c r="B100" t="str">
        <f>_xlfn.XLOOKUP(A100,Order!$V$46:$V$859,Order!$C$46:$C$859,"")</f>
        <v>Juncus Inflexus</v>
      </c>
      <c r="C100" t="str">
        <f>_xlfn.XLOOKUP(A100,Order!$V$46:$V$859,Order!$P$46:$P$859,"")</f>
        <v>Gardeners Choice</v>
      </c>
      <c r="D100">
        <f>_xlfn.XLOOKUP(A100,Order!$V$46:$V$859,Order!$H$46:$H$859,"")</f>
        <v>3</v>
      </c>
      <c r="E100">
        <f t="shared" si="13"/>
        <v>6997</v>
      </c>
      <c r="F100">
        <f t="shared" si="11"/>
        <v>77</v>
      </c>
      <c r="I100" s="624">
        <v>94</v>
      </c>
      <c r="J100" s="625" t="str">
        <f t="shared" si="6"/>
        <v/>
      </c>
      <c r="K100" s="626" t="str">
        <f t="shared" si="7"/>
        <v/>
      </c>
      <c r="L100" s="625" t="str">
        <f t="shared" si="8"/>
        <v/>
      </c>
      <c r="M100" s="626" t="str">
        <f t="shared" si="14"/>
        <v/>
      </c>
      <c r="N100" s="627"/>
    </row>
    <row r="101" spans="1:14" x14ac:dyDescent="0.25">
      <c r="A101">
        <v>98</v>
      </c>
      <c r="B101" t="str">
        <f>_xlfn.XLOOKUP(A101,Order!$V$46:$V$859,Order!$C$46:$C$859,"")</f>
        <v>Mentha aquatica</v>
      </c>
      <c r="C101" t="str">
        <f>_xlfn.XLOOKUP(A101,Order!$V$46:$V$859,Order!$P$46:$P$859,"")</f>
        <v>Gardeners Choice</v>
      </c>
      <c r="D101">
        <f>_xlfn.XLOOKUP(A101,Order!$V$46:$V$859,Order!$H$46:$H$859,"")</f>
        <v>2</v>
      </c>
      <c r="E101">
        <f t="shared" si="13"/>
        <v>3598</v>
      </c>
      <c r="F101">
        <f>IFERROR(RANK(E101,E$4:E$113,1),"")</f>
        <v>65</v>
      </c>
      <c r="I101" s="624">
        <v>95</v>
      </c>
      <c r="J101" s="625" t="str">
        <f t="shared" si="6"/>
        <v/>
      </c>
      <c r="K101" s="626" t="str">
        <f t="shared" si="7"/>
        <v/>
      </c>
      <c r="L101" s="625" t="str">
        <f t="shared" si="8"/>
        <v/>
      </c>
      <c r="M101" s="626" t="str">
        <f t="shared" si="14"/>
        <v/>
      </c>
      <c r="N101" s="627"/>
    </row>
    <row r="102" spans="1:14" x14ac:dyDescent="0.25">
      <c r="A102">
        <v>99</v>
      </c>
      <c r="B102" t="str">
        <f>_xlfn.XLOOKUP(A102,Order!$V$46:$V$859,Order!$C$46:$C$859,"")</f>
        <v>Oenanthe 'Flamingo'</v>
      </c>
      <c r="C102" t="str">
        <f>_xlfn.XLOOKUP(A102,Order!$V$46:$V$859,Order!$P$46:$P$859,"")</f>
        <v>Gardeners Choice</v>
      </c>
      <c r="D102">
        <f>_xlfn.XLOOKUP(A102,Order!$V$46:$V$859,Order!$H$46:$H$859,"")</f>
        <v>2</v>
      </c>
      <c r="E102">
        <f t="shared" si="13"/>
        <v>3599</v>
      </c>
      <c r="F102">
        <f t="shared" ref="F102:F113" si="15">IFERROR(RANK(E102,E$4:E$113,1),"")</f>
        <v>66</v>
      </c>
      <c r="I102" s="624">
        <v>96</v>
      </c>
      <c r="J102" s="625" t="str">
        <f t="shared" si="6"/>
        <v/>
      </c>
      <c r="K102" s="626" t="str">
        <f t="shared" si="7"/>
        <v/>
      </c>
      <c r="L102" s="625" t="str">
        <f t="shared" si="8"/>
        <v/>
      </c>
      <c r="M102" s="626" t="str">
        <f t="shared" si="14"/>
        <v/>
      </c>
      <c r="N102" s="627"/>
    </row>
    <row r="103" spans="1:14" x14ac:dyDescent="0.25">
      <c r="A103">
        <v>100</v>
      </c>
      <c r="B103" t="str">
        <f>_xlfn.XLOOKUP(A103,Order!$V$46:$V$859,Order!$C$46:$C$859,"")</f>
        <v>Ranunculus flammula</v>
      </c>
      <c r="C103" t="str">
        <f>_xlfn.XLOOKUP(A103,Order!$V$46:$V$859,Order!$P$46:$P$859,"")</f>
        <v>Gardeners Choice</v>
      </c>
      <c r="D103">
        <f>_xlfn.XLOOKUP(A103,Order!$V$46:$V$859,Order!$H$46:$H$859,"")</f>
        <v>2</v>
      </c>
      <c r="E103">
        <f t="shared" si="13"/>
        <v>3600</v>
      </c>
      <c r="F103">
        <f t="shared" si="15"/>
        <v>67</v>
      </c>
      <c r="I103" s="624">
        <v>97</v>
      </c>
      <c r="J103" s="625" t="str">
        <f t="shared" si="6"/>
        <v/>
      </c>
      <c r="K103" s="626" t="str">
        <f t="shared" si="7"/>
        <v/>
      </c>
      <c r="L103" s="625" t="str">
        <f t="shared" si="8"/>
        <v/>
      </c>
      <c r="M103" s="626" t="str">
        <f t="shared" si="14"/>
        <v/>
      </c>
      <c r="N103" s="627"/>
    </row>
    <row r="104" spans="1:14" x14ac:dyDescent="0.25">
      <c r="A104">
        <v>101</v>
      </c>
      <c r="B104" t="str">
        <f>_xlfn.XLOOKUP(A104,Order!$V$46:$V$859,Order!$C$46:$C$859,"")</f>
        <v>Typha angustifolia</v>
      </c>
      <c r="C104" t="str">
        <f>_xlfn.XLOOKUP(A104,Order!$V$46:$V$859,Order!$P$46:$P$859,"")</f>
        <v>Gardeners Choice</v>
      </c>
      <c r="D104">
        <f>_xlfn.XLOOKUP(A104,Order!$V$46:$V$859,Order!$H$46:$H$859,"")</f>
        <v>2</v>
      </c>
      <c r="E104">
        <f t="shared" si="13"/>
        <v>3601</v>
      </c>
      <c r="F104">
        <f t="shared" si="15"/>
        <v>68</v>
      </c>
      <c r="I104" s="624">
        <v>98</v>
      </c>
      <c r="J104" s="625" t="str">
        <f t="shared" si="6"/>
        <v/>
      </c>
      <c r="K104" s="626" t="str">
        <f t="shared" si="7"/>
        <v/>
      </c>
      <c r="L104" s="625" t="str">
        <f t="shared" si="8"/>
        <v/>
      </c>
      <c r="M104" s="626" t="str">
        <f>IF(K104&lt;&gt;"",IF(K104&gt;K103,M103,M103+1),"")</f>
        <v/>
      </c>
      <c r="N104" s="627"/>
    </row>
    <row r="105" spans="1:14" x14ac:dyDescent="0.25">
      <c r="A105">
        <v>102</v>
      </c>
      <c r="B105" t="str">
        <f>_xlfn.XLOOKUP(A105,Order!$V$46:$V$859,Order!$C$46:$C$859,"")</f>
        <v>Typha minima</v>
      </c>
      <c r="C105" t="str">
        <f>_xlfn.XLOOKUP(A105,Order!$V$46:$V$859,Order!$P$46:$P$859,"")</f>
        <v>Gardeners Choice</v>
      </c>
      <c r="D105">
        <f>_xlfn.XLOOKUP(A105,Order!$V$46:$V$859,Order!$H$46:$H$859,"")</f>
        <v>1</v>
      </c>
      <c r="E105">
        <f t="shared" si="13"/>
        <v>302</v>
      </c>
      <c r="F105">
        <f t="shared" si="15"/>
        <v>34</v>
      </c>
      <c r="I105" s="624">
        <v>99</v>
      </c>
      <c r="J105" s="625" t="str">
        <f>_xlfn.XLOOKUP(I105,F$4:F$113,B$4:B$113,"")</f>
        <v/>
      </c>
      <c r="K105" s="626" t="str">
        <f>_xlfn.XLOOKUP(I105,F$4:F$113,A$4:A$113,"")</f>
        <v/>
      </c>
      <c r="L105" s="625" t="str">
        <f t="shared" si="8"/>
        <v/>
      </c>
      <c r="M105" s="626" t="str">
        <f>IF(K105&lt;&gt;"",IF(K105&gt;K104,M104,M104+1),"")</f>
        <v/>
      </c>
      <c r="N105" s="627"/>
    </row>
    <row r="106" spans="1:14" x14ac:dyDescent="0.25">
      <c r="A106">
        <v>103</v>
      </c>
      <c r="B106" t="str">
        <f>_xlfn.XLOOKUP(A106,Order!$V$46:$V$859,Order!$C$46:$C$859,"")</f>
        <v/>
      </c>
      <c r="C106" t="str">
        <f>_xlfn.XLOOKUP(A106,Order!$V$46:$V$859,Order!$P$46:$P$859,"")</f>
        <v/>
      </c>
      <c r="D106" t="str">
        <f>_xlfn.XLOOKUP(A106,Order!$V$46:$V$859,Order!$H$46:$H$859,"")</f>
        <v/>
      </c>
      <c r="E106" t="str">
        <f t="shared" si="13"/>
        <v/>
      </c>
      <c r="F106" t="str">
        <f t="shared" si="15"/>
        <v/>
      </c>
      <c r="I106" s="624">
        <v>100</v>
      </c>
      <c r="J106" s="625" t="str">
        <f>_xlfn.XLOOKUP(I106,F$4:F$113,B$4:B$113,"")</f>
        <v/>
      </c>
      <c r="K106" s="626" t="str">
        <f>_xlfn.XLOOKUP(I106,F$4:F$113,A$4:A$113,"")</f>
        <v/>
      </c>
      <c r="L106" s="625" t="str">
        <f>_xlfn.XLOOKUP(I106,F$4:F$113,C$4:C$113,"")</f>
        <v/>
      </c>
      <c r="M106" s="626" t="str">
        <f t="shared" ref="M106:M111" si="16">IF(K106&lt;&gt;"",IF(K106&gt;K105,M105,M105+1),"")</f>
        <v/>
      </c>
      <c r="N106" s="627"/>
    </row>
    <row r="107" spans="1:14" x14ac:dyDescent="0.25">
      <c r="A107">
        <v>104</v>
      </c>
      <c r="B107" t="str">
        <f>_xlfn.XLOOKUP(A107,Order!$V$46:$V$859,Order!$C$46:$C$859,"")</f>
        <v/>
      </c>
      <c r="C107" t="str">
        <f>_xlfn.XLOOKUP(A107,Order!$V$46:$V$859,Order!$P$46:$P$859,"")</f>
        <v/>
      </c>
      <c r="D107" t="str">
        <f>_xlfn.XLOOKUP(A107,Order!$V$46:$V$859,Order!$H$46:$H$859,"")</f>
        <v/>
      </c>
      <c r="E107" t="str">
        <f t="shared" si="13"/>
        <v/>
      </c>
      <c r="F107" t="str">
        <f t="shared" si="15"/>
        <v/>
      </c>
      <c r="I107" s="624">
        <v>101</v>
      </c>
      <c r="J107" s="625" t="str">
        <f>_xlfn.SINGLE(_xlfn.XLOOKUP(I107,F$4:F$113,B$4:B$113,""))</f>
        <v/>
      </c>
      <c r="K107" s="626" t="str">
        <f>_xlfn.SINGLE(_xlfn.XLOOKUP(I107,F$4:F$113,A$4:A$113,""))</f>
        <v/>
      </c>
      <c r="L107" s="625" t="str">
        <f>_xlfn.SINGLE(_xlfn.XLOOKUP(I107,F$4:F$102,C$4:C$102,""))</f>
        <v/>
      </c>
      <c r="M107" s="626" t="str">
        <f t="shared" si="16"/>
        <v/>
      </c>
      <c r="N107" s="627"/>
    </row>
    <row r="108" spans="1:14" x14ac:dyDescent="0.25">
      <c r="A108">
        <v>105</v>
      </c>
      <c r="B108" t="str">
        <f>_xlfn.XLOOKUP(A108,Order!$V$46:$V$859,Order!$C$46:$C$859,"")</f>
        <v/>
      </c>
      <c r="C108" t="str">
        <f>_xlfn.XLOOKUP(A108,Order!$V$46:$V$859,Order!$P$46:$P$859,"")</f>
        <v/>
      </c>
      <c r="D108" t="str">
        <f>_xlfn.XLOOKUP(A108,Order!$V$46:$V$859,Order!$H$46:$H$859,"")</f>
        <v/>
      </c>
      <c r="E108" t="str">
        <f t="shared" si="13"/>
        <v/>
      </c>
      <c r="F108" t="str">
        <f t="shared" si="15"/>
        <v/>
      </c>
      <c r="I108" s="624">
        <v>102</v>
      </c>
      <c r="J108" s="625" t="str">
        <f>_xlfn.SINGLE(_xlfn.XLOOKUP(I108,F$4:F$113,B$4:B$113,""))</f>
        <v/>
      </c>
      <c r="K108" s="626" t="str">
        <f>_xlfn.SINGLE(_xlfn.XLOOKUP(I108,F$4:F$113,A$4:A$113,""))</f>
        <v/>
      </c>
      <c r="L108" s="625" t="str">
        <f>_xlfn.SINGLE(_xlfn.XLOOKUP(I108,F$4:F$102,C$4:C$102,""))</f>
        <v/>
      </c>
      <c r="M108" s="626" t="str">
        <f t="shared" si="16"/>
        <v/>
      </c>
      <c r="N108" s="627"/>
    </row>
    <row r="109" spans="1:14" x14ac:dyDescent="0.25">
      <c r="A109">
        <v>106</v>
      </c>
      <c r="B109" t="str">
        <f>_xlfn.XLOOKUP(A109,Order!$V$46:$V$859,Order!$C$46:$C$859,"")</f>
        <v/>
      </c>
      <c r="C109" t="str">
        <f>_xlfn.XLOOKUP(A109,Order!$V$46:$V$859,Order!$P$46:$P$859,"")</f>
        <v/>
      </c>
      <c r="D109" t="str">
        <f>_xlfn.XLOOKUP(A109,Order!$V$46:$V$859,Order!$H$46:$H$859,"")</f>
        <v/>
      </c>
      <c r="E109" t="str">
        <f t="shared" si="13"/>
        <v/>
      </c>
      <c r="F109" t="str">
        <f t="shared" si="15"/>
        <v/>
      </c>
      <c r="I109" s="624">
        <v>103</v>
      </c>
      <c r="J109" s="625" t="str">
        <f>_xlfn.SINGLE(_xlfn.XLOOKUP(I109,F$4:F$113,B$4:B$113,""))</f>
        <v/>
      </c>
      <c r="K109" s="626" t="str">
        <f>_xlfn.SINGLE(_xlfn.XLOOKUP(I109,F$4:F$113,A$4:A$113,""))</f>
        <v/>
      </c>
      <c r="L109" s="625" t="str">
        <f>_xlfn.SINGLE(_xlfn.XLOOKUP(I109,F$4:F$102,C$4:C$102,""))</f>
        <v/>
      </c>
      <c r="M109" s="626" t="str">
        <f t="shared" si="16"/>
        <v/>
      </c>
      <c r="N109" s="627"/>
    </row>
    <row r="110" spans="1:14" x14ac:dyDescent="0.25">
      <c r="A110">
        <v>107</v>
      </c>
      <c r="B110" t="str">
        <f>_xlfn.XLOOKUP(A110,Order!$V$46:$V$859,Order!$C$46:$C$859,"")</f>
        <v/>
      </c>
      <c r="C110" t="str">
        <f>_xlfn.XLOOKUP(A110,Order!$V$46:$V$859,Order!$P$46:$P$859,"")</f>
        <v/>
      </c>
      <c r="D110" t="str">
        <f>_xlfn.XLOOKUP(A110,Order!$V$46:$V$859,Order!$H$46:$H$859,"")</f>
        <v/>
      </c>
      <c r="E110" t="str">
        <f t="shared" si="13"/>
        <v/>
      </c>
      <c r="F110" t="str">
        <f t="shared" si="15"/>
        <v/>
      </c>
      <c r="I110" s="624">
        <v>104</v>
      </c>
      <c r="J110" s="625" t="str">
        <f>_xlfn.SINGLE(_xlfn.XLOOKUP(I110,F$4:F$113,B$4:B$113,""))</f>
        <v/>
      </c>
      <c r="K110" s="626" t="str">
        <f>_xlfn.SINGLE(_xlfn.XLOOKUP(I110,F$4:F$113,A$4:A$113,""))</f>
        <v/>
      </c>
      <c r="L110" s="625" t="str">
        <f>_xlfn.SINGLE(_xlfn.XLOOKUP(I110,F$4:F$102,C$4:C$102,""))</f>
        <v/>
      </c>
      <c r="M110" s="626" t="str">
        <f t="shared" si="16"/>
        <v/>
      </c>
      <c r="N110" s="627"/>
    </row>
    <row r="111" spans="1:14" x14ac:dyDescent="0.25">
      <c r="A111">
        <v>108</v>
      </c>
      <c r="B111" t="str">
        <f>_xlfn.XLOOKUP(A111,Order!$V$46:$V$859,Order!$C$46:$C$859,"")</f>
        <v/>
      </c>
      <c r="C111" t="str">
        <f>_xlfn.XLOOKUP(A111,Order!$V$46:$V$859,Order!$P$46:$P$859,"")</f>
        <v/>
      </c>
      <c r="D111" t="str">
        <f>_xlfn.XLOOKUP(A111,Order!$V$46:$V$859,Order!$H$46:$H$859,"")</f>
        <v/>
      </c>
      <c r="E111" t="str">
        <f t="shared" si="13"/>
        <v/>
      </c>
      <c r="F111" t="str">
        <f t="shared" si="15"/>
        <v/>
      </c>
      <c r="I111" s="624">
        <v>105</v>
      </c>
      <c r="J111" s="625" t="str">
        <f>_xlfn.SINGLE(_xlfn.XLOOKUP(I111,F$4:F$113,B$4:B$113,""))</f>
        <v/>
      </c>
      <c r="K111" s="626" t="str">
        <f>_xlfn.SINGLE(_xlfn.XLOOKUP(I111,F$4:F$113,A$4:A$113,""))</f>
        <v/>
      </c>
      <c r="L111" s="625" t="str">
        <f>_xlfn.SINGLE(_xlfn.XLOOKUP(I111,F$4:F$102,C$4:C$102,""))</f>
        <v/>
      </c>
      <c r="M111" s="626" t="str">
        <f t="shared" si="16"/>
        <v/>
      </c>
      <c r="N111" s="627"/>
    </row>
    <row r="112" spans="1:14" x14ac:dyDescent="0.25">
      <c r="A112">
        <v>109</v>
      </c>
      <c r="B112" t="str">
        <f>_xlfn.XLOOKUP(A112,Order!$V$46:$V$859,Order!$C$46:$C$859,"")</f>
        <v/>
      </c>
      <c r="C112" t="str">
        <f>_xlfn.XLOOKUP(A112,Order!$V$46:$V$859,Order!$P$46:$P$859,"")</f>
        <v/>
      </c>
      <c r="D112" t="str">
        <f>_xlfn.XLOOKUP(A112,Order!$V$46:$V$859,Order!$H$46:$H$859,"")</f>
        <v/>
      </c>
      <c r="E112" t="str">
        <f t="shared" si="13"/>
        <v/>
      </c>
      <c r="F112" t="str">
        <f t="shared" si="15"/>
        <v/>
      </c>
    </row>
    <row r="113" spans="1:6" x14ac:dyDescent="0.25">
      <c r="A113">
        <v>110</v>
      </c>
      <c r="B113" t="str">
        <f>_xlfn.XLOOKUP(A113,Order!$V$46:$V$859,Order!$C$46:$C$859,"")</f>
        <v/>
      </c>
      <c r="C113" t="str">
        <f>_xlfn.XLOOKUP(A113,Order!$V$46:$V$859,Order!$P$46:$P$859,"")</f>
        <v/>
      </c>
      <c r="D113" t="str">
        <f>_xlfn.XLOOKUP(A113,Order!$V$46:$V$859,Order!$H$46:$H$859,"")</f>
        <v/>
      </c>
      <c r="E113" t="str">
        <f t="shared" si="13"/>
        <v/>
      </c>
      <c r="F113" t="str">
        <f t="shared" si="15"/>
        <v/>
      </c>
    </row>
  </sheetData>
  <mergeCells count="1">
    <mergeCell ref="I1:K2"/>
  </mergeCells>
  <conditionalFormatting sqref="M4:M54 M57:M111">
    <cfRule type="colorScale" priority="455">
      <colorScale>
        <cfvo type="min"/>
        <cfvo type="percentile" val="50"/>
        <cfvo type="max"/>
        <color rgb="FF63BE7B"/>
        <color rgb="FFFFEB84"/>
        <color rgb="FFF8696B"/>
      </colorScale>
    </cfRule>
  </conditionalFormatting>
  <pageMargins left="0.23622047244094491" right="0.23622047244094491" top="0.55118110236220474" bottom="0.55118110236220474" header="0" footer="0"/>
  <pageSetup paperSize="9" scale="92" orientation="portrait" r:id="rId1"/>
  <rowBreaks count="1" manualBreakCount="1">
    <brk id="54" min="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851D-0164-4110-B7A4-4359BA8B52A4}">
  <dimension ref="A1:BN214"/>
  <sheetViews>
    <sheetView topLeftCell="AG1" workbookViewId="0">
      <selection activeCell="AT32" sqref="AT32"/>
    </sheetView>
  </sheetViews>
  <sheetFormatPr defaultRowHeight="15" x14ac:dyDescent="0.25"/>
  <cols>
    <col min="2" max="2" width="31.140625" bestFit="1" customWidth="1"/>
    <col min="3" max="3" width="4.140625" customWidth="1"/>
    <col min="4" max="4" width="4" bestFit="1" customWidth="1"/>
    <col min="5" max="5" width="20.85546875" bestFit="1" customWidth="1"/>
    <col min="6" max="6" width="6.7109375" bestFit="1" customWidth="1"/>
    <col min="9" max="9" width="8.140625" bestFit="1" customWidth="1"/>
    <col min="10" max="10" width="4.85546875" bestFit="1" customWidth="1"/>
    <col min="11" max="11" width="1.140625" customWidth="1"/>
    <col min="12" max="12" width="4.85546875" bestFit="1" customWidth="1"/>
    <col min="13" max="13" width="21.140625" bestFit="1" customWidth="1"/>
    <col min="14" max="14" width="3.7109375" bestFit="1" customWidth="1"/>
    <col min="20" max="20" width="3.42578125" customWidth="1"/>
    <col min="21" max="21" width="26.7109375" bestFit="1" customWidth="1"/>
    <col min="22" max="22" width="20.85546875" bestFit="1" customWidth="1"/>
    <col min="23" max="23" width="6.85546875" bestFit="1" customWidth="1"/>
    <col min="24" max="24" width="6.140625" bestFit="1" customWidth="1"/>
    <col min="25" max="25" width="8.140625" bestFit="1" customWidth="1"/>
    <col min="26" max="28" width="6" customWidth="1"/>
    <col min="29" max="29" width="3.42578125" customWidth="1"/>
    <col min="30" max="32" width="6" customWidth="1"/>
    <col min="33" max="33" width="9.28515625" bestFit="1" customWidth="1"/>
    <col min="34" max="39" width="6" customWidth="1"/>
    <col min="40" max="41" width="7" customWidth="1"/>
    <col min="42" max="43" width="6" customWidth="1"/>
    <col min="44" max="44" width="7.85546875" bestFit="1" customWidth="1"/>
    <col min="45" max="47" width="6" customWidth="1"/>
    <col min="49" max="49" width="3.42578125" bestFit="1" customWidth="1"/>
    <col min="50" max="50" width="6" customWidth="1"/>
    <col min="65" max="65" width="8.7109375" bestFit="1" customWidth="1"/>
  </cols>
  <sheetData>
    <row r="1" spans="1:66" x14ac:dyDescent="0.25">
      <c r="AA1" t="s">
        <v>1</v>
      </c>
      <c r="AB1" t="s">
        <v>1086</v>
      </c>
      <c r="AC1" t="s">
        <v>1114</v>
      </c>
      <c r="AR1">
        <f>'Nursery Sheet'!Z1</f>
        <v>160</v>
      </c>
      <c r="AS1">
        <f>IF(BN1=5,BF195,IF(BN1=4,BF156,IF(BN1=3,BF117,IF(BN1=2,BF78,BF38))))</f>
        <v>160</v>
      </c>
      <c r="AV1" t="s">
        <v>1117</v>
      </c>
      <c r="AX1" s="430" t="s">
        <v>1116</v>
      </c>
      <c r="AZ1" t="s">
        <v>1109</v>
      </c>
      <c r="BA1">
        <v>1</v>
      </c>
      <c r="BB1">
        <v>2</v>
      </c>
      <c r="BC1">
        <v>3</v>
      </c>
      <c r="BD1">
        <v>4</v>
      </c>
      <c r="BE1">
        <v>5</v>
      </c>
      <c r="BF1">
        <v>6</v>
      </c>
      <c r="BM1" s="430" t="s">
        <v>1178</v>
      </c>
      <c r="BN1">
        <f>IF(SUM(BK41:BK48)&gt;0,5,IF(SUM(BK32:BK39)&gt;0,4,IF(SUM(BK23:BK30)&gt;0,3,IF(SUM(BK14:BK21)&gt;0,2,1))))</f>
        <v>1</v>
      </c>
    </row>
    <row r="2" spans="1:66" x14ac:dyDescent="0.25">
      <c r="AA2">
        <v>25</v>
      </c>
      <c r="AB2">
        <f t="shared" ref="AB2:AB9" si="0">SUMIF(W$14:W$213,AA2,X$14:X$213)</f>
        <v>0</v>
      </c>
      <c r="AC2">
        <f>IF((AB2-ROUNDDOWN(AB2,0))&gt;0.9,ROUND(AB2,0),ROUNDDOWN(AB2,0))</f>
        <v>0</v>
      </c>
      <c r="AV2">
        <f>BL107+BL106</f>
        <v>0</v>
      </c>
      <c r="AX2">
        <f>IF(_xlfn.MAXIFS(AX3:AX32,AW3:AW32,0)=0,MAX(AX3:AX32),_xlfn.MAXIFS(AX3:AX32,AW3:AW32,0))</f>
        <v>0</v>
      </c>
      <c r="AY2" t="s">
        <v>1115</v>
      </c>
      <c r="AZ2">
        <f>IF(_xlfn.MAXIFS(AX3:AX32,AW3:AW32,0)=0,1,0)</f>
        <v>1</v>
      </c>
      <c r="BG2" t="s">
        <v>1113</v>
      </c>
      <c r="BH2" t="s">
        <v>1139</v>
      </c>
      <c r="BI2" t="s">
        <v>1113</v>
      </c>
    </row>
    <row r="3" spans="1:66" x14ac:dyDescent="0.25">
      <c r="AA3">
        <v>30</v>
      </c>
      <c r="AB3">
        <f t="shared" si="0"/>
        <v>0</v>
      </c>
      <c r="AC3">
        <f t="shared" ref="AC3:AC9" si="1">IF((AB3-ROUNDDOWN(AB3,0))&gt;0.9,ROUND(AB3,0),ROUNDDOWN(AB3,0))</f>
        <v>0</v>
      </c>
      <c r="AV3">
        <v>1</v>
      </c>
      <c r="AW3">
        <f>IF(AND(AV3&gt;=BN$111,AV3&lt;BN$112),1,IF(AV3&lt;=AV$2,-1,0))</f>
        <v>0</v>
      </c>
      <c r="AX3">
        <f>BK54</f>
        <v>0</v>
      </c>
      <c r="AY3" s="495">
        <f>IF(AND(AX3=AX$2,AW3=AZ2),AV3,)</f>
        <v>0</v>
      </c>
      <c r="AZ3" s="494">
        <f>IF(AV3&lt;=AV$2,IF(AW3=1,AV3,0),IF(AND(SUM($AY3:AY3)=0,$AX3&gt;0),$AV3,0))</f>
        <v>0</v>
      </c>
      <c r="BA3" s="494">
        <f>IF(AND(SUM($AY3:AZ3)=0,$AX3&gt;0),$AV3,0)</f>
        <v>0</v>
      </c>
      <c r="BB3" s="494">
        <f>IF(AND(SUM($AY3:BA3)=0,$AX3&gt;0),$AV3,0)</f>
        <v>0</v>
      </c>
      <c r="BC3" s="494">
        <f>IF(AND(SUM($AY3:BB3)=0,$AX3&gt;0),$AV3,0)</f>
        <v>0</v>
      </c>
      <c r="BD3" s="494">
        <f>IF(AND(SUM($AY3:BC3)=0,$AX3&gt;0),$AV3,0)</f>
        <v>0</v>
      </c>
      <c r="BE3" s="494">
        <f>IF(AND(SUM($AY3:BD3)=0,$AX3&gt;0),$AV3,0)</f>
        <v>0</v>
      </c>
      <c r="BF3" s="494">
        <f>IF(AND(SUM($AY3:BE3)=0,$AX3&gt;0),$AV3,0)</f>
        <v>0</v>
      </c>
      <c r="BG3">
        <f>IF(AND(SUM(AY3:BF3)=0,AX3&gt;0,AW3&gt;-1),AX3,0)</f>
        <v>0</v>
      </c>
      <c r="BH3" s="494">
        <f>IF(AND(BG3&gt;0,BG3&gt;BG$35,BG$35+BF$38&gt;=BG3,SUM(BH4:BH$32)=0),BG3,0)</f>
        <v>0</v>
      </c>
      <c r="BI3">
        <f>IF(AND(BG$36=AV3,BH$34&gt;0),AX3,IF(BH$35=AV3,0,BG3))+IF(AND(SUM(AZ3:BF3)=0,AW3=-1),AX3,0)</f>
        <v>0</v>
      </c>
      <c r="BK3" t="s">
        <v>1087</v>
      </c>
      <c r="BL3" t="s">
        <v>1</v>
      </c>
      <c r="BM3" t="s">
        <v>1119</v>
      </c>
      <c r="BN3" t="s">
        <v>1173</v>
      </c>
    </row>
    <row r="4" spans="1:66" x14ac:dyDescent="0.25">
      <c r="AA4">
        <v>35</v>
      </c>
      <c r="AB4">
        <f t="shared" si="0"/>
        <v>0</v>
      </c>
      <c r="AC4">
        <f>IF((AB4-ROUNDDOWN(AB4,0))&gt;0.9,ROUND(AB4,0),ROUNDDOWN(AB4,0))</f>
        <v>0</v>
      </c>
      <c r="AV4">
        <v>2</v>
      </c>
      <c r="AW4">
        <f>IF(AND(AV4&gt;=BN$111,AV4&lt;BN$112),1,IF(AV4&lt;=AV$2,-1,0))</f>
        <v>0</v>
      </c>
      <c r="AX4">
        <f>BK55</f>
        <v>0</v>
      </c>
      <c r="AY4" s="496">
        <f>IF(AND(AX4=AX$2,SUM(AY$3:AY3)=0,AW4=AZ$2),AV4,)</f>
        <v>0</v>
      </c>
      <c r="AZ4">
        <f>IF(AND(SUM(AZ$3:AZ3)=0,SUM($AY4:AY4)=0,$AX4&lt;=AY$38,$AX4&gt;0,$AW4&gt;-1),$AV4,0)</f>
        <v>0</v>
      </c>
      <c r="BA4">
        <f>IF(AND(SUM(BA$3:BA3)=0,SUM($AY4:AZ4)=0,$AX4&lt;=AZ$38,$AX4&gt;0,$AW4&gt;-1),$AV4,0)</f>
        <v>0</v>
      </c>
      <c r="BB4">
        <f>IF(AND(SUM(BB$3:BB3)=0,SUM($AY4:BA4)=0,$AX4&lt;=BA$38,$AX4&gt;0,$AW4&gt;-1),$AV4,0)</f>
        <v>0</v>
      </c>
      <c r="BC4">
        <f>IF(AND(SUM(BC$3:BC3)=0,SUM($AY4:BB4)=0,$AX4&lt;=BB$38,$AX4&gt;0,$AW4&gt;-1),$AV4,0)</f>
        <v>0</v>
      </c>
      <c r="BD4">
        <f>IF(AND(SUM(BD$3:BD3)=0,SUM($AY4:BC4)=0,$AX4&lt;=BC$38,$AX4&gt;0,$AW4&gt;-1),$AV4,0)</f>
        <v>0</v>
      </c>
      <c r="BE4">
        <f>IF(AND(SUM(BE$3:BE3)=0,SUM($AY4:BD4)=0,$AX4&lt;=BD$38,$AX4&gt;0,$AW4&gt;-1),$AV4,0)</f>
        <v>0</v>
      </c>
      <c r="BF4">
        <f>IF(AND(SUM(BF$3:BF3)=0,SUM($AY4:BE4)=0,$AX4&lt;=BE$38,$AX4&gt;0,$AW4&gt;-1),$AV4,0)</f>
        <v>0</v>
      </c>
      <c r="BG4">
        <f t="shared" ref="BG4:BG32" si="2">IF(AND(SUM(AY4:BF4)=0,AX4&gt;0,AW4&gt;-1),AX4,0)</f>
        <v>0</v>
      </c>
      <c r="BH4" s="494">
        <f>IF(AND(BG4&gt;0,BG4&gt;BG$35,BG$35+BF$38&gt;=BG4,SUM(BH5:BH$32)=0),BG4,0)</f>
        <v>0</v>
      </c>
      <c r="BI4">
        <f t="shared" ref="BI4:BI32" si="3">IF(AND(BG$36=AV4,BH$34&gt;0),AX4,IF(BH$35=AV4,0,BG4))+IF(AND(SUM(AZ4:BF4)=0,AW4=-1),AX4,0)</f>
        <v>0</v>
      </c>
      <c r="BJ4">
        <v>10</v>
      </c>
      <c r="BK4">
        <f>_xlfn.XLOOKUP(BJ4,AY$37:BF$37,AY$35:BF$35,"")</f>
        <v>0</v>
      </c>
      <c r="BL4">
        <f t="shared" ref="BL4:BL11" si="4">_xlfn.SINGLE(_xlfn.XLOOKUP(BJ4,AY$37:BF$37,AY$36:BF$36,0))</f>
        <v>0</v>
      </c>
      <c r="BN4" s="493">
        <f>SUMIF(AR$14:AR$213,BK4,X$14:X$213)</f>
        <v>0</v>
      </c>
    </row>
    <row r="5" spans="1:66" x14ac:dyDescent="0.25">
      <c r="AA5">
        <v>40</v>
      </c>
      <c r="AB5">
        <f t="shared" si="0"/>
        <v>0</v>
      </c>
      <c r="AC5">
        <f t="shared" si="1"/>
        <v>0</v>
      </c>
      <c r="AV5">
        <v>3</v>
      </c>
      <c r="AW5">
        <f t="shared" ref="AW5:AW32" si="5">IF(AND(AV5&gt;=BN$111,AV5&lt;BN$112),1,IF(AV5&lt;=AV$2,-1,0))</f>
        <v>0</v>
      </c>
      <c r="AX5">
        <f t="shared" ref="AX5:AX32" si="6">BK56</f>
        <v>0</v>
      </c>
      <c r="AY5" s="496">
        <f>IF(AND(AX5=AX$2,SUM(AY$3:AY4)=0,AW5=AZ$2),AV5,)</f>
        <v>0</v>
      </c>
      <c r="AZ5">
        <f>IF(AND(SUM(AZ$3:AZ4)=0,SUM($AY5:AY5)=0,$AX5&lt;=AY$38,$AX5&gt;0,$AW5&gt;-1),$AV5,0)</f>
        <v>0</v>
      </c>
      <c r="BA5">
        <f>IF(AND(SUM(BA$3:BA4)=0,SUM($AY5:AZ5)=0,$AX5&lt;=AZ$38,$AX5&gt;0,$AW5&gt;-1),$AV5,0)</f>
        <v>0</v>
      </c>
      <c r="BB5">
        <f>IF(AND(SUM(BB$3:BB4)=0,SUM($AY5:BA5)=0,$AX5&lt;=BA$38,$AX5&gt;0,$AW5&gt;-1),$AV5,0)</f>
        <v>0</v>
      </c>
      <c r="BC5">
        <f>IF(AND(SUM(BC$3:BC4)=0,SUM($AY5:BB5)=0,$AX5&lt;=BB$38,$AX5&gt;0,$AW5&gt;-1),$AV5,0)</f>
        <v>0</v>
      </c>
      <c r="BD5">
        <f>IF(AND(SUM(BD$3:BD4)=0,SUM($AY5:BC5)=0,$AX5&lt;=BC$38,$AX5&gt;0,$AW5&gt;-1),$AV5,0)</f>
        <v>0</v>
      </c>
      <c r="BE5">
        <f>IF(AND(SUM(BE$3:BE4)=0,SUM($AY5:BD5)=0,$AX5&lt;=BD$38,$AX5&gt;0,$AW5&gt;-1),$AV5,0)</f>
        <v>0</v>
      </c>
      <c r="BF5">
        <f>IF(AND(SUM(BF$3:BF4)=0,SUM($AY5:BE5)=0,$AX5&lt;=BE$38,$AX5&gt;0,$AW5&gt;-1),$AV5,0)</f>
        <v>0</v>
      </c>
      <c r="BG5">
        <f t="shared" si="2"/>
        <v>0</v>
      </c>
      <c r="BH5" s="494">
        <f>IF(AND(BG5&gt;0,BG5&gt;BG$35,BG$35+BF$38&gt;=BG5,SUM(BH6:BH$32)=0),BG5,0)</f>
        <v>0</v>
      </c>
      <c r="BI5">
        <f t="shared" si="3"/>
        <v>0</v>
      </c>
      <c r="BJ5">
        <v>11</v>
      </c>
      <c r="BK5">
        <f>_xlfn.XLOOKUP(BJ5,AY$37:BF$37,AY$35:BF$35,"")</f>
        <v>0</v>
      </c>
      <c r="BL5">
        <f t="shared" si="4"/>
        <v>0</v>
      </c>
      <c r="BM5">
        <f>IF(BL5=0,0,(BL4-15)/5+BM4)</f>
        <v>0</v>
      </c>
      <c r="BN5" s="493">
        <f>SUMIF(AR$14:AR$213,BK5,X$14:X$213)</f>
        <v>0</v>
      </c>
    </row>
    <row r="6" spans="1:66" x14ac:dyDescent="0.25">
      <c r="AA6">
        <v>45</v>
      </c>
      <c r="AB6">
        <f t="shared" si="0"/>
        <v>0</v>
      </c>
      <c r="AC6">
        <f t="shared" si="1"/>
        <v>0</v>
      </c>
      <c r="AV6">
        <v>4</v>
      </c>
      <c r="AW6">
        <f t="shared" si="5"/>
        <v>0</v>
      </c>
      <c r="AX6">
        <f>BK57</f>
        <v>0</v>
      </c>
      <c r="AY6" s="496">
        <f>IF(AND(AX6=AX$2,SUM(AY$3:AY5)=0,AW6=AZ$2),AV6,)</f>
        <v>0</v>
      </c>
      <c r="AZ6">
        <f>IF(AND(SUM(AZ$3:AZ5)=0,SUM($AY6:AY6)=0,$AX6&lt;=AY$38,$AX6&gt;0,$AW6&gt;-1),$AV6,0)</f>
        <v>0</v>
      </c>
      <c r="BA6">
        <f>IF(AND(SUM(BA$3:BA5)=0,SUM($AY6:AZ6)=0,$AX6&lt;=AZ$38,$AX6&gt;0,$AW6&gt;-1),$AV6,0)</f>
        <v>0</v>
      </c>
      <c r="BB6">
        <f>IF(AND(SUM(BB$3:BB5)=0,SUM($AY6:BA6)=0,$AX6&lt;=BA$38,$AX6&gt;0,$AW6&gt;-1),$AV6,0)</f>
        <v>0</v>
      </c>
      <c r="BC6">
        <f>IF(AND(SUM(BC$3:BC5)=0,SUM($AY6:BB6)=0,$AX6&lt;=BB$38,$AX6&gt;0,$AW6&gt;-1),$AV6,0)</f>
        <v>0</v>
      </c>
      <c r="BD6">
        <f>IF(AND(SUM(BD$3:BD5)=0,SUM($AY6:BC6)=0,$AX6&lt;=BC$38,$AX6&gt;0,$AW6&gt;-1),$AV6,0)</f>
        <v>0</v>
      </c>
      <c r="BE6">
        <f>IF(AND(SUM(BE$3:BE5)=0,SUM($AY6:BD6)=0,$AX6&lt;=BD$38,$AX6&gt;0,$AW6&gt;-1),$AV6,0)</f>
        <v>0</v>
      </c>
      <c r="BF6">
        <f>IF(AND(SUM(BF$3:BF5)=0,SUM($AY6:BE6)=0,$AX6&lt;=BE$38,$AX6&gt;0,$AW6&gt;-1),$AV6,0)</f>
        <v>0</v>
      </c>
      <c r="BG6">
        <f t="shared" si="2"/>
        <v>0</v>
      </c>
      <c r="BH6" s="494">
        <f>IF(AND(BG6&gt;0,BG6&gt;BG$35,BG$35+BF$38&gt;=BG6,SUM(BH7:BH$32)=0),BG6,0)</f>
        <v>0</v>
      </c>
      <c r="BI6">
        <f t="shared" si="3"/>
        <v>0</v>
      </c>
      <c r="BJ6">
        <v>12</v>
      </c>
      <c r="BK6" t="str">
        <f>_xlfn.XLOOKUP(BJ6,AY$37:BF$37,AY$35:BF$35,"")</f>
        <v/>
      </c>
      <c r="BL6">
        <f t="shared" si="4"/>
        <v>0</v>
      </c>
      <c r="BM6">
        <f t="shared" ref="BM6:BM11" si="7">IF(BL6=0,0,(BL5)/5+BM5)</f>
        <v>0</v>
      </c>
      <c r="BN6" s="493">
        <f>SUMIF(AR$14:AR$213,BK6,X$14:X$213)</f>
        <v>0</v>
      </c>
    </row>
    <row r="7" spans="1:66" x14ac:dyDescent="0.25">
      <c r="AA7">
        <v>50</v>
      </c>
      <c r="AB7">
        <f t="shared" si="0"/>
        <v>0</v>
      </c>
      <c r="AC7">
        <f t="shared" si="1"/>
        <v>0</v>
      </c>
      <c r="AV7">
        <v>5</v>
      </c>
      <c r="AW7">
        <f t="shared" si="5"/>
        <v>0</v>
      </c>
      <c r="AX7">
        <f>BK58</f>
        <v>0</v>
      </c>
      <c r="AY7" s="496">
        <f>IF(AND(AX7=AX$2,SUM(AY$3:AY6)=0,AW7=AZ$2),AV7,)</f>
        <v>0</v>
      </c>
      <c r="AZ7">
        <f>IF(AND(SUM(AZ$3:AZ6)=0,SUM($AY7:AY7)=0,$AX7&lt;=AY$38,$AX7&gt;0,$AW7&gt;-1),$AV7,0)</f>
        <v>0</v>
      </c>
      <c r="BA7">
        <f>IF(AND(SUM(BA$3:BA6)=0,SUM($AY7:AZ7)=0,$AX7&lt;=AZ$38,$AX7&gt;0,$AW7&gt;-1),$AV7,0)</f>
        <v>0</v>
      </c>
      <c r="BB7">
        <f>IF(AND(SUM(BB$3:BB6)=0,SUM($AY7:BA7)=0,$AX7&lt;=BA$38,$AX7&gt;0,$AW7&gt;-1),$AV7,0)</f>
        <v>0</v>
      </c>
      <c r="BC7">
        <f>IF(AND(SUM(BC$3:BC6)=0,SUM($AY7:BB7)=0,$AX7&lt;=BB$38,$AX7&gt;0,$AW7&gt;-1),$AV7,0)</f>
        <v>0</v>
      </c>
      <c r="BD7">
        <f>IF(AND(SUM(BD$3:BD6)=0,SUM($AY7:BC7)=0,$AX7&lt;=BC$38,$AX7&gt;0,$AW7&gt;-1),$AV7,0)</f>
        <v>0</v>
      </c>
      <c r="BE7">
        <f>IF(AND(SUM(BE$3:BE6)=0,SUM($AY7:BD7)=0,$AX7&lt;=BD$38,$AX7&gt;0,$AW7&gt;-1),$AV7,0)</f>
        <v>0</v>
      </c>
      <c r="BF7">
        <f>IF(AND(SUM(BF$3:BF6)=0,SUM($AY7:BE7)=0,$AX7&lt;=BE$38,$AX7&gt;0,$AW7&gt;-1),$AV7,0)</f>
        <v>0</v>
      </c>
      <c r="BG7">
        <f t="shared" si="2"/>
        <v>0</v>
      </c>
      <c r="BH7" s="494">
        <f>IF(AND(BG7&gt;0,BG7&gt;BG$35,BG$35+BF$38&gt;=BG7,SUM(BH8:BH$32)=0),BG7,0)</f>
        <v>0</v>
      </c>
      <c r="BI7">
        <f t="shared" si="3"/>
        <v>0</v>
      </c>
      <c r="BJ7">
        <v>13</v>
      </c>
      <c r="BK7" t="str">
        <f>_xlfn.SINGLE(_xlfn.XLOOKUP(BJ7,AY$37:BF$37,AY$35:BF$35,""))</f>
        <v/>
      </c>
      <c r="BL7">
        <f t="shared" si="4"/>
        <v>0</v>
      </c>
      <c r="BM7">
        <f t="shared" si="7"/>
        <v>0</v>
      </c>
      <c r="BN7" s="493">
        <f>SUMIF(AR$14:AR$213,BK7,X$14:X$213)</f>
        <v>0</v>
      </c>
    </row>
    <row r="8" spans="1:66" x14ac:dyDescent="0.25">
      <c r="AA8">
        <v>55</v>
      </c>
      <c r="AB8">
        <f t="shared" si="0"/>
        <v>0</v>
      </c>
      <c r="AC8">
        <f t="shared" si="1"/>
        <v>0</v>
      </c>
      <c r="AV8">
        <v>6</v>
      </c>
      <c r="AW8">
        <f t="shared" si="5"/>
        <v>0</v>
      </c>
      <c r="AX8">
        <f t="shared" si="6"/>
        <v>0</v>
      </c>
      <c r="AY8" s="496">
        <f>IF(AND(AX8=AX$2,SUM(AY$3:AY7)=0,AW8=AZ$2),AV8,)</f>
        <v>0</v>
      </c>
      <c r="AZ8">
        <f>IF(AND(SUM(AZ$3:AZ7)=0,SUM($AY8:AY8)=0,$AX8&lt;=AY$38,$AX8&gt;0,$AW8&gt;-1),$AV8,0)</f>
        <v>0</v>
      </c>
      <c r="BA8">
        <f>IF(AND(SUM(BA$3:BA7)=0,SUM($AY8:AZ8)=0,$AX8&lt;=AZ$38,$AX8&gt;0,$AW8&gt;-1),$AV8,0)</f>
        <v>0</v>
      </c>
      <c r="BB8">
        <f>IF(AND(SUM(BB$3:BB7)=0,SUM($AY8:BA8)=0,$AX8&lt;=BA$38,$AX8&gt;0,$AW8&gt;-1),$AV8,0)</f>
        <v>0</v>
      </c>
      <c r="BC8">
        <f>IF(AND(SUM(BC$3:BC7)=0,SUM($AY8:BB8)=0,$AX8&lt;=BB$38,$AX8&gt;0,$AW8&gt;-1),$AV8,0)</f>
        <v>0</v>
      </c>
      <c r="BD8">
        <f>IF(AND(SUM(BD$3:BD7)=0,SUM($AY8:BC8)=0,$AX8&lt;=BC$38,$AX8&gt;0,$AW8&gt;-1),$AV8,0)</f>
        <v>0</v>
      </c>
      <c r="BE8">
        <f>IF(AND(SUM(BE$3:BE7)=0,SUM($AY8:BD8)=0,$AX8&lt;=BD$38,$AX8&gt;0,$AW8&gt;-1),$AV8,0)</f>
        <v>0</v>
      </c>
      <c r="BF8">
        <f>IF(AND(SUM(BF$3:BF7)=0,SUM($AY8:BE8)=0,$AX8&lt;=BE$38,$AX8&gt;0,$AW8&gt;-1),$AV8,0)</f>
        <v>0</v>
      </c>
      <c r="BG8">
        <f t="shared" si="2"/>
        <v>0</v>
      </c>
      <c r="BH8" s="494">
        <f>IF(AND(BG8&gt;0,BG8&gt;BG$35,BG$35+BF$38&gt;=BG8,SUM(BH9:BH$32)=0),BG8,0)</f>
        <v>0</v>
      </c>
      <c r="BI8">
        <f t="shared" si="3"/>
        <v>0</v>
      </c>
      <c r="BJ8">
        <v>14</v>
      </c>
      <c r="BK8" t="str">
        <f>_xlfn.SINGLE(_xlfn.XLOOKUP(BJ8,AY$37:BF$37,AY$35:BF$35,""))</f>
        <v/>
      </c>
      <c r="BL8">
        <f t="shared" si="4"/>
        <v>0</v>
      </c>
      <c r="BM8">
        <f t="shared" si="7"/>
        <v>0</v>
      </c>
      <c r="BN8" s="493">
        <f>SUMIF(AR$14:AR$213,BK8,X$14:X$213)</f>
        <v>0</v>
      </c>
    </row>
    <row r="9" spans="1:66" x14ac:dyDescent="0.25">
      <c r="Y9" s="497"/>
      <c r="AA9">
        <v>60</v>
      </c>
      <c r="AB9">
        <f t="shared" si="0"/>
        <v>0</v>
      </c>
      <c r="AC9">
        <f t="shared" si="1"/>
        <v>0</v>
      </c>
      <c r="AV9">
        <v>7</v>
      </c>
      <c r="AW9">
        <f t="shared" si="5"/>
        <v>0</v>
      </c>
      <c r="AX9">
        <f t="shared" si="6"/>
        <v>0</v>
      </c>
      <c r="AY9" s="496">
        <f>IF(AND(AX9=AX$2,SUM(AY$3:AY8)=0,AW9=AZ$2),AV9,)</f>
        <v>0</v>
      </c>
      <c r="AZ9">
        <f>IF(AND(SUM(AZ$3:AZ8)=0,SUM($AY9:AY9)=0,$AX9&lt;=AY$38,$AX9&gt;0,$AW9&gt;-1),$AV9,0)</f>
        <v>0</v>
      </c>
      <c r="BA9">
        <f>IF(AND(SUM(BA$3:BA8)=0,SUM($AY9:AZ9)=0,$AX9&lt;=AZ$38,$AX9&gt;0,$AW9&gt;-1),$AV9,0)</f>
        <v>0</v>
      </c>
      <c r="BB9">
        <f>IF(AND(SUM(BB$3:BB8)=0,SUM($AY9:BA9)=0,$AX9&lt;=BA$38,$AX9&gt;0,$AW9&gt;-1),$AV9,0)</f>
        <v>0</v>
      </c>
      <c r="BC9">
        <f>IF(AND(SUM(BC$3:BC8)=0,SUM($AY9:BB9)=0,$AX9&lt;=BB$38,$AX9&gt;0,$AW9&gt;-1),$AV9,0)</f>
        <v>0</v>
      </c>
      <c r="BD9">
        <f>IF(AND(SUM(BD$3:BD8)=0,SUM($AY9:BC9)=0,$AX9&lt;=BC$38,$AX9&gt;0,$AW9&gt;-1),$AV9,0)</f>
        <v>0</v>
      </c>
      <c r="BE9">
        <f>IF(AND(SUM(BE$3:BE8)=0,SUM($AY9:BD9)=0,$AX9&lt;=BD$38,$AX9&gt;0,$AW9&gt;-1),$AV9,0)</f>
        <v>0</v>
      </c>
      <c r="BF9">
        <f>IF(AND(SUM(BF$3:BF8)=0,SUM($AY9:BE9)=0,$AX9&lt;=BE$38,$AX9&gt;0,$AW9&gt;-1),$AV9,0)</f>
        <v>0</v>
      </c>
      <c r="BG9">
        <f t="shared" si="2"/>
        <v>0</v>
      </c>
      <c r="BH9" s="494">
        <f>IF(AND(BG9&gt;0,BG9&gt;BG$35,BG$35+BF$38&gt;=BG9,SUM(BH10:BH$32)=0),BG9,0)</f>
        <v>0</v>
      </c>
      <c r="BI9">
        <f t="shared" si="3"/>
        <v>0</v>
      </c>
      <c r="BJ9">
        <v>15</v>
      </c>
      <c r="BK9" t="str">
        <f>_xlfn.SINGLE(_xlfn.XLOOKUP(BJ9,AY$37:BF$37,AY$35:BF$35,""))</f>
        <v/>
      </c>
      <c r="BL9">
        <f t="shared" si="4"/>
        <v>0</v>
      </c>
      <c r="BM9">
        <f t="shared" si="7"/>
        <v>0</v>
      </c>
      <c r="BN9" s="493">
        <f t="shared" ref="BN9:BN11" si="8">SUMIF(AR$14:AR$213,BK9,X$14:X$213)</f>
        <v>0</v>
      </c>
    </row>
    <row r="10" spans="1:66" x14ac:dyDescent="0.25">
      <c r="Z10">
        <f>IF((1-MAX(Z14:Z213)+ROUNDDOWN(MAX(Z14:Z213),0))=1,0,1-MAX(Z14:Z213)+ROUNDDOWN(MAX(Z14:Z213),0))</f>
        <v>0</v>
      </c>
      <c r="AB10">
        <f>ROUNDUP(MAX(Z14:Z213),0)</f>
        <v>0</v>
      </c>
      <c r="AD10">
        <f>1-MAX(AD14:AD213)+ROUNDDOWN(MAX(AD14:AD213)-0.01,0)</f>
        <v>1</v>
      </c>
      <c r="AE10">
        <f>AB10+ROUNDUP(MAX(AD14:AD213),0)</f>
        <v>0</v>
      </c>
      <c r="AV10">
        <v>8</v>
      </c>
      <c r="AW10">
        <f t="shared" si="5"/>
        <v>0</v>
      </c>
      <c r="AX10">
        <f t="shared" si="6"/>
        <v>0</v>
      </c>
      <c r="AY10" s="496">
        <f>IF(AND(AX10=AX$2,SUM(AY$3:AY9)=0,AW10=AZ$2),AV10,)</f>
        <v>0</v>
      </c>
      <c r="AZ10">
        <f>IF(AND(SUM(AZ$3:AZ9)=0,SUM($AY10:AY10)=0,$AX10&lt;=AY$38,$AX10&gt;0,$AW10&gt;-1),$AV10,0)</f>
        <v>0</v>
      </c>
      <c r="BA10">
        <f>IF(AND(SUM(BA$3:BA9)=0,SUM($AY10:AZ10)=0,$AX10&lt;=AZ$38,$AX10&gt;0,$AW10&gt;-1),$AV10,0)</f>
        <v>0</v>
      </c>
      <c r="BB10">
        <f>IF(AND(SUM(BB$3:BB9)=0,SUM($AY10:BA10)=0,$AX10&lt;=BA$38,$AX10&gt;0,$AW10&gt;-1),$AV10,0)</f>
        <v>0</v>
      </c>
      <c r="BC10">
        <f>IF(AND(SUM(BC$3:BC9)=0,SUM($AY10:BB10)=0,$AX10&lt;=BB$38,$AX10&gt;0,$AW10&gt;-1),$AV10,0)</f>
        <v>0</v>
      </c>
      <c r="BD10">
        <f>IF(AND(SUM(BD$3:BD9)=0,SUM($AY10:BC10)=0,$AX10&lt;=BC$38,$AX10&gt;0,$AW10&gt;-1),$AV10,0)</f>
        <v>0</v>
      </c>
      <c r="BE10">
        <f>IF(AND(SUM(BE$3:BE9)=0,SUM($AY10:BD10)=0,$AX10&lt;=BD$38,$AX10&gt;0,$AW10&gt;-1),$AV10,0)</f>
        <v>0</v>
      </c>
      <c r="BF10">
        <f>IF(AND(SUM(BF$3:BF9)=0,SUM($AY10:BE10)=0,$AX10&lt;=BE$38,$AX10&gt;0,$AW10&gt;-1),$AV10,0)</f>
        <v>0</v>
      </c>
      <c r="BG10">
        <f t="shared" si="2"/>
        <v>0</v>
      </c>
      <c r="BH10" s="494">
        <f>IF(AND(BG10&gt;0,BG10&gt;BG$35,BG$35+BF$38&gt;=BG10,SUM(BH11:BH$32)=0),BG10,0)</f>
        <v>0</v>
      </c>
      <c r="BI10">
        <f t="shared" si="3"/>
        <v>0</v>
      </c>
      <c r="BJ10">
        <v>16</v>
      </c>
      <c r="BK10" t="str">
        <f>_xlfn.SINGLE(_xlfn.XLOOKUP(BJ10,AY$37:BF$37,AY$35:BF$35,""))</f>
        <v/>
      </c>
      <c r="BL10">
        <f t="shared" si="4"/>
        <v>0</v>
      </c>
      <c r="BM10">
        <f t="shared" si="7"/>
        <v>0</v>
      </c>
      <c r="BN10" s="493">
        <f t="shared" si="8"/>
        <v>0</v>
      </c>
    </row>
    <row r="11" spans="1:66" x14ac:dyDescent="0.25">
      <c r="Z11" t="s">
        <v>1155</v>
      </c>
      <c r="AN11" t="s">
        <v>1170</v>
      </c>
      <c r="AV11">
        <v>9</v>
      </c>
      <c r="AW11">
        <f t="shared" si="5"/>
        <v>0</v>
      </c>
      <c r="AX11">
        <f t="shared" si="6"/>
        <v>0</v>
      </c>
      <c r="AY11" s="496">
        <f>IF(AND(AX11=AX$2,SUM(AY$3:AY10)=0,AW11=AZ$2),AV11,)</f>
        <v>0</v>
      </c>
      <c r="AZ11">
        <f>IF(AND(SUM(AZ$3:AZ10)=0,SUM($AY11:AY11)=0,$AX11&lt;=AY$38,$AX11&gt;0,$AW11&gt;-1),$AV11,0)</f>
        <v>0</v>
      </c>
      <c r="BA11">
        <f>IF(AND(SUM(BA$3:BA10)=0,SUM($AY11:AZ11)=0,$AX11&lt;=AZ$38,$AX11&gt;0,$AW11&gt;-1),$AV11,0)</f>
        <v>0</v>
      </c>
      <c r="BB11">
        <f>IF(AND(SUM(BB$3:BB10)=0,SUM($AY11:BA11)=0,$AX11&lt;=BA$38,$AX11&gt;0,$AW11&gt;-1),$AV11,0)</f>
        <v>0</v>
      </c>
      <c r="BC11">
        <f>IF(AND(SUM(BC$3:BC10)=0,SUM($AY11:BB11)=0,$AX11&lt;=BB$38,$AX11&gt;0,$AW11&gt;-1),$AV11,0)</f>
        <v>0</v>
      </c>
      <c r="BD11">
        <f>IF(AND(SUM(BD$3:BD10)=0,SUM($AY11:BC11)=0,$AX11&lt;=BC$38,$AX11&gt;0,$AW11&gt;-1),$AV11,0)</f>
        <v>0</v>
      </c>
      <c r="BE11">
        <f>IF(AND(SUM(BE$3:BE10)=0,SUM($AY11:BD11)=0,$AX11&lt;=BD$38,$AX11&gt;0,$AW11&gt;-1),$AV11,0)</f>
        <v>0</v>
      </c>
      <c r="BF11">
        <f>IF(AND(SUM(BF$3:BF10)=0,SUM($AY11:BE11)=0,$AX11&lt;=BE$38,$AX11&gt;0,$AW11&gt;-1),$AV11,0)</f>
        <v>0</v>
      </c>
      <c r="BG11">
        <f t="shared" si="2"/>
        <v>0</v>
      </c>
      <c r="BH11" s="494">
        <f>IF(AND(BG11&gt;0,BG11&gt;BG$35,BG$35+BF$38&gt;=BG11,SUM(BH12:BH$32)=0),BG11,0)</f>
        <v>0</v>
      </c>
      <c r="BI11">
        <f t="shared" si="3"/>
        <v>0</v>
      </c>
      <c r="BJ11">
        <v>17</v>
      </c>
      <c r="BK11" t="str">
        <f>_xlfn.XLOOKUP(BJ11,AY$37:BF$37,AY$35:BF$35,"")</f>
        <v/>
      </c>
      <c r="BL11">
        <f t="shared" si="4"/>
        <v>0</v>
      </c>
      <c r="BM11">
        <f t="shared" si="7"/>
        <v>0</v>
      </c>
      <c r="BN11" s="493">
        <f t="shared" si="8"/>
        <v>0</v>
      </c>
    </row>
    <row r="12" spans="1:66" x14ac:dyDescent="0.25">
      <c r="E12" t="s">
        <v>1105</v>
      </c>
      <c r="Z12">
        <f>_xlfn.MAXIFS(W14:W213,Z14:Z213,"&gt;0")</f>
        <v>0</v>
      </c>
      <c r="AA12">
        <f>SUM(AA14:AA213)+MAX(Z14:Z213)</f>
        <v>0</v>
      </c>
      <c r="AB12">
        <f>ROUNDUP(AA12,0)-AA12</f>
        <v>0</v>
      </c>
      <c r="AD12">
        <f>_xlfn.MAXIFS(W14:W213,AD14:AD213,"&gt;0")</f>
        <v>0</v>
      </c>
      <c r="AE12">
        <f>SUM(AE14:AE213)+MAX(AD14:AD213)</f>
        <v>0</v>
      </c>
      <c r="AF12">
        <f>ROUNDUP(AE12,0)-AE12</f>
        <v>0</v>
      </c>
      <c r="AI12">
        <f>MAX(AI14:AI213)</f>
        <v>0</v>
      </c>
      <c r="AN12">
        <v>0.88500000000000001</v>
      </c>
      <c r="AR12">
        <f>IF(MAX(AN14:AN213)=0,AI12,MAX(AN14:AN213))</f>
        <v>0</v>
      </c>
      <c r="AV12">
        <v>10</v>
      </c>
      <c r="AW12">
        <f t="shared" si="5"/>
        <v>0</v>
      </c>
      <c r="AX12">
        <f t="shared" si="6"/>
        <v>0</v>
      </c>
      <c r="AY12" s="496">
        <f>IF(AND(AX12=AX$2,SUM(AY$3:AY11)=0,AW12=AZ$2),AV12,)</f>
        <v>0</v>
      </c>
      <c r="AZ12">
        <f>IF(AND(SUM(AZ$3:AZ11)=0,SUM($AY12:AY12)=0,$AX12&lt;=AY$38,$AX12&gt;0,$AW12&gt;-1),$AV12,0)</f>
        <v>0</v>
      </c>
      <c r="BA12">
        <f>IF(AND(SUM(BA$3:BA11)=0,SUM($AY12:AZ12)=0,$AX12&lt;=AZ$38,$AX12&gt;0,$AW12&gt;-1),$AV12,0)</f>
        <v>0</v>
      </c>
      <c r="BB12">
        <f>IF(AND(SUM(BB$3:BB11)=0,SUM($AY12:BA12)=0,$AX12&lt;=BA$38,$AX12&gt;0,$AW12&gt;-1),$AV12,0)</f>
        <v>0</v>
      </c>
      <c r="BC12">
        <f>IF(AND(SUM(BC$3:BC11)=0,SUM($AY12:BB12)=0,$AX12&lt;=BB$38,$AX12&gt;0,$AW12&gt;-1),$AV12,0)</f>
        <v>0</v>
      </c>
      <c r="BD12">
        <f>IF(AND(SUM(BD$3:BD11)=0,SUM($AY12:BC12)=0,$AX12&lt;=BC$38,$AX12&gt;0,$AW12&gt;-1),$AV12,0)</f>
        <v>0</v>
      </c>
      <c r="BE12">
        <f>IF(AND(SUM(BE$3:BE11)=0,SUM($AY12:BD12)=0,$AX12&lt;=BD$38,$AX12&gt;0,$AW12&gt;-1),$AV12,0)</f>
        <v>0</v>
      </c>
      <c r="BF12">
        <f>IF(AND(SUM(BF$3:BF11)=0,SUM($AY12:BE12)=0,$AX12&lt;=BE$38,$AX12&gt;0,$AW12&gt;-1),$AV12,0)</f>
        <v>0</v>
      </c>
      <c r="BG12">
        <f t="shared" si="2"/>
        <v>0</v>
      </c>
      <c r="BH12" s="494">
        <f>IF(AND(BG12&gt;0,BG12&gt;BG$35,BG$35+BF$38&gt;=BG12,SUM(BH13:BH$32)=0),BG12,0)</f>
        <v>0</v>
      </c>
      <c r="BI12">
        <f t="shared" si="3"/>
        <v>0</v>
      </c>
    </row>
    <row r="13" spans="1:66" x14ac:dyDescent="0.25">
      <c r="D13" t="s">
        <v>1107</v>
      </c>
      <c r="E13" t="s">
        <v>1108</v>
      </c>
      <c r="F13" t="s">
        <v>1085</v>
      </c>
      <c r="G13" t="s">
        <v>1103</v>
      </c>
      <c r="H13" t="s">
        <v>1122</v>
      </c>
      <c r="I13" t="s">
        <v>1104</v>
      </c>
      <c r="J13" t="s">
        <v>1112</v>
      </c>
      <c r="L13" t="s">
        <v>1112</v>
      </c>
      <c r="N13" t="s">
        <v>1110</v>
      </c>
      <c r="O13" t="s">
        <v>1108</v>
      </c>
      <c r="P13" t="s">
        <v>1086</v>
      </c>
      <c r="Q13" t="s">
        <v>1085</v>
      </c>
      <c r="R13" t="s">
        <v>1111</v>
      </c>
      <c r="S13" t="s">
        <v>1122</v>
      </c>
      <c r="W13" t="s">
        <v>1</v>
      </c>
      <c r="X13" t="s">
        <v>3</v>
      </c>
      <c r="Y13" t="s">
        <v>1111</v>
      </c>
      <c r="Z13" s="514" t="s">
        <v>1138</v>
      </c>
      <c r="AA13" s="514" t="s">
        <v>1156</v>
      </c>
      <c r="AB13" s="514" t="s">
        <v>1157</v>
      </c>
      <c r="AD13" s="514" t="s">
        <v>1137</v>
      </c>
      <c r="AE13" s="514" t="s">
        <v>1158</v>
      </c>
      <c r="AF13" s="514" t="s">
        <v>1159</v>
      </c>
      <c r="AG13" t="s">
        <v>1160</v>
      </c>
      <c r="AI13" s="515" t="s">
        <v>1087</v>
      </c>
      <c r="AJ13" s="515"/>
      <c r="AK13" s="515"/>
      <c r="AL13" s="515"/>
      <c r="AM13" s="515"/>
      <c r="AN13" s="515">
        <f>AI12</f>
        <v>0</v>
      </c>
      <c r="AP13" t="s">
        <v>1113</v>
      </c>
      <c r="AR13" t="s">
        <v>1172</v>
      </c>
      <c r="AT13" t="s">
        <v>1171</v>
      </c>
      <c r="AV13">
        <v>11</v>
      </c>
      <c r="AW13">
        <f t="shared" si="5"/>
        <v>0</v>
      </c>
      <c r="AX13">
        <f t="shared" si="6"/>
        <v>0</v>
      </c>
      <c r="AY13" s="496">
        <f>IF(AND(AX13=AX$2,SUM(AY$3:AY12)=0,AW13=AZ$2),AV13,)</f>
        <v>0</v>
      </c>
      <c r="AZ13">
        <f>IF(AND(SUM(AZ$3:AZ12)=0,SUM($AY13:AY13)=0,$AX13&lt;=AY$38,$AX13&gt;0,$AW13&gt;-1),$AV13,0)</f>
        <v>0</v>
      </c>
      <c r="BA13">
        <f>IF(AND(SUM(BA$3:BA12)=0,SUM($AY13:AZ13)=0,$AX13&lt;=AZ$38,$AX13&gt;0,$AW13&gt;-1),$AV13,0)</f>
        <v>0</v>
      </c>
      <c r="BB13">
        <f>IF(AND(SUM(BB$3:BB12)=0,SUM($AY13:BA13)=0,$AX13&lt;=BA$38,$AX13&gt;0,$AW13&gt;-1),$AV13,0)</f>
        <v>0</v>
      </c>
      <c r="BC13">
        <f>IF(AND(SUM(BC$3:BC12)=0,SUM($AY13:BB13)=0,$AX13&lt;=BB$38,$AX13&gt;0,$AW13&gt;-1),$AV13,0)</f>
        <v>0</v>
      </c>
      <c r="BD13">
        <f>IF(AND(SUM(BD$3:BD12)=0,SUM($AY13:BC13)=0,$AX13&lt;=BC$38,$AX13&gt;0,$AW13&gt;-1),$AV13,0)</f>
        <v>0</v>
      </c>
      <c r="BE13">
        <f>IF(AND(SUM(BE$3:BE12)=0,SUM($AY13:BD13)=0,$AX13&lt;=BD$38,$AX13&gt;0,$AW13&gt;-1),$AV13,0)</f>
        <v>0</v>
      </c>
      <c r="BF13">
        <f>IF(AND(SUM(BF$3:BF12)=0,SUM($AY13:BE13)=0,$AX13&lt;=BE$38,$AX13&gt;0,$AW13&gt;-1),$AV13,0)</f>
        <v>0</v>
      </c>
      <c r="BG13">
        <f t="shared" si="2"/>
        <v>0</v>
      </c>
      <c r="BH13" s="494">
        <f>IF(AND(BG13&gt;0,BG13&gt;BG$35,BG$35+BF$38&gt;=BG13,SUM(BH14:BH$32)=0),BG13,0)</f>
        <v>0</v>
      </c>
      <c r="BI13">
        <f>IF(AND(BG$36=AV13,BH$34&gt;0),AX13,IF(BH$35=AV13,0,BG13))+IF(AND(SUM(AZ13:BF13)=0,AW13=-1),AX13,0)</f>
        <v>0</v>
      </c>
    </row>
    <row r="14" spans="1:66" x14ac:dyDescent="0.25">
      <c r="A14">
        <v>1</v>
      </c>
      <c r="B14" t="str">
        <f>_xlfn.XLOOKUP(A14,Order!R$12:R$859,Order!C$12:C$859,"")</f>
        <v/>
      </c>
      <c r="C14" t="str">
        <f>_xlfn.XLOOKUP(A14,Order!R$12:R$859,Order!S$12:S$859,"")</f>
        <v/>
      </c>
      <c r="D14" t="str">
        <f>_xlfn.XLOOKUP(A14,Order!R$12:R$859,Order!B$12:B$859,"")</f>
        <v/>
      </c>
      <c r="E14" t="str">
        <f>_xlfn.XLOOKUP(A14,Order!R$12:R$859,Order!P$12:P$859,"")</f>
        <v/>
      </c>
      <c r="F14" t="str">
        <f>_xlfn.XLOOKUP(A14,Order!R$12:R$859,Order!T$12:T$859,"")</f>
        <v/>
      </c>
      <c r="G14" t="str">
        <f>_xlfn.XLOOKUP(A14,Order!R$12:R$859,Order!U$12:U$859,"")</f>
        <v/>
      </c>
      <c r="H14" t="str">
        <f>_xlfn.XLOOKUP(A14,Order!R$12:R$859,Order!B$12:B$859,"")</f>
        <v/>
      </c>
      <c r="I14" t="str">
        <f>_xlfn.XLOOKUP(A14,Order!R$12:R$859,Order!V$12:V$859,"")</f>
        <v/>
      </c>
      <c r="J14" t="str">
        <f>IFERROR(RANK(F14,F$14:F$213,1)+COUNTIF(F$14:F14,F14)-1,"")</f>
        <v/>
      </c>
      <c r="L14">
        <v>1</v>
      </c>
      <c r="M14" t="str" cm="1">
        <f t="array" ref="M14">_xlfn.XLOOKUP(A14,J$14:J213,B$14:B213,"")</f>
        <v/>
      </c>
      <c r="N14" t="str" cm="1">
        <f t="array" ref="N14">_xlfn.XLOOKUP(A14,J$14:J213,C$14:C213,"")</f>
        <v/>
      </c>
      <c r="O14" t="str" cm="1">
        <f t="array" ref="O14">_xlfn.XLOOKUP(A14,J$14:J213,E$14:E213,"")</f>
        <v/>
      </c>
      <c r="P14" t="str" cm="1">
        <f t="array" ref="P14">_xlfn.XLOOKUP(A14,J$14:J213,G$14:G213,"")</f>
        <v/>
      </c>
      <c r="Q14" t="str" cm="1">
        <f t="array" ref="Q14">_xlfn.XLOOKUP(A14,J$14:J213,F$14:F213,"")</f>
        <v/>
      </c>
      <c r="R14" t="str" cm="1">
        <f t="array" ref="R14">_xlfn.XLOOKUP(A14,J$14:J213,I$14:I213,"")</f>
        <v/>
      </c>
      <c r="S14" t="str" cm="1">
        <f t="array" ref="S14">_xlfn.XLOOKUP(A14,J$14:J213,H$14:H213,"")</f>
        <v/>
      </c>
      <c r="T14" t="str" cm="1">
        <f t="array" ref="T14">VLOOKUP(ROW(1:1),L$14:S$163,8)</f>
        <v/>
      </c>
      <c r="U14" t="str" cm="1">
        <f t="array" ref="U14">VLOOKUP(ROW(1:1),L$14:M$163,2)</f>
        <v/>
      </c>
      <c r="V14" t="str" cm="1">
        <f t="array" ref="V14">VLOOKUP(ROW(1:1),L$14:O$163,4)</f>
        <v/>
      </c>
      <c r="W14" t="str" cm="1">
        <f t="array" ref="W14">VLOOKUP(ROW(1:1),L$14:Q$163,6)</f>
        <v/>
      </c>
      <c r="X14" cm="1">
        <f t="array" ref="X14">IFERROR(VLOOKUP(ROW(1:1),L$14:P$213,5)+0,0)</f>
        <v>0</v>
      </c>
      <c r="Y14" t="str" cm="1">
        <f t="array" ref="Y14">VLOOKUP(ROW(1:1),L$14:R$163,7)</f>
        <v/>
      </c>
      <c r="Z14">
        <f>IF(Y14&lt;-2,X14,0)</f>
        <v>0</v>
      </c>
      <c r="AA14">
        <f>IFERROR(IF(AND(SUM(AA15:AA$214)+X14&lt;=Z$10,W14&lt;=Z$12,Z14=0),X14,0),0)</f>
        <v>0</v>
      </c>
      <c r="AB14">
        <f>IFERROR(IF(AND(W14&lt;=Z$12+10,AB$12-X14&gt;=0,SUM(Z14:AA14)=0),X14,0),0)</f>
        <v>0</v>
      </c>
      <c r="AD14">
        <f>IF(AND(Y14=-2,SUM(Z14:AB14)=0),X14,0)</f>
        <v>0</v>
      </c>
      <c r="AE14">
        <f>IFERROR(IF(AND(SUM(AE15:AE$214)+X14&lt;=AD$10,W14&lt;=AD$12,SUM(Z14:AD14)=0),X14,0),0)</f>
        <v>0</v>
      </c>
      <c r="AF14">
        <f>IFERROR(IF(AND(W14&lt;=AD$12+10,AF$12-X14&gt;=0,SUM(Z14:AE14)=0),X14,0),0)</f>
        <v>0</v>
      </c>
      <c r="AG14">
        <f t="shared" ref="AG14:AG45" si="9">IF(SUM(Z14:AF14)&gt;0,0,X14)</f>
        <v>0</v>
      </c>
      <c r="AI14">
        <f>ROUNDUP(Z14,0)+IF(SUM(AA14:AB14)&gt;0,AB$10,0)+IF(AD14&gt;0,ROUNDUP(AD14+AB$10,0),0)+IF(SUM(AE14:AF14)&gt;0,AE$10,0)</f>
        <v>0</v>
      </c>
      <c r="AJ14" s="493">
        <f>AG14</f>
        <v>0</v>
      </c>
      <c r="AK14" s="517">
        <f>ROUNDUP(AJ14,0)</f>
        <v>0</v>
      </c>
      <c r="AL14">
        <f>_xlfn.MAXIFS(AJ$14:AJ$213,AK$14:AK$213,AK14)</f>
        <v>0</v>
      </c>
      <c r="AM14">
        <f>IF(AL14&gt;1,AL14-ROUNDDOWN(AL14,0),AL14)</f>
        <v>0</v>
      </c>
      <c r="AN14">
        <f>IF(AM14&gt;AN12,AI12+1,0)</f>
        <v>0</v>
      </c>
      <c r="AP14">
        <f t="shared" ref="AP14:AP45" si="10">IF(AN14+AI14&gt;0,0,X14)</f>
        <v>0</v>
      </c>
      <c r="AQ14">
        <f>IF(AP14&gt;0,IF(MAX(AQ15:AQ$214)+AP14&gt;ROUNDUP(MAX(AQ15:AQ$214),0),ROUNDUP(MAX(AQ15:AQ$214),0)+AP14,MAX(AQ15:AQ$214)+AP14),0)</f>
        <v>0</v>
      </c>
      <c r="AR14">
        <f>IF(AP14&gt;0,ROUNDUP(AQ14,0)+AR$12,IF(AN14&gt;0,AN14,0)+AI14)</f>
        <v>0</v>
      </c>
      <c r="AS14">
        <f>_xlfn.MAXIFS(W14:W213,AR14:AR213,AR14)</f>
        <v>0</v>
      </c>
      <c r="AT14">
        <f t="shared" ref="AT14:AT45" si="11">_xlfn.SINGLE(_xlfn.XLOOKUP(AR14,BK$4:BK$48,BJ$4:BJ$48,0))</f>
        <v>10</v>
      </c>
      <c r="AV14">
        <v>12</v>
      </c>
      <c r="AW14">
        <f t="shared" si="5"/>
        <v>0</v>
      </c>
      <c r="AX14">
        <f t="shared" si="6"/>
        <v>0</v>
      </c>
      <c r="AY14" s="496">
        <f>IF(AND(AX14=AX$2,SUM(AY$3:AY13)=0,AW14=AZ$2),AV14,)</f>
        <v>0</v>
      </c>
      <c r="AZ14">
        <f>IF(AND(SUM(AZ$3:AZ13)=0,SUM($AY14:AY14)=0,$AX14&lt;=AY$38,$AX14&gt;0,$AW14&gt;-1),$AV14,0)</f>
        <v>0</v>
      </c>
      <c r="BA14">
        <f>IF(AND(SUM(BA$3:BA13)=0,SUM($AY14:AZ14)=0,$AX14&lt;=AZ$38,$AX14&gt;0,$AW14&gt;-1),$AV14,0)</f>
        <v>0</v>
      </c>
      <c r="BB14">
        <f>IF(AND(SUM(BB$3:BB13)=0,SUM($AY14:BA14)=0,$AX14&lt;=BA$38,$AX14&gt;0,$AW14&gt;-1),$AV14,0)</f>
        <v>0</v>
      </c>
      <c r="BC14">
        <f>IF(AND(SUM(BC$3:BC13)=0,SUM($AY14:BB14)=0,$AX14&lt;=BB$38,$AX14&gt;0,$AW14&gt;-1),$AV14,0)</f>
        <v>0</v>
      </c>
      <c r="BD14">
        <f>IF(AND(SUM(BD$3:BD13)=0,SUM($AY14:BC14)=0,$AX14&lt;=BC$38,$AX14&gt;0,$AW14&gt;-1),$AV14,0)</f>
        <v>0</v>
      </c>
      <c r="BE14">
        <f>IF(AND(SUM(BE$3:BE13)=0,SUM($AY14:BD14)=0,$AX14&lt;=BD$38,$AX14&gt;0,$AW14&gt;-1),$AV14,0)</f>
        <v>0</v>
      </c>
      <c r="BF14">
        <f>IF(AND(SUM(BF$3:BF13)=0,SUM($AY14:BE14)=0,$AX14&lt;=BE$38,$AX14&gt;0,$AW14&gt;-1),$AV14,0)</f>
        <v>0</v>
      </c>
      <c r="BG14">
        <f t="shared" si="2"/>
        <v>0</v>
      </c>
      <c r="BH14" s="494">
        <f>IF(AND(BG14&gt;0,BG14&gt;BG$35,BG$35+BF$38&gt;=BG14,SUM(BH15:BH$32)=0),BG14,0)</f>
        <v>0</v>
      </c>
      <c r="BI14">
        <f t="shared" si="3"/>
        <v>0</v>
      </c>
      <c r="BJ14">
        <v>20</v>
      </c>
      <c r="BK14">
        <f>_xlfn.XLOOKUP(BJ14,AY$77:BF$77,AY$75:BF$75,0)</f>
        <v>0</v>
      </c>
      <c r="BL14">
        <f>_xlfn.XLOOKUP(BJ14,AY$77:BF$77,AY$76:BF$76,0)</f>
        <v>0</v>
      </c>
      <c r="BN14" s="493">
        <f>SUMIF(AR$14:AR$213,BK14,X$14:X$213)</f>
        <v>0</v>
      </c>
    </row>
    <row r="15" spans="1:66" x14ac:dyDescent="0.25">
      <c r="A15">
        <v>2</v>
      </c>
      <c r="B15" t="str">
        <f>_xlfn.XLOOKUP(A15,Order!R$12:R$859,Order!C$12:C$859,"")</f>
        <v/>
      </c>
      <c r="C15" t="str">
        <f>_xlfn.XLOOKUP(A15,Order!R$12:R$859,Order!S$12:S$859,"")</f>
        <v/>
      </c>
      <c r="D15" t="str">
        <f>_xlfn.XLOOKUP(A15,Order!R$12:R$859,Order!B$12:B$859,"")</f>
        <v/>
      </c>
      <c r="E15" t="str">
        <f>_xlfn.XLOOKUP(A15,Order!R$12:R$859,Order!P$12:P$859,"")</f>
        <v/>
      </c>
      <c r="F15" t="str">
        <f>_xlfn.XLOOKUP(A15,Order!R$12:R$859,Order!T$12:T$859,"")</f>
        <v/>
      </c>
      <c r="G15" t="str">
        <f>_xlfn.XLOOKUP(A15,Order!R$12:R$859,Order!U$12:U$859,"")</f>
        <v/>
      </c>
      <c r="H15" t="str">
        <f>_xlfn.XLOOKUP(A15,Order!R$12:R$859,Order!B$12:B$859,"")</f>
        <v/>
      </c>
      <c r="I15" t="str">
        <f>_xlfn.XLOOKUP(A15,Order!R$12:R$859,Order!V$12:V$859,"")</f>
        <v/>
      </c>
      <c r="J15" t="str">
        <f>IFERROR(RANK(F15,F$14:F$213,1)+COUNTIF(F$14:F15,F15)-1,"")</f>
        <v/>
      </c>
      <c r="L15" t="str">
        <f>IFERROR(L14+N14,"")</f>
        <v/>
      </c>
      <c r="M15" t="str" cm="1">
        <f t="array" ref="M15">_xlfn.XLOOKUP(A15,J$14:J214,B$14:B214,"")</f>
        <v/>
      </c>
      <c r="N15" t="str" cm="1">
        <f t="array" ref="N15">_xlfn.XLOOKUP(A15,J$14:J214,C$14:C214,"")</f>
        <v/>
      </c>
      <c r="O15" t="str" cm="1">
        <f t="array" ref="O15">_xlfn.XLOOKUP(A15,J$14:J214,E$14:E214,"")</f>
        <v/>
      </c>
      <c r="P15" t="str" cm="1">
        <f t="array" ref="P15">_xlfn.XLOOKUP(A15,J$14:J214,G$14:G214,"")</f>
        <v/>
      </c>
      <c r="Q15" t="str" cm="1">
        <f t="array" ref="Q15">_xlfn.XLOOKUP(A15,J$14:J214,F$14:F214,"")</f>
        <v/>
      </c>
      <c r="R15" t="str" cm="1">
        <f t="array" ref="R15">_xlfn.XLOOKUP(A15,J$14:J214,I$14:I214,"")</f>
        <v/>
      </c>
      <c r="S15" t="str" cm="1">
        <f t="array" ref="S15">_xlfn.XLOOKUP(A15,J$14:J214,H$14:H214,"")</f>
        <v/>
      </c>
      <c r="T15" t="str" cm="1">
        <f t="array" ref="T15">VLOOKUP(ROW(2:2),L$14:S$163,8)</f>
        <v/>
      </c>
      <c r="U15" t="str" cm="1">
        <f t="array" ref="U15">VLOOKUP(ROW(2:2),L$14:M$163,2)</f>
        <v/>
      </c>
      <c r="V15" t="str" cm="1">
        <f t="array" ref="V15">VLOOKUP(ROW(2:2),L$14:O$163,4)</f>
        <v/>
      </c>
      <c r="W15" t="str" cm="1">
        <f t="array" ref="W15">VLOOKUP(ROW(2:2),L$14:Q$163,6)</f>
        <v/>
      </c>
      <c r="X15" cm="1">
        <f t="array" ref="X15">IFERROR(VLOOKUP(ROW(2:2),L$14:P$213,5)+0,0)</f>
        <v>0</v>
      </c>
      <c r="Y15" t="str" cm="1">
        <f t="array" ref="Y15">VLOOKUP(ROW(2:2),L$14:R$163,7)</f>
        <v/>
      </c>
      <c r="Z15">
        <f>IF(Y15&lt;-2,X15+MAX(Z$14:Z14),0)</f>
        <v>0</v>
      </c>
      <c r="AA15">
        <f>IFERROR(IF(AND(SUM(AA16:AA$214)+X15&lt;=Z$10,W15&lt;=Z$12,Z15=0),X15,0),0)</f>
        <v>0</v>
      </c>
      <c r="AB15">
        <f>IFERROR(IF(AND(W15&lt;=Z$12+10,AB$12-X15&gt;=0,SUM(Z15:AA15)=0,SUM(AB$14:AB14)+X15&lt;AB$12),X15,0),0)</f>
        <v>0</v>
      </c>
      <c r="AD15">
        <f>IF(AND(Y15=-2,SUM(Z15:AB15)=0),X15+MAX(AD$14:AD14),0)</f>
        <v>0</v>
      </c>
      <c r="AE15">
        <f>IFERROR(IF(AND(SUM(AE16:AE$214)+X15&lt;=AD$10,W15&lt;=AD$12,SUM(Z15:AD15)=0),X15,0),0)</f>
        <v>0</v>
      </c>
      <c r="AF15">
        <f>IFERROR(IF(AND(W15&lt;=AD$12+10,AF$12-X15&gt;=0,SUM(Z15:AE15)=0,SUM(AF$14:AF14)+X15&lt;AF$12),X15,0),0)</f>
        <v>0</v>
      </c>
      <c r="AG15">
        <f t="shared" si="9"/>
        <v>0</v>
      </c>
      <c r="AI15">
        <f>ROUNDUP(Z15,0)+IF(SUM(AA15:AB15)&gt;0,AB$10,0)+IF(AD15&gt;0,ROUNDUP(AD15+AB$10,0),0)+IF(SUM(AE15:AF15)&gt;0,AE$10,0)</f>
        <v>0</v>
      </c>
      <c r="AJ15" s="493">
        <f>IF(AG15=0,0,IF(W15&lt;&gt;W14,AG15,IF(AG15+AJ14&gt;ROUNDUP(AJ14,0),ROUNDUP(AJ14,0)+AG15,AJ14+AG15)))</f>
        <v>0</v>
      </c>
      <c r="AK15">
        <f>IF(AJ15=0,0,IF(AJ14=0,MAX(AK$13:AK14)+1,IF(W15&lt;&gt;W14,MAX(AK$14:AK14)+1,IF(ROUNDDOWN(AJ15-0.01,0)=ROUNDDOWN(AJ14-0.01,0),AK14,AK14+1))))</f>
        <v>0</v>
      </c>
      <c r="AL15">
        <f>_xlfn.MAXIFS(AJ$14:AJ$213,AK$14:AK$213,AK15)</f>
        <v>0</v>
      </c>
      <c r="AM15">
        <f>IF(AL15&gt;1,AL15-ROUNDDOWN(AL15,0),AL15)</f>
        <v>0</v>
      </c>
      <c r="AN15">
        <f>IF(AM15&gt;AN$12,IF(AK15=AK14,AN14,MAX(AN$13:AN14)+1),0)</f>
        <v>0</v>
      </c>
      <c r="AP15">
        <f>IF(AN15+AI15&gt;0,0,X15)</f>
        <v>0</v>
      </c>
      <c r="AQ15">
        <f>IF(AP15&gt;0,IF(MAX(AQ16:AQ$214)+AP15&gt;ROUNDUP(MAX(AQ16:AQ$214),0),ROUNDUP(MAX(AQ16:AQ$214),0)+AP15,MAX(AQ16:AQ$214)+AP15),0)</f>
        <v>0</v>
      </c>
      <c r="AR15">
        <f t="shared" ref="AR15:AR78" si="12">IF(AP15&gt;0,ROUNDUP(AQ15,0)+AR$12,IF(AN15&gt;0,AN15,0)+AI15)</f>
        <v>0</v>
      </c>
      <c r="AS15">
        <f>_xlfn.MAXIFS(W15:W214,AR15:AR214,AR15)</f>
        <v>0</v>
      </c>
      <c r="AT15">
        <f>_xlfn.XLOOKUP(AR15,BK$4:BK$48,BJ$4:BJ$48,0)</f>
        <v>10</v>
      </c>
      <c r="AV15">
        <v>13</v>
      </c>
      <c r="AW15">
        <f t="shared" si="5"/>
        <v>0</v>
      </c>
      <c r="AX15">
        <f t="shared" si="6"/>
        <v>0</v>
      </c>
      <c r="AY15" s="496">
        <f>IF(AND(AX15=AX$2,SUM(AY$3:AY14)=0,AW15=AZ$2),AV15,)</f>
        <v>0</v>
      </c>
      <c r="AZ15">
        <f>IF(AND(SUM(AZ$3:AZ14)=0,SUM($AY15:AY15)=0,$AX15&lt;=AY$38,$AX15&gt;0,$AW15&gt;-1),$AV15,0)</f>
        <v>0</v>
      </c>
      <c r="BA15">
        <f>IF(AND(SUM(BA$3:BA14)=0,SUM($AY15:AZ15)=0,$AX15&lt;=AZ$38,$AX15&gt;0,$AW15&gt;-1),$AV15,0)</f>
        <v>0</v>
      </c>
      <c r="BB15">
        <f>IF(AND(SUM(BB$3:BB14)=0,SUM($AY15:BA15)=0,$AX15&lt;=BA$38,$AX15&gt;0,$AW15&gt;-1),$AV15,0)</f>
        <v>0</v>
      </c>
      <c r="BC15">
        <f>IF(AND(SUM(BC$3:BC14)=0,SUM($AY15:BB15)=0,$AX15&lt;=BB$38,$AX15&gt;0,$AW15&gt;-1),$AV15,0)</f>
        <v>0</v>
      </c>
      <c r="BD15">
        <f>IF(AND(SUM(BD$3:BD14)=0,SUM($AY15:BC15)=0,$AX15&lt;=BC$38,$AX15&gt;0,$AW15&gt;-1),$AV15,0)</f>
        <v>0</v>
      </c>
      <c r="BE15">
        <f>IF(AND(SUM(BE$3:BE14)=0,SUM($AY15:BD15)=0,$AX15&lt;=BD$38,$AX15&gt;0,$AW15&gt;-1),$AV15,0)</f>
        <v>0</v>
      </c>
      <c r="BF15">
        <f>IF(AND(SUM(BF$3:BF14)=0,SUM($AY15:BE15)=0,$AX15&lt;=BE$38,$AX15&gt;0,$AW15&gt;-1),$AV15,0)</f>
        <v>0</v>
      </c>
      <c r="BG15">
        <f t="shared" si="2"/>
        <v>0</v>
      </c>
      <c r="BH15" s="494">
        <f>IF(AND(BG15&gt;0,BG15&gt;BG$35,BG$35+BF$38&gt;=BG15,SUM(BH16:BH$32)=0),BG15,0)</f>
        <v>0</v>
      </c>
      <c r="BI15">
        <f t="shared" si="3"/>
        <v>0</v>
      </c>
      <c r="BJ15">
        <v>21</v>
      </c>
      <c r="BK15">
        <f t="shared" ref="BK15:BK21" si="13">_xlfn.SINGLE(_xlfn.XLOOKUP(BJ15,AY$77:BF$77,AY$75:BF$75,0))</f>
        <v>0</v>
      </c>
      <c r="BL15">
        <f t="shared" ref="BL15:BL21" si="14">_xlfn.SINGLE(_xlfn.XLOOKUP(BJ15,AY$77:BF$77,AY$76:BF$76,0))</f>
        <v>0</v>
      </c>
      <c r="BM15">
        <f>IF(BL15=0,0,(BL14-15)/5+BM14)</f>
        <v>0</v>
      </c>
      <c r="BN15" s="493">
        <f t="shared" ref="BN15:BN48" si="15">SUMIF(AR$14:AR$213,BK15,X$14:X$213)</f>
        <v>0</v>
      </c>
    </row>
    <row r="16" spans="1:66" x14ac:dyDescent="0.25">
      <c r="A16">
        <v>3</v>
      </c>
      <c r="B16" t="str">
        <f>_xlfn.XLOOKUP(A16,Order!R$12:R$859,Order!C$12:C$859,"")</f>
        <v/>
      </c>
      <c r="C16" t="str">
        <f>_xlfn.XLOOKUP(A16,Order!R$12:R$859,Order!S$12:S$859,"")</f>
        <v/>
      </c>
      <c r="D16" t="str">
        <f>_xlfn.XLOOKUP(A16,Order!R$12:R$859,Order!B$12:B$859,"")</f>
        <v/>
      </c>
      <c r="E16" t="str">
        <f>_xlfn.XLOOKUP(A16,Order!R$12:R$859,Order!P$12:P$859,"")</f>
        <v/>
      </c>
      <c r="F16" t="str">
        <f>_xlfn.XLOOKUP(A16,Order!R$12:R$859,Order!T$12:T$859,"")</f>
        <v/>
      </c>
      <c r="G16" t="str">
        <f>_xlfn.XLOOKUP(A16,Order!R$12:R$859,Order!U$12:U$859,"")</f>
        <v/>
      </c>
      <c r="H16" t="str">
        <f>_xlfn.XLOOKUP(A16,Order!R$12:R$859,Order!B$12:B$859,"")</f>
        <v/>
      </c>
      <c r="I16" t="str">
        <f>_xlfn.XLOOKUP(A16,Order!R$12:R$859,Order!V$12:V$859,"")</f>
        <v/>
      </c>
      <c r="J16" t="str">
        <f>IFERROR(RANK(F16,F$14:F$213,1)+COUNTIF(F$14:F16,F16)-1,"")</f>
        <v/>
      </c>
      <c r="L16" t="str">
        <f>IFERROR(L15+N15,"")</f>
        <v/>
      </c>
      <c r="M16" t="str" cm="1">
        <f t="array" ref="M16">_xlfn.XLOOKUP(A16,J$14:J215,B$14:B215,"")</f>
        <v/>
      </c>
      <c r="N16" t="str" cm="1">
        <f t="array" ref="N16">_xlfn.XLOOKUP(A16,J$14:J215,C$14:C215,"")</f>
        <v/>
      </c>
      <c r="O16" t="str" cm="1">
        <f t="array" ref="O16">_xlfn.XLOOKUP(A16,J$14:J215,E$14:E215,"")</f>
        <v/>
      </c>
      <c r="P16" t="str" cm="1">
        <f t="array" ref="P16">_xlfn.XLOOKUP(A16,J$14:J215,G$14:G215,"")</f>
        <v/>
      </c>
      <c r="Q16" t="str" cm="1">
        <f t="array" ref="Q16">_xlfn.XLOOKUP(A16,J$14:J215,F$14:F215,"")</f>
        <v/>
      </c>
      <c r="R16" t="str" cm="1">
        <f t="array" ref="R16">_xlfn.XLOOKUP(A16,J$14:J215,I$14:I215,"")</f>
        <v/>
      </c>
      <c r="S16" t="str" cm="1">
        <f t="array" ref="S16">_xlfn.XLOOKUP(A16,J$14:J215,H$14:H215,"")</f>
        <v/>
      </c>
      <c r="T16" t="str" cm="1">
        <f t="array" ref="T16">VLOOKUP(ROW(3:3),L$14:S$163,8)</f>
        <v/>
      </c>
      <c r="U16" t="str" cm="1">
        <f t="array" ref="U16">VLOOKUP(ROW(3:3),L$14:M$163,2)</f>
        <v/>
      </c>
      <c r="V16" t="str" cm="1">
        <f t="array" ref="V16">VLOOKUP(ROW(3:3),L$14:O$163,4)</f>
        <v/>
      </c>
      <c r="W16" t="str" cm="1">
        <f t="array" ref="W16">VLOOKUP(ROW(3:3),L$14:Q$163,6)</f>
        <v/>
      </c>
      <c r="X16" cm="1">
        <f t="array" ref="X16">IFERROR(VLOOKUP(ROW(3:3),L$14:P$213,5)+0,0)</f>
        <v>0</v>
      </c>
      <c r="Y16" t="str" cm="1">
        <f t="array" ref="Y16">VLOOKUP(ROW(3:3),L$14:R$163,7)</f>
        <v/>
      </c>
      <c r="Z16">
        <f>IF(Y16&lt;-2,X16+MAX(Z$14:Z15),0)</f>
        <v>0</v>
      </c>
      <c r="AA16">
        <f>IFERROR(IF(AND(SUM(AA17:AA$214)+X16&lt;=Z$10,W16&lt;=Z$12,Z16=0),X16,0),0)</f>
        <v>0</v>
      </c>
      <c r="AB16">
        <f>IFERROR(IF(AND(W16&lt;=Z$12+10,AB$12-X16&gt;=0,SUM(Z16:AA16)=0,SUM(AB$14:AB15)+X16&lt;AB$12),X16,0),0)</f>
        <v>0</v>
      </c>
      <c r="AD16">
        <f>IF(AND(Y16=-2,SUM(Z16:AB16)=0),X16+MAX(AD$14:AD15),0)</f>
        <v>0</v>
      </c>
      <c r="AE16">
        <f>IFERROR(IF(AND(SUM(AE17:AE$214)+X16&lt;=AD$10,W16&lt;=AD$12,SUM(Z16:AD16)=0),X16,0),0)</f>
        <v>0</v>
      </c>
      <c r="AF16">
        <f>IFERROR(IF(AND(W16&lt;=AD$12+10,AF$12-X16&gt;=0,SUM(Z16:AE16)=0,SUM(AF$14:AF15)+X16&lt;AF$12),X16,0),0)</f>
        <v>0</v>
      </c>
      <c r="AG16">
        <f t="shared" si="9"/>
        <v>0</v>
      </c>
      <c r="AI16">
        <f t="shared" ref="AI16:AI45" si="16">ROUNDUP(Z16,0)+IF(SUM(AA16:AB16)&gt;0,AB$10,0)+IF(AD16&gt;0,ROUNDUP(AD16+AB$10,0),0)+IF(SUM(AE16:AF16)&gt;0,AE$10,0)</f>
        <v>0</v>
      </c>
      <c r="AJ16" s="493">
        <f t="shared" ref="AJ16:AJ79" si="17">IF(AG16=0,0,IF(W16&lt;&gt;W15,AG16,IF(AG16+AJ15&gt;ROUNDUP(AJ15,0),ROUNDUP(AJ15,0)+AG16,AJ15+AG16)))</f>
        <v>0</v>
      </c>
      <c r="AK16">
        <f>IF(AJ16=0,0,IF(AJ15=0,MAX(AK$13:AK15)+1,IF(W16&lt;&gt;W15,MAX(AK$14:AK15)+1,IF(ROUNDDOWN(AJ16-0.01,0)=ROUNDDOWN(AJ15-0.01,0),AK15,AK15+1))))</f>
        <v>0</v>
      </c>
      <c r="AL16">
        <f t="shared" ref="AL16:AL78" si="18">_xlfn.MAXIFS(AJ$14:AJ$213,AK$14:AK$213,AK16)</f>
        <v>0</v>
      </c>
      <c r="AM16">
        <f t="shared" ref="AM16:AM78" si="19">IF(AL16&gt;1,AL16-ROUNDDOWN(AL16,0),AL16)</f>
        <v>0</v>
      </c>
      <c r="AN16">
        <f>IF(AM16&gt;AN$12,IF(AK16=AK15,AN15,MAX(AN$13:AN15)+1),0)</f>
        <v>0</v>
      </c>
      <c r="AP16">
        <f t="shared" si="10"/>
        <v>0</v>
      </c>
      <c r="AQ16">
        <f>IF(AP16&gt;0,IF(MAX(AQ17:AQ$214)+AP16&gt;ROUNDUP(MAX(AQ17:AQ$214),0),ROUNDUP(MAX(AQ17:AQ$214),0)+AP16,MAX(AQ17:AQ$214)+AP16),0)</f>
        <v>0</v>
      </c>
      <c r="AR16">
        <f t="shared" si="12"/>
        <v>0</v>
      </c>
      <c r="AS16">
        <f t="shared" ref="AS16:AS45" si="20">_xlfn.MAXIFS(W16:W215,AR16:AR215,AR16)</f>
        <v>0</v>
      </c>
      <c r="AT16">
        <f t="shared" si="11"/>
        <v>10</v>
      </c>
      <c r="AV16">
        <v>14</v>
      </c>
      <c r="AW16">
        <f t="shared" si="5"/>
        <v>0</v>
      </c>
      <c r="AX16">
        <f t="shared" si="6"/>
        <v>0</v>
      </c>
      <c r="AY16" s="496">
        <f>IF(AND(AX16=AX$2,SUM(AY$3:AY15)=0,AW16=AZ$2),AV16,)</f>
        <v>0</v>
      </c>
      <c r="AZ16">
        <f>IF(AND(SUM(AZ$3:AZ15)=0,SUM($AY16:AY16)=0,$AX16&lt;=AY$38,$AX16&gt;0,$AW16&gt;-1),$AV16,0)</f>
        <v>0</v>
      </c>
      <c r="BA16">
        <f>IF(AND(SUM(BA$3:BA15)=0,SUM($AY16:AZ16)=0,$AX16&lt;=AZ$38,$AX16&gt;0,$AW16&gt;-1),$AV16,0)</f>
        <v>0</v>
      </c>
      <c r="BB16">
        <f>IF(AND(SUM(BB$3:BB15)=0,SUM($AY16:BA16)=0,$AX16&lt;=BA$38,$AX16&gt;0,$AW16&gt;-1),$AV16,0)</f>
        <v>0</v>
      </c>
      <c r="BC16">
        <f>IF(AND(SUM(BC$3:BC15)=0,SUM($AY16:BB16)=0,$AX16&lt;=BB$38,$AX16&gt;0,$AW16&gt;-1),$AV16,0)</f>
        <v>0</v>
      </c>
      <c r="BD16">
        <f>IF(AND(SUM(BD$3:BD15)=0,SUM($AY16:BC16)=0,$AX16&lt;=BC$38,$AX16&gt;0,$AW16&gt;-1),$AV16,0)</f>
        <v>0</v>
      </c>
      <c r="BE16">
        <f>IF(AND(SUM(BE$3:BE15)=0,SUM($AY16:BD16)=0,$AX16&lt;=BD$38,$AX16&gt;0,$AW16&gt;-1),$AV16,0)</f>
        <v>0</v>
      </c>
      <c r="BF16">
        <f>IF(AND(SUM(BF$3:BF15)=0,SUM($AY16:BE16)=0,$AX16&lt;=BE$38,$AX16&gt;0,$AW16&gt;-1),$AV16,0)</f>
        <v>0</v>
      </c>
      <c r="BG16">
        <f t="shared" si="2"/>
        <v>0</v>
      </c>
      <c r="BH16" s="494">
        <f>IF(AND(BG16&gt;0,BG16&gt;BG$35,BG$35+BF$38&gt;=BG16,SUM(BH17:BH$32)=0),BG16,0)</f>
        <v>0</v>
      </c>
      <c r="BI16">
        <f t="shared" si="3"/>
        <v>0</v>
      </c>
      <c r="BJ16">
        <v>22</v>
      </c>
      <c r="BK16">
        <f t="shared" si="13"/>
        <v>0</v>
      </c>
      <c r="BL16">
        <f t="shared" si="14"/>
        <v>0</v>
      </c>
      <c r="BM16">
        <f t="shared" ref="BM16:BM21" si="21">IF(BL16=0,0,(BL15)/5+BM15)</f>
        <v>0</v>
      </c>
      <c r="BN16" s="493">
        <f t="shared" si="15"/>
        <v>0</v>
      </c>
    </row>
    <row r="17" spans="1:66" x14ac:dyDescent="0.25">
      <c r="A17">
        <v>4</v>
      </c>
      <c r="B17" t="str">
        <f>_xlfn.XLOOKUP(A17,Order!R$12:R$859,Order!C$12:C$859,"")</f>
        <v/>
      </c>
      <c r="C17" t="str">
        <f>_xlfn.XLOOKUP(A17,Order!R$12:R$859,Order!S$12:S$859,"")</f>
        <v/>
      </c>
      <c r="D17" t="str">
        <f>_xlfn.XLOOKUP(A17,Order!R$12:R$859,Order!B$12:B$859,"")</f>
        <v/>
      </c>
      <c r="E17" t="str">
        <f>_xlfn.XLOOKUP(A17,Order!R$12:R$859,Order!P$12:P$859,"")</f>
        <v/>
      </c>
      <c r="F17" t="str">
        <f>_xlfn.XLOOKUP(A17,Order!R$12:R$859,Order!T$12:T$859,"")</f>
        <v/>
      </c>
      <c r="G17" t="str">
        <f>_xlfn.XLOOKUP(A17,Order!R$12:R$859,Order!U$12:U$859,"")</f>
        <v/>
      </c>
      <c r="H17" t="str">
        <f>_xlfn.XLOOKUP(A17,Order!R$12:R$859,Order!B$12:B$859,"")</f>
        <v/>
      </c>
      <c r="I17" t="str">
        <f>_xlfn.XLOOKUP(A17,Order!R$12:R$859,Order!V$12:V$859,"")</f>
        <v/>
      </c>
      <c r="J17" t="str">
        <f>IFERROR(RANK(F17,F$14:F$213,1)+COUNTIF(F$14:F17,F17)-1,"")</f>
        <v/>
      </c>
      <c r="L17" t="str">
        <f>IFERROR(L16+N16,"")</f>
        <v/>
      </c>
      <c r="M17" t="str" cm="1">
        <f t="array" ref="M17">_xlfn.XLOOKUP(A17,J$14:J216,B$14:B216,"")</f>
        <v/>
      </c>
      <c r="N17" t="str" cm="1">
        <f t="array" ref="N17">_xlfn.XLOOKUP(A17,J$14:J216,C$14:C216,"")</f>
        <v/>
      </c>
      <c r="O17" t="str" cm="1">
        <f t="array" ref="O17">_xlfn.XLOOKUP(A17,J$14:J216,E$14:E216,"")</f>
        <v/>
      </c>
      <c r="P17" t="str" cm="1">
        <f t="array" ref="P17">_xlfn.XLOOKUP(A17,J$14:J216,G$14:G216,"")</f>
        <v/>
      </c>
      <c r="Q17" t="str" cm="1">
        <f t="array" ref="Q17">_xlfn.XLOOKUP(A17,J$14:J216,F$14:F216,"")</f>
        <v/>
      </c>
      <c r="R17" t="str" cm="1">
        <f t="array" ref="R17">_xlfn.XLOOKUP(A17,J$14:J216,I$14:I216,"")</f>
        <v/>
      </c>
      <c r="S17" t="str" cm="1">
        <f t="array" ref="S17">_xlfn.XLOOKUP(A17,J$14:J216,H$14:H216,"")</f>
        <v/>
      </c>
      <c r="T17" t="str" cm="1">
        <f t="array" ref="T17">VLOOKUP(ROW(4:4),L$14:S$163,8)</f>
        <v/>
      </c>
      <c r="U17" t="str" cm="1">
        <f t="array" ref="U17">VLOOKUP(ROW(4:4),L$14:M$163,2)</f>
        <v/>
      </c>
      <c r="V17" t="str" cm="1">
        <f t="array" ref="V17">VLOOKUP(ROW(4:4),L$14:O$163,4)</f>
        <v/>
      </c>
      <c r="W17" t="str" cm="1">
        <f t="array" ref="W17">VLOOKUP(ROW(4:4),L$14:Q$163,6)</f>
        <v/>
      </c>
      <c r="X17" cm="1">
        <f t="array" ref="X17">IFERROR(VLOOKUP(ROW(4:4),L$14:P$213,5)+0,0)</f>
        <v>0</v>
      </c>
      <c r="Y17" t="str" cm="1">
        <f t="array" ref="Y17">VLOOKUP(ROW(4:4),L$14:R$163,7)</f>
        <v/>
      </c>
      <c r="Z17">
        <f>IF(Y17&lt;-2,X17+MAX(Z$14:Z16),0)</f>
        <v>0</v>
      </c>
      <c r="AA17">
        <f>IFERROR(IF(AND(SUM(AA18:AA$214)+X17&lt;=Z$10,W17&lt;=Z$12,Z17=0),X17,0),0)</f>
        <v>0</v>
      </c>
      <c r="AB17">
        <f>IFERROR(IF(AND(W17&lt;=Z$12+10,AB$12-X17&gt;=0,SUM(Z17:AA17)=0,SUM(AB$14:AB16)+X17&lt;AB$12),X17,0),0)</f>
        <v>0</v>
      </c>
      <c r="AD17">
        <f>IF(AND(Y17=-2,SUM(Z17:AB17)=0),X17+MAX(AD$14:AD16),0)</f>
        <v>0</v>
      </c>
      <c r="AE17">
        <f>IFERROR(IF(AND(SUM(AE18:AE$214)+X17&lt;=AD$10,W17&lt;=AD$12,SUM(Z17:AD17)=0),X17,0),0)</f>
        <v>0</v>
      </c>
      <c r="AF17">
        <f>IFERROR(IF(AND(W17&lt;=AD$12+10,AF$12-X17&gt;=0,SUM(Z17:AE17)=0,SUM(AF$14:AF16)+X17&lt;AF$12),X17,0),0)</f>
        <v>0</v>
      </c>
      <c r="AG17">
        <f t="shared" si="9"/>
        <v>0</v>
      </c>
      <c r="AI17">
        <f t="shared" si="16"/>
        <v>0</v>
      </c>
      <c r="AJ17" s="493">
        <f t="shared" si="17"/>
        <v>0</v>
      </c>
      <c r="AK17">
        <f>IF(AJ17=0,0,IF(AJ16=0,MAX(AK$13:AK16)+1,IF(W17&lt;&gt;W16,MAX(AK$14:AK16)+1,IF(ROUNDDOWN(AJ17-0.01,0)=ROUNDDOWN(AJ16-0.01,0),AK16,AK16+1))))</f>
        <v>0</v>
      </c>
      <c r="AL17">
        <f t="shared" si="18"/>
        <v>0</v>
      </c>
      <c r="AM17">
        <f t="shared" si="19"/>
        <v>0</v>
      </c>
      <c r="AN17">
        <f>IF(AM17&gt;AN$12,IF(AK17=AK16,AN16,MAX(AN$13:AN16)+1),0)</f>
        <v>0</v>
      </c>
      <c r="AP17">
        <f t="shared" si="10"/>
        <v>0</v>
      </c>
      <c r="AQ17">
        <f>IF(AP17&gt;0,IF(MAX(AQ18:AQ$214)+AP17&gt;ROUNDUP(MAX(AQ18:AQ$214),0),ROUNDUP(MAX(AQ18:AQ$214),0)+AP17,MAX(AQ18:AQ$214)+AP17),0)</f>
        <v>0</v>
      </c>
      <c r="AR17">
        <f t="shared" si="12"/>
        <v>0</v>
      </c>
      <c r="AS17">
        <f t="shared" si="20"/>
        <v>0</v>
      </c>
      <c r="AT17">
        <f t="shared" si="11"/>
        <v>10</v>
      </c>
      <c r="AV17">
        <v>15</v>
      </c>
      <c r="AW17">
        <f t="shared" si="5"/>
        <v>0</v>
      </c>
      <c r="AX17">
        <f t="shared" si="6"/>
        <v>0</v>
      </c>
      <c r="AY17" s="496">
        <f>IF(AND(AX17=AX$2,SUM(AY$3:AY16)=0,AW17=AZ$2),AV17,)</f>
        <v>0</v>
      </c>
      <c r="AZ17">
        <f>IF(AND(SUM(AZ$3:AZ16)=0,SUM($AY17:AY17)=0,$AX17&lt;=AY$38,$AX17&gt;0,$AW17&gt;-1),$AV17,0)</f>
        <v>0</v>
      </c>
      <c r="BA17">
        <f>IF(AND(SUM(BA$3:BA16)=0,SUM($AY17:AZ17)=0,$AX17&lt;=AZ$38,$AX17&gt;0,$AW17&gt;-1),$AV17,0)</f>
        <v>0</v>
      </c>
      <c r="BB17">
        <f>IF(AND(SUM(BB$3:BB16)=0,SUM($AY17:BA17)=0,$AX17&lt;=BA$38,$AX17&gt;0,$AW17&gt;-1),$AV17,0)</f>
        <v>0</v>
      </c>
      <c r="BC17">
        <f>IF(AND(SUM(BC$3:BC16)=0,SUM($AY17:BB17)=0,$AX17&lt;=BB$38,$AX17&gt;0,$AW17&gt;-1),$AV17,0)</f>
        <v>0</v>
      </c>
      <c r="BD17">
        <f>IF(AND(SUM(BD$3:BD16)=0,SUM($AY17:BC17)=0,$AX17&lt;=BC$38,$AX17&gt;0,$AW17&gt;-1),$AV17,0)</f>
        <v>0</v>
      </c>
      <c r="BE17">
        <f>IF(AND(SUM(BE$3:BE16)=0,SUM($AY17:BD17)=0,$AX17&lt;=BD$38,$AX17&gt;0,$AW17&gt;-1),$AV17,0)</f>
        <v>0</v>
      </c>
      <c r="BF17">
        <f>IF(AND(SUM(BF$3:BF16)=0,SUM($AY17:BE17)=0,$AX17&lt;=BE$38,$AX17&gt;0,$AW17&gt;-1),$AV17,0)</f>
        <v>0</v>
      </c>
      <c r="BG17">
        <f t="shared" si="2"/>
        <v>0</v>
      </c>
      <c r="BH17" s="494">
        <f>IF(AND(BG17&gt;0,BG17&gt;BG$35,BG$35+BF$38&gt;=BG17,SUM(BH18:BH$32)=0),BG17,0)</f>
        <v>0</v>
      </c>
      <c r="BI17">
        <f t="shared" si="3"/>
        <v>0</v>
      </c>
      <c r="BJ17">
        <v>23</v>
      </c>
      <c r="BK17">
        <f t="shared" si="13"/>
        <v>0</v>
      </c>
      <c r="BL17">
        <f t="shared" si="14"/>
        <v>0</v>
      </c>
      <c r="BM17">
        <f t="shared" si="21"/>
        <v>0</v>
      </c>
      <c r="BN17" s="493">
        <f t="shared" si="15"/>
        <v>0</v>
      </c>
    </row>
    <row r="18" spans="1:66" x14ac:dyDescent="0.25">
      <c r="A18">
        <v>5</v>
      </c>
      <c r="B18" t="str">
        <f>_xlfn.XLOOKUP(A18,Order!R$12:R$859,Order!C$12:C$859,"")</f>
        <v/>
      </c>
      <c r="C18" t="str">
        <f>_xlfn.XLOOKUP(A18,Order!R$12:R$859,Order!S$12:S$859,"")</f>
        <v/>
      </c>
      <c r="D18" t="str">
        <f>_xlfn.XLOOKUP(A18,Order!R$12:R$859,Order!B$12:B$859,"")</f>
        <v/>
      </c>
      <c r="E18" t="str">
        <f>_xlfn.XLOOKUP(A18,Order!R$12:R$859,Order!P$12:P$859,"")</f>
        <v/>
      </c>
      <c r="F18" t="str">
        <f>_xlfn.XLOOKUP(A18,Order!R$12:R$859,Order!T$12:T$859,"")</f>
        <v/>
      </c>
      <c r="G18" t="str">
        <f>_xlfn.XLOOKUP(A18,Order!R$12:R$859,Order!U$12:U$859,"")</f>
        <v/>
      </c>
      <c r="H18" t="str">
        <f>_xlfn.XLOOKUP(A18,Order!R$12:R$859,Order!B$12:B$859,"")</f>
        <v/>
      </c>
      <c r="I18" t="str">
        <f>_xlfn.XLOOKUP(A18,Order!R$12:R$859,Order!V$12:V$859,"")</f>
        <v/>
      </c>
      <c r="J18" t="str">
        <f>IFERROR(RANK(F18,F$14:F$213,1)+COUNTIF(F$14:F18,F18)-1,"")</f>
        <v/>
      </c>
      <c r="L18" t="str">
        <f>IFERROR(L17+N17,"")</f>
        <v/>
      </c>
      <c r="M18" t="str" cm="1">
        <f t="array" ref="M18">_xlfn.XLOOKUP(A18,J$14:J217,B$14:B217,"")</f>
        <v/>
      </c>
      <c r="N18" t="str" cm="1">
        <f t="array" ref="N18">_xlfn.XLOOKUP(A18,J$14:J217,C$14:C217,"")</f>
        <v/>
      </c>
      <c r="O18" t="str" cm="1">
        <f t="array" ref="O18">_xlfn.XLOOKUP(A18,J$14:J217,E$14:E217,"")</f>
        <v/>
      </c>
      <c r="P18" t="str" cm="1">
        <f t="array" ref="P18">_xlfn.XLOOKUP(A18,J$14:J217,G$14:G217,"")</f>
        <v/>
      </c>
      <c r="Q18" t="str" cm="1">
        <f t="array" ref="Q18">_xlfn.XLOOKUP(A18,J$14:J217,F$14:F217,"")</f>
        <v/>
      </c>
      <c r="R18" t="str" cm="1">
        <f t="array" ref="R18">_xlfn.XLOOKUP(A18,J$14:J217,I$14:I217,"")</f>
        <v/>
      </c>
      <c r="S18" t="str" cm="1">
        <f t="array" ref="S18">_xlfn.XLOOKUP(A18,J$14:J217,H$14:H217,"")</f>
        <v/>
      </c>
      <c r="T18" t="str" cm="1">
        <f t="array" ref="T18">VLOOKUP(ROW(5:5),L$14:S$163,8)</f>
        <v/>
      </c>
      <c r="U18" t="str" cm="1">
        <f t="array" ref="U18">VLOOKUP(ROW(5:5),L$14:M$163,2)</f>
        <v/>
      </c>
      <c r="V18" t="str" cm="1">
        <f t="array" ref="V18">VLOOKUP(ROW(5:5),L$14:O$163,4)</f>
        <v/>
      </c>
      <c r="W18" t="str" cm="1">
        <f t="array" ref="W18">VLOOKUP(ROW(5:5),L$14:Q$163,6)</f>
        <v/>
      </c>
      <c r="X18" cm="1">
        <f t="array" ref="X18">IFERROR(VLOOKUP(ROW(5:5),L$14:P$213,5)+0,0)</f>
        <v>0</v>
      </c>
      <c r="Y18" t="str" cm="1">
        <f t="array" ref="Y18">VLOOKUP(ROW(5:5),L$14:R$163,7)</f>
        <v/>
      </c>
      <c r="Z18">
        <f>IF(Y18&lt;-2,X18+MAX(Z$14:Z17),0)</f>
        <v>0</v>
      </c>
      <c r="AA18">
        <f>IFERROR(IF(AND(SUM(AA19:AA$214)+X18&lt;=Z$10,W18&lt;=Z$12,Z18=0),X18,0),0)</f>
        <v>0</v>
      </c>
      <c r="AB18">
        <f>IFERROR(IF(AND(W18&lt;=Z$12+10,AB$12-X18&gt;=0,SUM(Z18:AA18)=0,SUM(AB$14:AB17)+X18&lt;AB$12),X18,0),0)</f>
        <v>0</v>
      </c>
      <c r="AD18">
        <f>IF(AND(Y18=-2,SUM(Z18:AB18)=0),X18+MAX(AD$14:AD17),0)</f>
        <v>0</v>
      </c>
      <c r="AE18">
        <f>IFERROR(IF(AND(SUM(AE19:AE$214)+X18&lt;=AD$10,W18&lt;=AD$12,SUM(Z18:AD18)=0),X18,0),0)</f>
        <v>0</v>
      </c>
      <c r="AF18">
        <f>IFERROR(IF(AND(W18&lt;=AD$12+10,AF$12-X18&gt;=0,SUM(Z18:AE18)=0,SUM(AF$14:AF17)+X18&lt;AF$12),X18,0),0)</f>
        <v>0</v>
      </c>
      <c r="AG18">
        <f t="shared" si="9"/>
        <v>0</v>
      </c>
      <c r="AI18">
        <f>ROUNDUP(Z18,0)+IF(SUM(AA18:AB18)&gt;0,AB$10,0)+IF(AD18&gt;0,ROUNDUP(AD18+AB$10,0),0)+IF(SUM(AE18:AF18)&gt;0,AE$10,0)</f>
        <v>0</v>
      </c>
      <c r="AJ18" s="493">
        <f t="shared" si="17"/>
        <v>0</v>
      </c>
      <c r="AK18">
        <f>IF(AJ18=0,0,IF(AJ17=0,MAX(AK$13:AK17)+1,IF(W18&lt;&gt;W17,MAX(AK$14:AK17)+1,IF(ROUNDDOWN(AJ18-0.01,0)=ROUNDDOWN(AJ17-0.01,0),AK17,AK17+1))))</f>
        <v>0</v>
      </c>
      <c r="AL18">
        <f t="shared" si="18"/>
        <v>0</v>
      </c>
      <c r="AM18">
        <f t="shared" si="19"/>
        <v>0</v>
      </c>
      <c r="AN18">
        <f>IF(AM18&gt;AN$12,IF(AK18=AK17,AN17,MAX(AN$13:AN17)+1),0)</f>
        <v>0</v>
      </c>
      <c r="AP18">
        <f t="shared" si="10"/>
        <v>0</v>
      </c>
      <c r="AQ18">
        <f>IF(AP18&gt;0,IF(MAX(AQ19:AQ$214)+AP18&gt;ROUNDUP(MAX(AQ19:AQ$214),0),ROUNDUP(MAX(AQ19:AQ$214),0)+AP18,MAX(AQ19:AQ$214)+AP18),0)</f>
        <v>0</v>
      </c>
      <c r="AR18">
        <f t="shared" si="12"/>
        <v>0</v>
      </c>
      <c r="AS18">
        <f t="shared" si="20"/>
        <v>0</v>
      </c>
      <c r="AT18">
        <f t="shared" si="11"/>
        <v>10</v>
      </c>
      <c r="AV18">
        <v>16</v>
      </c>
      <c r="AW18">
        <f t="shared" si="5"/>
        <v>0</v>
      </c>
      <c r="AX18">
        <f t="shared" si="6"/>
        <v>0</v>
      </c>
      <c r="AY18" s="496">
        <f>IF(AND(AX18=AX$2,SUM(AY$3:AY17)=0,AW18=AZ$2),AV18,)</f>
        <v>0</v>
      </c>
      <c r="AZ18">
        <f>IF(AND(SUM(AZ$3:AZ17)=0,SUM($AY18:AY18)=0,$AX18&lt;=AY$38,$AX18&gt;0,$AW18&gt;-1),$AV18,0)</f>
        <v>0</v>
      </c>
      <c r="BA18">
        <f>IF(AND(SUM(BA$3:BA17)=0,SUM($AY18:AZ18)=0,$AX18&lt;=AZ$38,$AX18&gt;0,$AW18&gt;-1),$AV18,0)</f>
        <v>0</v>
      </c>
      <c r="BB18">
        <f>IF(AND(SUM(BB$3:BB17)=0,SUM($AY18:BA18)=0,$AX18&lt;=BA$38,$AX18&gt;0,$AW18&gt;-1),$AV18,0)</f>
        <v>0</v>
      </c>
      <c r="BC18">
        <f>IF(AND(SUM(BC$3:BC17)=0,SUM($AY18:BB18)=0,$AX18&lt;=BB$38,$AX18&gt;0,$AW18&gt;-1),$AV18,0)</f>
        <v>0</v>
      </c>
      <c r="BD18">
        <f>IF(AND(SUM(BD$3:BD17)=0,SUM($AY18:BC18)=0,$AX18&lt;=BC$38,$AX18&gt;0,$AW18&gt;-1),$AV18,0)</f>
        <v>0</v>
      </c>
      <c r="BE18">
        <f>IF(AND(SUM(BE$3:BE17)=0,SUM($AY18:BD18)=0,$AX18&lt;=BD$38,$AX18&gt;0,$AW18&gt;-1),$AV18,0)</f>
        <v>0</v>
      </c>
      <c r="BF18">
        <f>IF(AND(SUM(BF$3:BF17)=0,SUM($AY18:BE18)=0,$AX18&lt;=BE$38,$AX18&gt;0,$AW18&gt;-1),$AV18,0)</f>
        <v>0</v>
      </c>
      <c r="BG18">
        <f t="shared" si="2"/>
        <v>0</v>
      </c>
      <c r="BH18" s="494">
        <f>IF(AND(BG18&gt;0,BG18&gt;BG$35,BG$35+BF$38&gt;=BG18,SUM(BH19:BH$32)=0),BG18,0)</f>
        <v>0</v>
      </c>
      <c r="BI18">
        <f t="shared" si="3"/>
        <v>0</v>
      </c>
      <c r="BJ18">
        <v>24</v>
      </c>
      <c r="BK18">
        <f t="shared" si="13"/>
        <v>0</v>
      </c>
      <c r="BL18">
        <f t="shared" si="14"/>
        <v>0</v>
      </c>
      <c r="BM18">
        <f t="shared" si="21"/>
        <v>0</v>
      </c>
      <c r="BN18" s="493">
        <f t="shared" si="15"/>
        <v>0</v>
      </c>
    </row>
    <row r="19" spans="1:66" x14ac:dyDescent="0.25">
      <c r="A19">
        <v>6</v>
      </c>
      <c r="B19" t="str">
        <f>_xlfn.XLOOKUP(A19,Order!R$12:R$859,Order!C$12:C$859,"")</f>
        <v/>
      </c>
      <c r="C19" t="str">
        <f>_xlfn.XLOOKUP(A19,Order!R$12:R$859,Order!S$12:S$859,"")</f>
        <v/>
      </c>
      <c r="D19" t="str">
        <f>_xlfn.XLOOKUP(A19,Order!R$12:R$859,Order!B$12:B$859,"")</f>
        <v/>
      </c>
      <c r="E19" t="str">
        <f>_xlfn.XLOOKUP(A19,Order!R$12:R$859,Order!P$12:P$859,"")</f>
        <v/>
      </c>
      <c r="F19" t="str">
        <f>_xlfn.XLOOKUP(A19,Order!R$12:R$859,Order!T$12:T$859,"")</f>
        <v/>
      </c>
      <c r="G19" t="str">
        <f>_xlfn.XLOOKUP(A19,Order!R$12:R$859,Order!U$12:U$859,"")</f>
        <v/>
      </c>
      <c r="H19" t="str">
        <f>_xlfn.XLOOKUP(A19,Order!R$12:R$859,Order!B$12:B$859,"")</f>
        <v/>
      </c>
      <c r="I19" t="str">
        <f>_xlfn.XLOOKUP(A19,Order!R$12:R$859,Order!V$12:V$859,"")</f>
        <v/>
      </c>
      <c r="J19" t="str">
        <f>IFERROR(RANK(F19,F$14:F$213,1)+COUNTIF(F$14:F19,F19)-1,"")</f>
        <v/>
      </c>
      <c r="L19" t="str">
        <f t="shared" ref="L19:L82" si="22">IFERROR(L18+N18,"")</f>
        <v/>
      </c>
      <c r="M19" t="str" cm="1">
        <f t="array" ref="M19">_xlfn.XLOOKUP(A19,J$14:J218,B$14:B218,"")</f>
        <v/>
      </c>
      <c r="N19" t="str" cm="1">
        <f t="array" ref="N19">_xlfn.XLOOKUP(A19,J$14:J218,C$14:C218,"")</f>
        <v/>
      </c>
      <c r="O19" t="str" cm="1">
        <f t="array" ref="O19">_xlfn.XLOOKUP(A19,J$14:J218,E$14:E218,"")</f>
        <v/>
      </c>
      <c r="P19" t="str" cm="1">
        <f t="array" ref="P19">_xlfn.XLOOKUP(A19,J$14:J218,G$14:G218,"")</f>
        <v/>
      </c>
      <c r="Q19" t="str" cm="1">
        <f t="array" ref="Q19">_xlfn.XLOOKUP(A19,J$14:J218,F$14:F218,"")</f>
        <v/>
      </c>
      <c r="R19" t="str" cm="1">
        <f t="array" ref="R19">_xlfn.XLOOKUP(A19,J$14:J218,I$14:I218,"")</f>
        <v/>
      </c>
      <c r="S19" t="str" cm="1">
        <f t="array" ref="S19">_xlfn.XLOOKUP(A19,J$14:J218,H$14:H218,"")</f>
        <v/>
      </c>
      <c r="T19" t="str" cm="1">
        <f t="array" ref="T19">VLOOKUP(ROW(6:6),L$14:S$163,8)</f>
        <v/>
      </c>
      <c r="U19" t="str" cm="1">
        <f t="array" ref="U19">VLOOKUP(ROW(6:6),L$14:M$163,2)</f>
        <v/>
      </c>
      <c r="V19" t="str" cm="1">
        <f t="array" ref="V19">VLOOKUP(ROW(6:6),L$14:O$163,4)</f>
        <v/>
      </c>
      <c r="W19" t="str" cm="1">
        <f t="array" ref="W19">VLOOKUP(ROW(6:6),L$14:Q$163,6)</f>
        <v/>
      </c>
      <c r="X19" cm="1">
        <f t="array" ref="X19">IFERROR(VLOOKUP(ROW(6:6),L$14:P$213,5)+0,0)</f>
        <v>0</v>
      </c>
      <c r="Y19" t="str" cm="1">
        <f t="array" ref="Y19">VLOOKUP(ROW(6:6),L$14:R$163,7)</f>
        <v/>
      </c>
      <c r="Z19">
        <f>IF(Y19&lt;-2,X19+MAX(Z$14:Z18),0)</f>
        <v>0</v>
      </c>
      <c r="AA19">
        <f>IFERROR(IF(AND(SUM(AA20:AA$214)+X19&lt;=Z$10,W19&lt;=Z$12,Z19=0),X19,0),0)</f>
        <v>0</v>
      </c>
      <c r="AB19">
        <f>IFERROR(IF(AND(W19&lt;=Z$12+10,AB$12-X19&gt;=0,SUM(Z19:AA19)=0,SUM(AB$14:AB18)+X19&lt;AB$12),X19,0),0)</f>
        <v>0</v>
      </c>
      <c r="AD19">
        <f>IF(AND(Y19=-2,SUM(Z19:AB19)=0),X19+MAX(AD$14:AD18),0)</f>
        <v>0</v>
      </c>
      <c r="AE19">
        <f>IFERROR(IF(AND(SUM(AE20:AE$214)+X19&lt;=AD$10,W19&lt;=AD$12,SUM(Z19:AD19)=0),X19,0),0)</f>
        <v>0</v>
      </c>
      <c r="AF19">
        <f>IFERROR(IF(AND(W19&lt;=AD$12+10,AF$12-X19&gt;=0,SUM(Z19:AE19)=0,SUM(AF$14:AF18)+X19&lt;AF$12),X19,0),0)</f>
        <v>0</v>
      </c>
      <c r="AG19">
        <f t="shared" si="9"/>
        <v>0</v>
      </c>
      <c r="AI19">
        <f t="shared" si="16"/>
        <v>0</v>
      </c>
      <c r="AJ19" s="493">
        <f t="shared" si="17"/>
        <v>0</v>
      </c>
      <c r="AK19">
        <f>IF(AJ19=0,0,IF(AJ18=0,MAX(AK$13:AK18)+1,IF(W19&lt;&gt;W18,MAX(AK$14:AK18)+1,IF(ROUNDDOWN(AJ19-0.01,0)=ROUNDDOWN(AJ18-0.01,0),AK18,AK18+1))))</f>
        <v>0</v>
      </c>
      <c r="AL19">
        <f t="shared" si="18"/>
        <v>0</v>
      </c>
      <c r="AM19">
        <f t="shared" si="19"/>
        <v>0</v>
      </c>
      <c r="AN19">
        <f>IF(AM19&gt;AN$12,IF(AK19=AK18,AN18,MAX(AN$13:AN18)+1),0)</f>
        <v>0</v>
      </c>
      <c r="AP19">
        <f t="shared" si="10"/>
        <v>0</v>
      </c>
      <c r="AQ19">
        <f>IF(AP19&gt;0,IF(MAX(AQ20:AQ$214)+AP19&gt;ROUNDUP(MAX(AQ20:AQ$214),0),ROUNDUP(MAX(AQ20:AQ$214),0)+AP19,MAX(AQ20:AQ$214)+AP19),0)</f>
        <v>0</v>
      </c>
      <c r="AR19">
        <f t="shared" si="12"/>
        <v>0</v>
      </c>
      <c r="AS19">
        <f t="shared" si="20"/>
        <v>0</v>
      </c>
      <c r="AT19">
        <f t="shared" si="11"/>
        <v>10</v>
      </c>
      <c r="AV19">
        <v>17</v>
      </c>
      <c r="AW19">
        <f t="shared" si="5"/>
        <v>0</v>
      </c>
      <c r="AX19">
        <f t="shared" si="6"/>
        <v>0</v>
      </c>
      <c r="AY19" s="496">
        <f>IF(AND(AX19=AX$2,SUM(AY$3:AY18)=0,AW19=AZ$2),AV19,)</f>
        <v>0</v>
      </c>
      <c r="AZ19">
        <f>IF(AND(SUM(AZ$3:AZ18)=0,SUM($AY19:AY19)=0,$AX19&lt;=AY$38,$AX19&gt;0,$AW19&gt;-1),$AV19,0)</f>
        <v>0</v>
      </c>
      <c r="BA19">
        <f>IF(AND(SUM(BA$3:BA18)=0,SUM($AY19:AZ19)=0,$AX19&lt;=AZ$38,$AX19&gt;0,$AW19&gt;-1),$AV19,0)</f>
        <v>0</v>
      </c>
      <c r="BB19">
        <f>IF(AND(SUM(BB$3:BB18)=0,SUM($AY19:BA19)=0,$AX19&lt;=BA$38,$AX19&gt;0,$AW19&gt;-1),$AV19,0)</f>
        <v>0</v>
      </c>
      <c r="BC19">
        <f>IF(AND(SUM(BC$3:BC18)=0,SUM($AY19:BB19)=0,$AX19&lt;=BB$38,$AX19&gt;0,$AW19&gt;-1),$AV19,0)</f>
        <v>0</v>
      </c>
      <c r="BD19">
        <f>IF(AND(SUM(BD$3:BD18)=0,SUM($AY19:BC19)=0,$AX19&lt;=BC$38,$AX19&gt;0,$AW19&gt;-1),$AV19,0)</f>
        <v>0</v>
      </c>
      <c r="BE19">
        <f>IF(AND(SUM(BE$3:BE18)=0,SUM($AY19:BD19)=0,$AX19&lt;=BD$38,$AX19&gt;0,$AW19&gt;-1),$AV19,0)</f>
        <v>0</v>
      </c>
      <c r="BF19">
        <f>IF(AND(SUM(BF$3:BF18)=0,SUM($AY19:BE19)=0,$AX19&lt;=BE$38,$AX19&gt;0,$AW19&gt;-1),$AV19,0)</f>
        <v>0</v>
      </c>
      <c r="BG19">
        <f t="shared" si="2"/>
        <v>0</v>
      </c>
      <c r="BH19" s="494">
        <f>IF(AND(BG19&gt;0,BG19&gt;BG$35,BG$35+BF$38&gt;=BG19,SUM(BH20:BH$32)=0),BG19,0)</f>
        <v>0</v>
      </c>
      <c r="BI19">
        <f t="shared" si="3"/>
        <v>0</v>
      </c>
      <c r="BJ19">
        <v>25</v>
      </c>
      <c r="BK19">
        <f t="shared" si="13"/>
        <v>0</v>
      </c>
      <c r="BL19">
        <f>_xlfn.XLOOKUP(BJ19,AY$77:BF$77,AY$76:BF$76,0)</f>
        <v>0</v>
      </c>
      <c r="BM19">
        <f t="shared" si="21"/>
        <v>0</v>
      </c>
      <c r="BN19" s="493">
        <f t="shared" si="15"/>
        <v>0</v>
      </c>
    </row>
    <row r="20" spans="1:66" x14ac:dyDescent="0.25">
      <c r="A20">
        <v>7</v>
      </c>
      <c r="B20" t="str">
        <f>_xlfn.XLOOKUP(A20,Order!R$12:R$859,Order!C$12:C$859,"")</f>
        <v/>
      </c>
      <c r="C20" t="str">
        <f>_xlfn.XLOOKUP(A20,Order!R$12:R$859,Order!S$12:S$859,"")</f>
        <v/>
      </c>
      <c r="D20" t="str">
        <f>_xlfn.XLOOKUP(A20,Order!R$12:R$859,Order!B$12:B$859,"")</f>
        <v/>
      </c>
      <c r="E20" t="str">
        <f>_xlfn.XLOOKUP(A20,Order!R$12:R$859,Order!P$12:P$859,"")</f>
        <v/>
      </c>
      <c r="F20" t="str">
        <f>_xlfn.XLOOKUP(A20,Order!R$12:R$859,Order!T$12:T$859,"")</f>
        <v/>
      </c>
      <c r="G20" t="str">
        <f>_xlfn.XLOOKUP(A20,Order!R$12:R$859,Order!U$12:U$859,"")</f>
        <v/>
      </c>
      <c r="H20" t="str">
        <f>_xlfn.XLOOKUP(A20,Order!R$12:R$859,Order!B$12:B$859,"")</f>
        <v/>
      </c>
      <c r="I20" t="str">
        <f>_xlfn.XLOOKUP(A20,Order!R$12:R$859,Order!V$12:V$859,"")</f>
        <v/>
      </c>
      <c r="J20" t="str">
        <f>IFERROR(RANK(F20,F$14:F$213,1)+COUNTIF(F$14:F20,F20)-1,"")</f>
        <v/>
      </c>
      <c r="L20" t="str">
        <f t="shared" si="22"/>
        <v/>
      </c>
      <c r="M20" t="str" cm="1">
        <f t="array" ref="M20">_xlfn.XLOOKUP(A20,J$14:J219,B$14:B219,"")</f>
        <v/>
      </c>
      <c r="N20" t="str" cm="1">
        <f t="array" ref="N20">_xlfn.XLOOKUP(A20,J$14:J219,C$14:C219,"")</f>
        <v/>
      </c>
      <c r="O20" t="str" cm="1">
        <f t="array" ref="O20">_xlfn.XLOOKUP(A20,J$14:J219,E$14:E219,"")</f>
        <v/>
      </c>
      <c r="P20" t="str" cm="1">
        <f t="array" ref="P20">_xlfn.XLOOKUP(A20,J$14:J219,G$14:G219,"")</f>
        <v/>
      </c>
      <c r="Q20" t="str" cm="1">
        <f t="array" ref="Q20">_xlfn.XLOOKUP(A20,J$14:J219,F$14:F219,"")</f>
        <v/>
      </c>
      <c r="R20" t="str" cm="1">
        <f t="array" ref="R20">_xlfn.XLOOKUP(A20,J$14:J219,I$14:I219,"")</f>
        <v/>
      </c>
      <c r="S20" t="str" cm="1">
        <f t="array" ref="S20">_xlfn.XLOOKUP(A20,J$14:J219,H$14:H219,"")</f>
        <v/>
      </c>
      <c r="T20" t="str" cm="1">
        <f t="array" ref="T20">VLOOKUP(ROW(7:7),L$14:S$163,8)</f>
        <v/>
      </c>
      <c r="U20" t="str" cm="1">
        <f t="array" ref="U20">VLOOKUP(ROW(7:7),L$14:M$163,2)</f>
        <v/>
      </c>
      <c r="V20" t="str" cm="1">
        <f t="array" ref="V20">VLOOKUP(ROW(7:7),L$14:O$163,4)</f>
        <v/>
      </c>
      <c r="W20" t="str" cm="1">
        <f t="array" ref="W20">VLOOKUP(ROW(7:7),L$14:Q$163,6)</f>
        <v/>
      </c>
      <c r="X20" cm="1">
        <f t="array" ref="X20">IFERROR(VLOOKUP(ROW(7:7),L$14:P$213,5)+0,0)</f>
        <v>0</v>
      </c>
      <c r="Y20" t="str" cm="1">
        <f t="array" ref="Y20">VLOOKUP(ROW(7:7),L$14:R$163,7)</f>
        <v/>
      </c>
      <c r="Z20">
        <f>IF(Y20&lt;-2,X20+MAX(Z$14:Z19),0)</f>
        <v>0</v>
      </c>
      <c r="AA20">
        <f>IFERROR(IF(AND(SUM(AA21:AA$214)+X20&lt;=Z$10,W20&lt;=Z$12,Z20=0),X20,0),0)</f>
        <v>0</v>
      </c>
      <c r="AB20">
        <f>IFERROR(IF(AND(W20&lt;=Z$12+10,AB$12-X20&gt;=0,SUM(Z20:AA20)=0,SUM(AB$14:AB19)+X20&lt;AB$12),X20,0),0)</f>
        <v>0</v>
      </c>
      <c r="AD20">
        <f>IF(AND(Y20=-2,SUM(Z20:AB20)=0),X20+MAX(AD$14:AD19),0)</f>
        <v>0</v>
      </c>
      <c r="AE20">
        <f>IFERROR(IF(AND(SUM(AE21:AE$214)+X20&lt;=AD$10,W20&lt;=AD$12,SUM(Z20:AD20)=0),X20,0),0)</f>
        <v>0</v>
      </c>
      <c r="AF20">
        <f>IFERROR(IF(AND(W20&lt;=AD$12+10,AF$12-X20&gt;=0,SUM(Z20:AE20)=0,SUM(AF$14:AF19)+X20&lt;AF$12),X20,0),0)</f>
        <v>0</v>
      </c>
      <c r="AG20">
        <f t="shared" si="9"/>
        <v>0</v>
      </c>
      <c r="AI20">
        <f t="shared" si="16"/>
        <v>0</v>
      </c>
      <c r="AJ20" s="493">
        <f t="shared" si="17"/>
        <v>0</v>
      </c>
      <c r="AK20">
        <f>IF(AJ20=0,0,IF(AJ19=0,MAX(AK$13:AK19)+1,IF(W20&lt;&gt;W19,MAX(AK$14:AK19)+1,IF(ROUNDDOWN(AJ20-0.01,0)=ROUNDDOWN(AJ19-0.01,0),AK19,AK19+1))))</f>
        <v>0</v>
      </c>
      <c r="AL20">
        <f t="shared" si="18"/>
        <v>0</v>
      </c>
      <c r="AM20">
        <f t="shared" si="19"/>
        <v>0</v>
      </c>
      <c r="AN20">
        <f>IF(AM20&gt;AN$12,IF(AK20=AK19,AN19,MAX(AN$13:AN19)+1),0)</f>
        <v>0</v>
      </c>
      <c r="AP20">
        <f t="shared" si="10"/>
        <v>0</v>
      </c>
      <c r="AQ20">
        <f>IF(AP20&gt;0,IF(MAX(AQ21:AQ$214)+AP20&gt;ROUNDUP(MAX(AQ21:AQ$214),0),ROUNDUP(MAX(AQ21:AQ$214),0)+AP20,MAX(AQ21:AQ$214)+AP20),0)</f>
        <v>0</v>
      </c>
      <c r="AR20">
        <f t="shared" si="12"/>
        <v>0</v>
      </c>
      <c r="AS20">
        <f t="shared" si="20"/>
        <v>0</v>
      </c>
      <c r="AT20">
        <f t="shared" si="11"/>
        <v>10</v>
      </c>
      <c r="AV20">
        <v>18</v>
      </c>
      <c r="AW20">
        <f t="shared" si="5"/>
        <v>0</v>
      </c>
      <c r="AX20">
        <f t="shared" si="6"/>
        <v>0</v>
      </c>
      <c r="AY20" s="496">
        <f>IF(AND(AX20=AX$2,SUM(AY$3:AY19)=0,AW20=AZ$2),AV20,)</f>
        <v>0</v>
      </c>
      <c r="AZ20">
        <f>IF(AND(SUM(AZ$3:AZ19)=0,SUM($AY20:AY20)=0,$AX20&lt;=AY$38,$AX20&gt;0,$AW20&gt;-1),$AV20,0)</f>
        <v>0</v>
      </c>
      <c r="BA20">
        <f>IF(AND(SUM(BA$3:BA19)=0,SUM($AY20:AZ20)=0,$AX20&lt;=AZ$38,$AX20&gt;0,$AW20&gt;-1),$AV20,0)</f>
        <v>0</v>
      </c>
      <c r="BB20">
        <f>IF(AND(SUM(BB$3:BB19)=0,SUM($AY20:BA20)=0,$AX20&lt;=BA$38,$AX20&gt;0,$AW20&gt;-1),$AV20,0)</f>
        <v>0</v>
      </c>
      <c r="BC20">
        <f>IF(AND(SUM(BC$3:BC19)=0,SUM($AY20:BB20)=0,$AX20&lt;=BB$38,$AX20&gt;0,$AW20&gt;-1),$AV20,0)</f>
        <v>0</v>
      </c>
      <c r="BD20">
        <f>IF(AND(SUM(BD$3:BD19)=0,SUM($AY20:BC20)=0,$AX20&lt;=BC$38,$AX20&gt;0,$AW20&gt;-1),$AV20,0)</f>
        <v>0</v>
      </c>
      <c r="BE20">
        <f>IF(AND(SUM(BE$3:BE19)=0,SUM($AY20:BD20)=0,$AX20&lt;=BD$38,$AX20&gt;0,$AW20&gt;-1),$AV20,0)</f>
        <v>0</v>
      </c>
      <c r="BF20">
        <f>IF(AND(SUM(BF$3:BF19)=0,SUM($AY20:BE20)=0,$AX20&lt;=BE$38,$AX20&gt;0,$AW20&gt;-1),$AV20,0)</f>
        <v>0</v>
      </c>
      <c r="BG20">
        <f t="shared" si="2"/>
        <v>0</v>
      </c>
      <c r="BH20" s="494">
        <f>IF(AND(BG20&gt;0,BG20&gt;BG$35,BG$35+BF$38&gt;=BG20,SUM(BH21:BH$32)=0),BG20,0)</f>
        <v>0</v>
      </c>
      <c r="BI20">
        <f t="shared" si="3"/>
        <v>0</v>
      </c>
      <c r="BJ20">
        <v>26</v>
      </c>
      <c r="BK20">
        <f t="shared" si="13"/>
        <v>0</v>
      </c>
      <c r="BL20">
        <f t="shared" si="14"/>
        <v>0</v>
      </c>
      <c r="BM20">
        <f t="shared" si="21"/>
        <v>0</v>
      </c>
      <c r="BN20" s="493">
        <f t="shared" si="15"/>
        <v>0</v>
      </c>
    </row>
    <row r="21" spans="1:66" x14ac:dyDescent="0.25">
      <c r="A21">
        <v>8</v>
      </c>
      <c r="B21" t="str">
        <f>_xlfn.XLOOKUP(A21,Order!R$12:R$859,Order!C$12:C$859,"")</f>
        <v/>
      </c>
      <c r="C21" t="str">
        <f>_xlfn.XLOOKUP(A21,Order!R$12:R$859,Order!S$12:S$859,"")</f>
        <v/>
      </c>
      <c r="D21" t="str">
        <f>_xlfn.XLOOKUP(A21,Order!R$12:R$859,Order!B$12:B$859,"")</f>
        <v/>
      </c>
      <c r="E21" t="str">
        <f>_xlfn.XLOOKUP(A21,Order!R$12:R$859,Order!P$12:P$859,"")</f>
        <v/>
      </c>
      <c r="F21" t="str">
        <f>_xlfn.XLOOKUP(A21,Order!R$12:R$859,Order!T$12:T$859,"")</f>
        <v/>
      </c>
      <c r="G21" t="str">
        <f>_xlfn.XLOOKUP(A21,Order!R$12:R$859,Order!U$12:U$859,"")</f>
        <v/>
      </c>
      <c r="H21" t="str">
        <f>_xlfn.XLOOKUP(A21,Order!R$12:R$859,Order!B$12:B$859,"")</f>
        <v/>
      </c>
      <c r="I21" t="str">
        <f>_xlfn.XLOOKUP(A21,Order!R$12:R$859,Order!V$12:V$859,"")</f>
        <v/>
      </c>
      <c r="J21" t="str">
        <f>IFERROR(RANK(F21,F$14:F$213,1)+COUNTIF(F$14:F21,F21)-1,"")</f>
        <v/>
      </c>
      <c r="L21" t="str">
        <f t="shared" si="22"/>
        <v/>
      </c>
      <c r="M21" t="str" cm="1">
        <f t="array" ref="M21">_xlfn.XLOOKUP(A21,J$14:J220,B$14:B220,"")</f>
        <v/>
      </c>
      <c r="N21" t="str" cm="1">
        <f t="array" ref="N21">_xlfn.XLOOKUP(A21,J$14:J220,C$14:C220,"")</f>
        <v/>
      </c>
      <c r="O21" t="str" cm="1">
        <f t="array" ref="O21">_xlfn.XLOOKUP(A21,J$14:J220,E$14:E220,"")</f>
        <v/>
      </c>
      <c r="P21" t="str" cm="1">
        <f t="array" ref="P21">_xlfn.XLOOKUP(A21,J$14:J220,G$14:G220,"")</f>
        <v/>
      </c>
      <c r="Q21" t="str" cm="1">
        <f t="array" ref="Q21">_xlfn.XLOOKUP(A21,J$14:J220,F$14:F220,"")</f>
        <v/>
      </c>
      <c r="R21" t="str" cm="1">
        <f t="array" ref="R21">_xlfn.XLOOKUP(A21,J$14:J220,I$14:I220,"")</f>
        <v/>
      </c>
      <c r="S21" t="str" cm="1">
        <f t="array" ref="S21">_xlfn.XLOOKUP(A21,J$14:J220,H$14:H220,"")</f>
        <v/>
      </c>
      <c r="T21" t="str" cm="1">
        <f t="array" ref="T21">VLOOKUP(ROW(8:8),L$14:S$163,8)</f>
        <v/>
      </c>
      <c r="U21" t="str" cm="1">
        <f t="array" ref="U21">VLOOKUP(ROW(8:8),L$14:M$163,2)</f>
        <v/>
      </c>
      <c r="V21" t="str" cm="1">
        <f t="array" ref="V21">VLOOKUP(ROW(8:8),L$14:O$163,4)</f>
        <v/>
      </c>
      <c r="W21" t="str" cm="1">
        <f t="array" ref="W21">VLOOKUP(ROW(8:8),L$14:Q$163,6)</f>
        <v/>
      </c>
      <c r="X21" cm="1">
        <f t="array" ref="X21">IFERROR(VLOOKUP(ROW(8:8),L$14:P$213,5)+0,0)</f>
        <v>0</v>
      </c>
      <c r="Y21" t="str" cm="1">
        <f t="array" ref="Y21">VLOOKUP(ROW(8:8),L$14:R$163,7)</f>
        <v/>
      </c>
      <c r="Z21">
        <f>IF(Y21&lt;-2,X21+MAX(Z$14:Z20),0)</f>
        <v>0</v>
      </c>
      <c r="AA21">
        <f>IFERROR(IF(AND(SUM(AA22:AA$214)+X21&lt;=Z$10,W21&lt;=Z$12,Z21=0),X21,0),0)</f>
        <v>0</v>
      </c>
      <c r="AB21">
        <f>IFERROR(IF(AND(W21&lt;=Z$12+10,AB$12-X21&gt;=0,SUM(Z21:AA21)=0,SUM(AB$14:AB20)+X21&lt;AB$12),X21,0),0)</f>
        <v>0</v>
      </c>
      <c r="AD21">
        <f>IF(AND(Y21=-2,SUM(Z21:AB21)=0),X21+MAX(AD$14:AD20),0)</f>
        <v>0</v>
      </c>
      <c r="AE21">
        <f>IFERROR(IF(AND(SUM(AE22:AE$214)+X21&lt;=AD$10,W21&lt;=AD$12,SUM(Z21:AD21)=0),X21,0),0)</f>
        <v>0</v>
      </c>
      <c r="AF21">
        <f>IFERROR(IF(AND(W21&lt;=AD$12+10,AF$12-X21&gt;=0,SUM(Z21:AE21)=0,SUM(AF$14:AF20)+X21&lt;AF$12),X21,0),0)</f>
        <v>0</v>
      </c>
      <c r="AG21">
        <f t="shared" si="9"/>
        <v>0</v>
      </c>
      <c r="AI21">
        <f t="shared" si="16"/>
        <v>0</v>
      </c>
      <c r="AJ21" s="493">
        <f t="shared" si="17"/>
        <v>0</v>
      </c>
      <c r="AK21">
        <f>IF(AJ21=0,0,IF(AJ20=0,MAX(AK$13:AK20)+1,IF(W21&lt;&gt;W20,MAX(AK$14:AK20)+1,IF(ROUNDDOWN(AJ21-0.01,0)=ROUNDDOWN(AJ20-0.01,0),AK20,AK20+1))))</f>
        <v>0</v>
      </c>
      <c r="AL21">
        <f t="shared" si="18"/>
        <v>0</v>
      </c>
      <c r="AM21">
        <f t="shared" si="19"/>
        <v>0</v>
      </c>
      <c r="AN21">
        <f>IF(AM21&gt;AN$12,IF(AK21=AK20,AN20,MAX(AN$13:AN20)+1),0)</f>
        <v>0</v>
      </c>
      <c r="AP21">
        <f t="shared" si="10"/>
        <v>0</v>
      </c>
      <c r="AQ21">
        <f>IF(AP21&gt;0,IF(MAX(AQ22:AQ$214)+AP21&gt;ROUNDUP(MAX(AQ22:AQ$214),0),ROUNDUP(MAX(AQ22:AQ$214),0)+AP21,MAX(AQ22:AQ$214)+AP21),0)</f>
        <v>0</v>
      </c>
      <c r="AR21">
        <f t="shared" si="12"/>
        <v>0</v>
      </c>
      <c r="AS21">
        <f t="shared" si="20"/>
        <v>0</v>
      </c>
      <c r="AT21">
        <f t="shared" si="11"/>
        <v>10</v>
      </c>
      <c r="AV21">
        <v>19</v>
      </c>
      <c r="AW21">
        <f t="shared" si="5"/>
        <v>0</v>
      </c>
      <c r="AX21">
        <f t="shared" si="6"/>
        <v>0</v>
      </c>
      <c r="AY21" s="496">
        <f>IF(AND(AX21=AX$2,SUM(AY$3:AY20)=0,AW21=AZ$2),AV21,)</f>
        <v>0</v>
      </c>
      <c r="AZ21">
        <f>IF(AND(SUM(AZ$3:AZ20)=0,SUM($AY21:AY21)=0,$AX21&lt;=AY$38,$AX21&gt;0,$AW21&gt;-1),$AV21,0)</f>
        <v>0</v>
      </c>
      <c r="BA21">
        <f>IF(AND(SUM(BA$3:BA20)=0,SUM($AY21:AZ21)=0,$AX21&lt;=AZ$38,$AX21&gt;0,$AW21&gt;-1),$AV21,0)</f>
        <v>0</v>
      </c>
      <c r="BB21">
        <f>IF(AND(SUM(BB$3:BB20)=0,SUM($AY21:BA21)=0,$AX21&lt;=BA$38,$AX21&gt;0,$AW21&gt;-1),$AV21,0)</f>
        <v>0</v>
      </c>
      <c r="BC21">
        <f>IF(AND(SUM(BC$3:BC20)=0,SUM($AY21:BB21)=0,$AX21&lt;=BB$38,$AX21&gt;0,$AW21&gt;-1),$AV21,0)</f>
        <v>0</v>
      </c>
      <c r="BD21">
        <f>IF(AND(SUM(BD$3:BD20)=0,SUM($AY21:BC21)=0,$AX21&lt;=BC$38,$AX21&gt;0,$AW21&gt;-1),$AV21,0)</f>
        <v>0</v>
      </c>
      <c r="BE21">
        <f>IF(AND(SUM(BE$3:BE20)=0,SUM($AY21:BD21)=0,$AX21&lt;=BD$38,$AX21&gt;0,$AW21&gt;-1),$AV21,0)</f>
        <v>0</v>
      </c>
      <c r="BF21">
        <f>IF(AND(SUM(BF$3:BF20)=0,SUM($AY21:BE21)=0,$AX21&lt;=BE$38,$AX21&gt;0,$AW21&gt;-1),$AV21,0)</f>
        <v>0</v>
      </c>
      <c r="BG21">
        <f t="shared" si="2"/>
        <v>0</v>
      </c>
      <c r="BH21" s="494">
        <f>IF(AND(BG21&gt;0,BG21&gt;BG$35,BG$35+BF$38&gt;=BG21,SUM(BH22:BH$32)=0),BG21,0)</f>
        <v>0</v>
      </c>
      <c r="BI21">
        <f t="shared" si="3"/>
        <v>0</v>
      </c>
      <c r="BJ21">
        <v>27</v>
      </c>
      <c r="BK21">
        <f t="shared" si="13"/>
        <v>0</v>
      </c>
      <c r="BL21">
        <f t="shared" si="14"/>
        <v>0</v>
      </c>
      <c r="BM21">
        <f t="shared" si="21"/>
        <v>0</v>
      </c>
      <c r="BN21" s="493">
        <f t="shared" si="15"/>
        <v>0</v>
      </c>
    </row>
    <row r="22" spans="1:66" x14ac:dyDescent="0.25">
      <c r="A22">
        <v>9</v>
      </c>
      <c r="B22" t="str">
        <f>_xlfn.XLOOKUP(A22,Order!R$12:R$859,Order!C$12:C$859,"")</f>
        <v/>
      </c>
      <c r="C22" t="str">
        <f>_xlfn.XLOOKUP(A22,Order!R$12:R$859,Order!S$12:S$859,"")</f>
        <v/>
      </c>
      <c r="D22" t="str">
        <f>_xlfn.XLOOKUP(A22,Order!R$12:R$859,Order!B$12:B$859,"")</f>
        <v/>
      </c>
      <c r="E22" t="str">
        <f>_xlfn.XLOOKUP(A22,Order!R$12:R$859,Order!P$12:P$859,"")</f>
        <v/>
      </c>
      <c r="F22" t="str">
        <f>_xlfn.XLOOKUP(A22,Order!R$12:R$859,Order!T$12:T$859,"")</f>
        <v/>
      </c>
      <c r="G22" t="str">
        <f>_xlfn.XLOOKUP(A22,Order!R$12:R$859,Order!U$12:U$859,"")</f>
        <v/>
      </c>
      <c r="H22" t="str">
        <f>_xlfn.XLOOKUP(A22,Order!R$12:R$859,Order!B$12:B$859,"")</f>
        <v/>
      </c>
      <c r="I22" t="str">
        <f>_xlfn.XLOOKUP(A22,Order!R$12:R$859,Order!V$12:V$859,"")</f>
        <v/>
      </c>
      <c r="J22" t="str">
        <f>IFERROR(RANK(F22,F$14:F$213,1)+COUNTIF(F$14:F22,F22)-1,"")</f>
        <v/>
      </c>
      <c r="L22" t="str">
        <f t="shared" si="22"/>
        <v/>
      </c>
      <c r="M22" t="str" cm="1">
        <f t="array" ref="M22">_xlfn.XLOOKUP(A22,J$14:J221,B$14:B221,"")</f>
        <v/>
      </c>
      <c r="N22" t="str" cm="1">
        <f t="array" ref="N22">_xlfn.XLOOKUP(A22,J$14:J221,C$14:C221,"")</f>
        <v/>
      </c>
      <c r="O22" t="str" cm="1">
        <f t="array" ref="O22">_xlfn.XLOOKUP(A22,J$14:J221,E$14:E221,"")</f>
        <v/>
      </c>
      <c r="P22" t="str" cm="1">
        <f t="array" ref="P22">_xlfn.XLOOKUP(A22,J$14:J221,G$14:G221,"")</f>
        <v/>
      </c>
      <c r="Q22" t="str" cm="1">
        <f t="array" ref="Q22">_xlfn.XLOOKUP(A22,J$14:J221,F$14:F221,"")</f>
        <v/>
      </c>
      <c r="R22" t="str" cm="1">
        <f t="array" ref="R22">_xlfn.XLOOKUP(A22,J$14:J221,I$14:I221,"")</f>
        <v/>
      </c>
      <c r="S22" t="str" cm="1">
        <f t="array" ref="S22">_xlfn.XLOOKUP(A22,J$14:J221,H$14:H221,"")</f>
        <v/>
      </c>
      <c r="T22" t="str" cm="1">
        <f t="array" ref="T22">VLOOKUP(ROW(9:9),L$14:S$163,8)</f>
        <v/>
      </c>
      <c r="U22" t="str" cm="1">
        <f t="array" ref="U22">VLOOKUP(ROW(9:9),L$14:M$163,2)</f>
        <v/>
      </c>
      <c r="V22" t="str" cm="1">
        <f t="array" ref="V22">VLOOKUP(ROW(9:9),L$14:O$163,4)</f>
        <v/>
      </c>
      <c r="W22" t="str" cm="1">
        <f t="array" ref="W22">VLOOKUP(ROW(9:9),L$14:Q$163,6)</f>
        <v/>
      </c>
      <c r="X22" cm="1">
        <f t="array" ref="X22">IFERROR(VLOOKUP(ROW(9:9),L$14:P$213,5)+0,0)</f>
        <v>0</v>
      </c>
      <c r="Y22" t="str" cm="1">
        <f t="array" ref="Y22">VLOOKUP(ROW(9:9),L$14:R$163,7)</f>
        <v/>
      </c>
      <c r="Z22">
        <f>IF(Y22&lt;-2,X22+MAX(Z$14:Z21),0)</f>
        <v>0</v>
      </c>
      <c r="AA22">
        <f>IFERROR(IF(AND(SUM(AA23:AA$214)+X22&lt;=Z$10,W22&lt;=Z$12,Z22=0),X22,0),0)</f>
        <v>0</v>
      </c>
      <c r="AB22">
        <f>IFERROR(IF(AND(W22&lt;=Z$12+10,AB$12-X22&gt;=0,SUM(Z22:AA22)=0,SUM(AB$14:AB21)+X22&lt;AB$12),X22,0),0)</f>
        <v>0</v>
      </c>
      <c r="AD22">
        <f>IF(AND(Y22=-2,SUM(Z22:AB22)=0),X22+MAX(AD$14:AD21),0)</f>
        <v>0</v>
      </c>
      <c r="AE22">
        <f>IFERROR(IF(AND(SUM(AE23:AE$214)+X22&lt;=AD$10,W22&lt;=AD$12,SUM(Z22:AD22)=0),X22,0),0)</f>
        <v>0</v>
      </c>
      <c r="AF22">
        <f>IFERROR(IF(AND(W22&lt;=AD$12+10,AF$12-X22&gt;=0,SUM(Z22:AE22)=0,SUM(AF$14:AF21)+X22&lt;AF$12),X22,0),0)</f>
        <v>0</v>
      </c>
      <c r="AG22">
        <f t="shared" si="9"/>
        <v>0</v>
      </c>
      <c r="AI22">
        <f t="shared" si="16"/>
        <v>0</v>
      </c>
      <c r="AJ22" s="493">
        <f t="shared" si="17"/>
        <v>0</v>
      </c>
      <c r="AK22">
        <f>IF(AJ22=0,0,IF(AJ21=0,MAX(AK$13:AK21)+1,IF(W22&lt;&gt;W21,MAX(AK$14:AK21)+1,IF(ROUNDDOWN(AJ22-0.01,0)=ROUNDDOWN(AJ21-0.01,0),AK21,AK21+1))))</f>
        <v>0</v>
      </c>
      <c r="AL22">
        <f t="shared" si="18"/>
        <v>0</v>
      </c>
      <c r="AM22">
        <f t="shared" si="19"/>
        <v>0</v>
      </c>
      <c r="AN22">
        <f>IF(AM22&gt;AN$12,IF(AK22=AK21,AN21,MAX(AN$13:AN21)+1),0)</f>
        <v>0</v>
      </c>
      <c r="AP22">
        <f t="shared" si="10"/>
        <v>0</v>
      </c>
      <c r="AQ22">
        <f>IF(AP22&gt;0,IF(MAX(AQ23:AQ$214)+AP22&gt;ROUNDUP(MAX(AQ23:AQ$214),0),ROUNDUP(MAX(AQ23:AQ$214),0)+AP22,MAX(AQ23:AQ$214)+AP22),0)</f>
        <v>0</v>
      </c>
      <c r="AR22">
        <f t="shared" si="12"/>
        <v>0</v>
      </c>
      <c r="AS22">
        <f t="shared" si="20"/>
        <v>0</v>
      </c>
      <c r="AT22">
        <f t="shared" si="11"/>
        <v>10</v>
      </c>
      <c r="AV22">
        <v>20</v>
      </c>
      <c r="AW22">
        <f t="shared" si="5"/>
        <v>0</v>
      </c>
      <c r="AX22">
        <f t="shared" si="6"/>
        <v>0</v>
      </c>
      <c r="AY22" s="496">
        <f>IF(AND(AX22=AX$2,SUM(AY$3:AY21)=0,AW22=AZ$2),AV22,)</f>
        <v>0</v>
      </c>
      <c r="AZ22">
        <f>IF(AND(SUM(AZ$3:AZ21)=0,SUM($AY22:AY22)=0,$AX22&lt;=AY$38,$AX22&gt;0,$AW22&gt;-1),$AV22,0)</f>
        <v>0</v>
      </c>
      <c r="BA22">
        <f>IF(AND(SUM(BA$3:BA21)=0,SUM($AY22:AZ22)=0,$AX22&lt;=AZ$38,$AX22&gt;0,$AW22&gt;-1),$AV22,0)</f>
        <v>0</v>
      </c>
      <c r="BB22">
        <f>IF(AND(SUM(BB$3:BB21)=0,SUM($AY22:BA22)=0,$AX22&lt;=BA$38,$AX22&gt;0,$AW22&gt;-1),$AV22,0)</f>
        <v>0</v>
      </c>
      <c r="BC22">
        <f>IF(AND(SUM(BC$3:BC21)=0,SUM($AY22:BB22)=0,$AX22&lt;=BB$38,$AX22&gt;0,$AW22&gt;-1),$AV22,0)</f>
        <v>0</v>
      </c>
      <c r="BD22">
        <f>IF(AND(SUM(BD$3:BD21)=0,SUM($AY22:BC22)=0,$AX22&lt;=BC$38,$AX22&gt;0,$AW22&gt;-1),$AV22,0)</f>
        <v>0</v>
      </c>
      <c r="BE22">
        <f>IF(AND(SUM(BE$3:BE21)=0,SUM($AY22:BD22)=0,$AX22&lt;=BD$38,$AX22&gt;0,$AW22&gt;-1),$AV22,0)</f>
        <v>0</v>
      </c>
      <c r="BF22">
        <f>IF(AND(SUM(BF$3:BF21)=0,SUM($AY22:BE22)=0,$AX22&lt;=BE$38,$AX22&gt;0,$AW22&gt;-1),$AV22,0)</f>
        <v>0</v>
      </c>
      <c r="BG22">
        <f t="shared" si="2"/>
        <v>0</v>
      </c>
      <c r="BH22" s="494">
        <f>IF(AND(BG22&gt;0,BG22&gt;BG$35,BG$35+BF$38&gt;=BG22,SUM(BH23:BH$32)=0),BG22,0)</f>
        <v>0</v>
      </c>
      <c r="BI22">
        <f t="shared" si="3"/>
        <v>0</v>
      </c>
    </row>
    <row r="23" spans="1:66" x14ac:dyDescent="0.25">
      <c r="A23">
        <v>10</v>
      </c>
      <c r="B23" t="str">
        <f>_xlfn.XLOOKUP(A23,Order!R$12:R$859,Order!C$12:C$859,"")</f>
        <v/>
      </c>
      <c r="C23" t="str">
        <f>_xlfn.XLOOKUP(A23,Order!R$12:R$859,Order!S$12:S$859,"")</f>
        <v/>
      </c>
      <c r="D23" t="str">
        <f>_xlfn.XLOOKUP(A23,Order!R$12:R$859,Order!B$12:B$859,"")</f>
        <v/>
      </c>
      <c r="E23" t="str">
        <f>_xlfn.XLOOKUP(A23,Order!R$12:R$859,Order!P$12:P$859,"")</f>
        <v/>
      </c>
      <c r="F23" t="str">
        <f>_xlfn.XLOOKUP(A23,Order!R$12:R$859,Order!T$12:T$859,"")</f>
        <v/>
      </c>
      <c r="G23" t="str">
        <f>_xlfn.XLOOKUP(A23,Order!R$12:R$859,Order!U$12:U$859,"")</f>
        <v/>
      </c>
      <c r="H23" t="str">
        <f>_xlfn.XLOOKUP(A23,Order!R$12:R$859,Order!B$12:B$859,"")</f>
        <v/>
      </c>
      <c r="I23" t="str">
        <f>_xlfn.XLOOKUP(A23,Order!R$12:R$859,Order!V$12:V$859,"")</f>
        <v/>
      </c>
      <c r="J23" t="str">
        <f>IFERROR(RANK(F23,F$14:F$213,1)+COUNTIF(F$14:F23,F23)-1,"")</f>
        <v/>
      </c>
      <c r="L23" t="str">
        <f t="shared" si="22"/>
        <v/>
      </c>
      <c r="M23" t="str" cm="1">
        <f t="array" ref="M23">_xlfn.XLOOKUP(A23,J$14:J222,B$14:B222,"")</f>
        <v/>
      </c>
      <c r="N23" t="str" cm="1">
        <f t="array" ref="N23">_xlfn.XLOOKUP(A23,J$14:J222,C$14:C222,"")</f>
        <v/>
      </c>
      <c r="O23" t="str" cm="1">
        <f t="array" ref="O23">_xlfn.XLOOKUP(A23,J$14:J222,E$14:E222,"")</f>
        <v/>
      </c>
      <c r="P23" t="str" cm="1">
        <f t="array" ref="P23">_xlfn.XLOOKUP(A23,J$14:J222,G$14:G222,"")</f>
        <v/>
      </c>
      <c r="Q23" t="str" cm="1">
        <f t="array" ref="Q23">_xlfn.XLOOKUP(A23,J$14:J222,F$14:F222,"")</f>
        <v/>
      </c>
      <c r="R23" t="str" cm="1">
        <f t="array" ref="R23">_xlfn.XLOOKUP(A23,J$14:J222,I$14:I222,"")</f>
        <v/>
      </c>
      <c r="S23" t="str" cm="1">
        <f t="array" ref="S23">_xlfn.XLOOKUP(A23,J$14:J222,H$14:H222,"")</f>
        <v/>
      </c>
      <c r="T23" t="str" cm="1">
        <f t="array" ref="T23">VLOOKUP(ROW(10:10),L$14:S$163,8)</f>
        <v/>
      </c>
      <c r="U23" t="str" cm="1">
        <f t="array" ref="U23">VLOOKUP(ROW(10:10),L$14:M$163,2)</f>
        <v/>
      </c>
      <c r="V23" t="str" cm="1">
        <f t="array" ref="V23">VLOOKUP(ROW(10:10),L$14:O$163,4)</f>
        <v/>
      </c>
      <c r="W23" t="str" cm="1">
        <f t="array" ref="W23">VLOOKUP(ROW(10:10),L$14:Q$163,6)</f>
        <v/>
      </c>
      <c r="X23" cm="1">
        <f t="array" ref="X23">IFERROR(VLOOKUP(ROW(10:10),L$14:P$213,5)+0,0)</f>
        <v>0</v>
      </c>
      <c r="Y23" t="str" cm="1">
        <f t="array" ref="Y23">VLOOKUP(ROW(10:10),L$14:R$163,7)</f>
        <v/>
      </c>
      <c r="Z23">
        <f>IF(Y23&lt;-2,X23+MAX(Z$14:Z22),0)</f>
        <v>0</v>
      </c>
      <c r="AA23">
        <f>IFERROR(IF(AND(SUM(AA24:AA$214)+X23&lt;=Z$10,W23&lt;=Z$12,Z23=0),X23,0),0)</f>
        <v>0</v>
      </c>
      <c r="AB23">
        <f>IFERROR(IF(AND(W23&lt;=Z$12+10,AB$12-X23&gt;=0,SUM(Z23:AA23)=0,SUM(AB$14:AB22)+X23&lt;AB$12),X23,0),0)</f>
        <v>0</v>
      </c>
      <c r="AD23">
        <f>IF(AND(Y23=-2,SUM(Z23:AB23)=0),X23+MAX(AD$14:AD22),0)</f>
        <v>0</v>
      </c>
      <c r="AE23">
        <f>IFERROR(IF(AND(SUM(AE24:AE$214)+X23&lt;=AD$10,W23&lt;=AD$12,SUM(Z23:AD23)=0),X23,0),0)</f>
        <v>0</v>
      </c>
      <c r="AF23">
        <f>IFERROR(IF(AND(W23&lt;=AD$12+10,AF$12-X23&gt;=0,SUM(Z23:AE23)=0,SUM(AF$14:AF22)+X23&lt;AF$12),X23,0),0)</f>
        <v>0</v>
      </c>
      <c r="AG23">
        <f t="shared" si="9"/>
        <v>0</v>
      </c>
      <c r="AI23">
        <f t="shared" si="16"/>
        <v>0</v>
      </c>
      <c r="AJ23" s="493">
        <f t="shared" si="17"/>
        <v>0</v>
      </c>
      <c r="AK23">
        <f>IF(AJ23=0,0,IF(AJ22=0,MAX(AK$13:AK22)+1,IF(W23&lt;&gt;W22,MAX(AK$14:AK22)+1,IF(ROUNDDOWN(AJ23-0.01,0)=ROUNDDOWN(AJ22-0.01,0),AK22,AK22+1))))</f>
        <v>0</v>
      </c>
      <c r="AL23">
        <f t="shared" si="18"/>
        <v>0</v>
      </c>
      <c r="AM23">
        <f t="shared" si="19"/>
        <v>0</v>
      </c>
      <c r="AN23">
        <f>IF(AM23&gt;AN$12,IF(AK23=AK22,AN22,MAX(AN$13:AN22)+1),0)</f>
        <v>0</v>
      </c>
      <c r="AP23">
        <f t="shared" si="10"/>
        <v>0</v>
      </c>
      <c r="AQ23">
        <f>IF(AP23&gt;0,IF(MAX(AQ24:AQ$214)+AP23&gt;ROUNDUP(MAX(AQ24:AQ$214),0),ROUNDUP(MAX(AQ24:AQ$214),0)+AP23,MAX(AQ24:AQ$214)+AP23),0)</f>
        <v>0</v>
      </c>
      <c r="AR23">
        <f t="shared" si="12"/>
        <v>0</v>
      </c>
      <c r="AS23">
        <f t="shared" si="20"/>
        <v>0</v>
      </c>
      <c r="AT23">
        <f t="shared" si="11"/>
        <v>10</v>
      </c>
      <c r="AV23">
        <v>21</v>
      </c>
      <c r="AW23">
        <f t="shared" si="5"/>
        <v>0</v>
      </c>
      <c r="AX23">
        <f t="shared" si="6"/>
        <v>0</v>
      </c>
      <c r="AY23" s="496">
        <f>IF(AND(AX23=AX$2,SUM(AY$3:AY22)=0,AW23=AZ$2),AV23,)</f>
        <v>0</v>
      </c>
      <c r="AZ23">
        <f>IF(AND(SUM(AZ$3:AZ22)=0,SUM($AY23:AY23)=0,$AX23&lt;=AY$38,$AX23&gt;0,$AW23&gt;-1),$AV23,0)</f>
        <v>0</v>
      </c>
      <c r="BA23">
        <f>IF(AND(SUM(BA$3:BA22)=0,SUM($AY23:AZ23)=0,$AX23&lt;=AZ$38,$AX23&gt;0,$AW23&gt;-1),$AV23,0)</f>
        <v>0</v>
      </c>
      <c r="BB23">
        <f>IF(AND(SUM(BB$3:BB22)=0,SUM($AY23:BA23)=0,$AX23&lt;=BA$38,$AX23&gt;0,$AW23&gt;-1),$AV23,0)</f>
        <v>0</v>
      </c>
      <c r="BC23">
        <f>IF(AND(SUM(BC$3:BC22)=0,SUM($AY23:BB23)=0,$AX23&lt;=BB$38,$AX23&gt;0,$AW23&gt;-1),$AV23,0)</f>
        <v>0</v>
      </c>
      <c r="BD23">
        <f>IF(AND(SUM(BD$3:BD22)=0,SUM($AY23:BC23)=0,$AX23&lt;=BC$38,$AX23&gt;0,$AW23&gt;-1),$AV23,0)</f>
        <v>0</v>
      </c>
      <c r="BE23">
        <f>IF(AND(SUM(BE$3:BE22)=0,SUM($AY23:BD23)=0,$AX23&lt;=BD$38,$AX23&gt;0,$AW23&gt;-1),$AV23,0)</f>
        <v>0</v>
      </c>
      <c r="BF23">
        <f>IF(AND(SUM(BF$3:BF22)=0,SUM($AY23:BE23)=0,$AX23&lt;=BE$38,$AX23&gt;0,$AW23&gt;-1),$AV23,0)</f>
        <v>0</v>
      </c>
      <c r="BG23">
        <f t="shared" si="2"/>
        <v>0</v>
      </c>
      <c r="BH23" s="494">
        <f>IF(AND(BG23&gt;0,BG23&gt;BG$35,BG$35+BF$38&gt;=BG23,SUM(BH24:BH$32)=0),BG23,0)</f>
        <v>0</v>
      </c>
      <c r="BI23">
        <f t="shared" si="3"/>
        <v>0</v>
      </c>
      <c r="BJ23">
        <v>30</v>
      </c>
      <c r="BK23">
        <f>_xlfn.XLOOKUP(BJ23,AY$116:BF$116,AY$114:BF$114,0)</f>
        <v>0</v>
      </c>
      <c r="BL23">
        <f>_xlfn.XLOOKUP(BJ23,AY$116:BF$116,AY$115:BF$115,0)</f>
        <v>0</v>
      </c>
      <c r="BN23" s="493">
        <f t="shared" si="15"/>
        <v>0</v>
      </c>
    </row>
    <row r="24" spans="1:66" x14ac:dyDescent="0.25">
      <c r="A24">
        <v>11</v>
      </c>
      <c r="B24" t="str">
        <f>_xlfn.XLOOKUP(A24,Order!R$12:R$859,Order!C$12:C$859,"")</f>
        <v/>
      </c>
      <c r="C24" t="str">
        <f>_xlfn.XLOOKUP(A24,Order!R$12:R$859,Order!S$12:S$859,"")</f>
        <v/>
      </c>
      <c r="D24" t="str">
        <f>_xlfn.XLOOKUP(A24,Order!R$12:R$859,Order!B$12:B$859,"")</f>
        <v/>
      </c>
      <c r="E24" t="str">
        <f>_xlfn.XLOOKUP(A24,Order!R$12:R$859,Order!P$12:P$859,"")</f>
        <v/>
      </c>
      <c r="F24" t="str">
        <f>_xlfn.XLOOKUP(A24,Order!R$12:R$859,Order!T$12:T$859,"")</f>
        <v/>
      </c>
      <c r="G24" t="str">
        <f>_xlfn.XLOOKUP(A24,Order!R$12:R$859,Order!U$12:U$859,"")</f>
        <v/>
      </c>
      <c r="H24" t="str">
        <f>_xlfn.XLOOKUP(A24,Order!R$12:R$859,Order!B$12:B$859,"")</f>
        <v/>
      </c>
      <c r="I24" t="str">
        <f>_xlfn.XLOOKUP(A24,Order!R$12:R$859,Order!V$12:V$859,"")</f>
        <v/>
      </c>
      <c r="J24" t="str">
        <f>IFERROR(RANK(F24,F$14:F$213,1)+COUNTIF(F$14:F24,F24)-1,"")</f>
        <v/>
      </c>
      <c r="L24" t="str">
        <f t="shared" si="22"/>
        <v/>
      </c>
      <c r="M24" t="str" cm="1">
        <f t="array" ref="M24">_xlfn.XLOOKUP(A24,J$14:J223,B$14:B223,"")</f>
        <v/>
      </c>
      <c r="N24" t="str" cm="1">
        <f t="array" ref="N24">_xlfn.XLOOKUP(A24,J$14:J223,C$14:C223,"")</f>
        <v/>
      </c>
      <c r="O24" t="str" cm="1">
        <f t="array" ref="O24">_xlfn.XLOOKUP(A24,J$14:J223,E$14:E223,"")</f>
        <v/>
      </c>
      <c r="P24" t="str" cm="1">
        <f t="array" ref="P24">_xlfn.XLOOKUP(A24,J$14:J223,G$14:G223,"")</f>
        <v/>
      </c>
      <c r="Q24" t="str" cm="1">
        <f t="array" ref="Q24">_xlfn.XLOOKUP(A24,J$14:J223,F$14:F223,"")</f>
        <v/>
      </c>
      <c r="R24" t="str" cm="1">
        <f t="array" ref="R24">_xlfn.XLOOKUP(A24,J$14:J223,I$14:I223,"")</f>
        <v/>
      </c>
      <c r="S24" t="str" cm="1">
        <f t="array" ref="S24">_xlfn.XLOOKUP(A24,J$14:J223,H$14:H223,"")</f>
        <v/>
      </c>
      <c r="T24" t="str" cm="1">
        <f t="array" ref="T24">VLOOKUP(ROW(11:11),L$14:S$163,8)</f>
        <v/>
      </c>
      <c r="U24" t="str" cm="1">
        <f t="array" ref="U24">VLOOKUP(ROW(11:11),L$14:M$163,2)</f>
        <v/>
      </c>
      <c r="V24" t="str" cm="1">
        <f t="array" ref="V24">VLOOKUP(ROW(11:11),L$14:O$163,4)</f>
        <v/>
      </c>
      <c r="W24" t="str" cm="1">
        <f t="array" ref="W24">VLOOKUP(ROW(11:11),L$14:Q$163,6)</f>
        <v/>
      </c>
      <c r="X24" cm="1">
        <f t="array" ref="X24">IFERROR(VLOOKUP(ROW(11:11),L$14:P$213,5)+0,0)</f>
        <v>0</v>
      </c>
      <c r="Y24" t="str" cm="1">
        <f t="array" ref="Y24">VLOOKUP(ROW(11:11),L$14:R$163,7)</f>
        <v/>
      </c>
      <c r="Z24">
        <f>IF(Y24&lt;-2,X24+MAX(Z$14:Z23),0)</f>
        <v>0</v>
      </c>
      <c r="AA24">
        <f>IFERROR(IF(AND(SUM(AA25:AA$214)+X24&lt;=Z$10,W24&lt;=Z$12,Z24=0),X24,0),0)</f>
        <v>0</v>
      </c>
      <c r="AB24">
        <f>IFERROR(IF(AND(W24&lt;=Z$12+10,AB$12-X24&gt;=0,SUM(Z24:AA24)=0,SUM(AB$14:AB23)+X24&lt;AB$12),X24,0),0)</f>
        <v>0</v>
      </c>
      <c r="AD24">
        <f>IF(AND(Y24=-2,SUM(Z24:AB24)=0),X24+MAX(AD$14:AD23),0)</f>
        <v>0</v>
      </c>
      <c r="AE24">
        <f>IFERROR(IF(AND(SUM(AE25:AE$214)+X24&lt;=AD$10,W24&lt;=AD$12,SUM(Z24:AD24)=0),X24,0),0)</f>
        <v>0</v>
      </c>
      <c r="AF24">
        <f>IFERROR(IF(AND(W24&lt;=AD$12+10,AF$12-X24&gt;=0,SUM(Z24:AE24)=0,SUM(AF$14:AF23)+X24&lt;AF$12),X24,0),0)</f>
        <v>0</v>
      </c>
      <c r="AG24">
        <f t="shared" si="9"/>
        <v>0</v>
      </c>
      <c r="AI24">
        <f t="shared" si="16"/>
        <v>0</v>
      </c>
      <c r="AJ24" s="493">
        <f t="shared" si="17"/>
        <v>0</v>
      </c>
      <c r="AK24">
        <f>IF(AJ24=0,0,IF(AJ23=0,MAX(AK$13:AK23)+1,IF(W24&lt;&gt;W23,MAX(AK$14:AK23)+1,IF(ROUNDDOWN(AJ24-0.01,0)=ROUNDDOWN(AJ23-0.01,0),AK23,AK23+1))))</f>
        <v>0</v>
      </c>
      <c r="AL24">
        <f t="shared" si="18"/>
        <v>0</v>
      </c>
      <c r="AM24">
        <f t="shared" si="19"/>
        <v>0</v>
      </c>
      <c r="AN24">
        <f>IF(AM24&gt;AN$12,IF(AK24=AK23,AN23,MAX(AN$13:AN23)+1),0)</f>
        <v>0</v>
      </c>
      <c r="AP24">
        <f t="shared" si="10"/>
        <v>0</v>
      </c>
      <c r="AQ24">
        <f>IF(AP24&gt;0,IF(MAX(AQ25:AQ$214)+AP24&gt;ROUNDUP(MAX(AQ25:AQ$214),0),ROUNDUP(MAX(AQ25:AQ$214),0)+AP24,MAX(AQ25:AQ$214)+AP24),0)</f>
        <v>0</v>
      </c>
      <c r="AR24">
        <f t="shared" si="12"/>
        <v>0</v>
      </c>
      <c r="AS24">
        <f t="shared" si="20"/>
        <v>0</v>
      </c>
      <c r="AT24">
        <f t="shared" si="11"/>
        <v>10</v>
      </c>
      <c r="AV24">
        <v>22</v>
      </c>
      <c r="AW24">
        <f t="shared" si="5"/>
        <v>0</v>
      </c>
      <c r="AX24">
        <f t="shared" si="6"/>
        <v>0</v>
      </c>
      <c r="AY24" s="496">
        <f>IF(AND(AX24=AX$2,SUM(AY$3:AY23)=0,AW24=AZ$2),AV24,)</f>
        <v>0</v>
      </c>
      <c r="AZ24">
        <f>IF(AND(SUM(AZ$3:AZ23)=0,SUM($AY24:AY24)=0,$AX24&lt;=AY$38,$AX24&gt;0,$AW24&gt;-1),$AV24,0)</f>
        <v>0</v>
      </c>
      <c r="BA24">
        <f>IF(AND(SUM(BA$3:BA23)=0,SUM($AY24:AZ24)=0,$AX24&lt;=AZ$38,$AX24&gt;0,$AW24&gt;-1),$AV24,0)</f>
        <v>0</v>
      </c>
      <c r="BB24">
        <f>IF(AND(SUM(BB$3:BB23)=0,SUM($AY24:BA24)=0,$AX24&lt;=BA$38,$AX24&gt;0,$AW24&gt;-1),$AV24,0)</f>
        <v>0</v>
      </c>
      <c r="BC24">
        <f>IF(AND(SUM(BC$3:BC23)=0,SUM($AY24:BB24)=0,$AX24&lt;=BB$38,$AX24&gt;0,$AW24&gt;-1),$AV24,0)</f>
        <v>0</v>
      </c>
      <c r="BD24">
        <f>IF(AND(SUM(BD$3:BD23)=0,SUM($AY24:BC24)=0,$AX24&lt;=BC$38,$AX24&gt;0,$AW24&gt;-1),$AV24,0)</f>
        <v>0</v>
      </c>
      <c r="BE24">
        <f>IF(AND(SUM(BE$3:BE23)=0,SUM($AY24:BD24)=0,$AX24&lt;=BD$38,$AX24&gt;0,$AW24&gt;-1),$AV24,0)</f>
        <v>0</v>
      </c>
      <c r="BF24">
        <f>IF(AND(SUM(BF$3:BF23)=0,SUM($AY24:BE24)=0,$AX24&lt;=BE$38,$AX24&gt;0,$AW24&gt;-1),$AV24,0)</f>
        <v>0</v>
      </c>
      <c r="BG24">
        <f t="shared" si="2"/>
        <v>0</v>
      </c>
      <c r="BH24" s="494">
        <f>IF(AND(BG24&gt;0,BG24&gt;BG$35,BG$35+BF$38&gt;=BG24,SUM(BH25:BH$32)=0),BG24,0)</f>
        <v>0</v>
      </c>
      <c r="BI24">
        <f t="shared" si="3"/>
        <v>0</v>
      </c>
      <c r="BJ24">
        <v>31</v>
      </c>
      <c r="BK24">
        <f t="shared" ref="BK24:BK30" si="23">_xlfn.SINGLE(_xlfn.XLOOKUP(BJ24,AY$116:BF$116,AY$114:BF$114,0))</f>
        <v>0</v>
      </c>
      <c r="BL24">
        <f t="shared" ref="BL24:BL30" si="24">_xlfn.SINGLE(_xlfn.XLOOKUP(BJ24,AY$116:BF$116,AY$115:BF$115,0))</f>
        <v>0</v>
      </c>
      <c r="BM24">
        <f>IF(BL24=0,0,(BL23-15)/5+BM23)</f>
        <v>0</v>
      </c>
      <c r="BN24" s="493">
        <f t="shared" si="15"/>
        <v>0</v>
      </c>
    </row>
    <row r="25" spans="1:66" x14ac:dyDescent="0.25">
      <c r="A25">
        <v>12</v>
      </c>
      <c r="B25" t="str">
        <f>_xlfn.XLOOKUP(A25,Order!R$12:R$859,Order!C$12:C$859,"")</f>
        <v/>
      </c>
      <c r="C25" t="str">
        <f>_xlfn.XLOOKUP(A25,Order!R$12:R$859,Order!S$12:S$859,"")</f>
        <v/>
      </c>
      <c r="D25" t="str">
        <f>_xlfn.XLOOKUP(A25,Order!R$12:R$859,Order!B$12:B$859,"")</f>
        <v/>
      </c>
      <c r="E25" t="str">
        <f>_xlfn.XLOOKUP(A25,Order!R$12:R$859,Order!P$12:P$859,"")</f>
        <v/>
      </c>
      <c r="F25" t="str">
        <f>_xlfn.XLOOKUP(A25,Order!R$12:R$859,Order!T$12:T$859,"")</f>
        <v/>
      </c>
      <c r="G25" t="str">
        <f>_xlfn.XLOOKUP(A25,Order!R$12:R$859,Order!U$12:U$859,"")</f>
        <v/>
      </c>
      <c r="H25" t="str">
        <f>_xlfn.XLOOKUP(A25,Order!R$12:R$859,Order!B$12:B$859,"")</f>
        <v/>
      </c>
      <c r="I25" t="str">
        <f>_xlfn.XLOOKUP(A25,Order!R$12:R$859,Order!V$12:V$859,"")</f>
        <v/>
      </c>
      <c r="J25" t="str">
        <f>IFERROR(RANK(F25,F$14:F$213,1)+COUNTIF(F$14:F25,F25)-1,"")</f>
        <v/>
      </c>
      <c r="L25" t="str">
        <f t="shared" si="22"/>
        <v/>
      </c>
      <c r="M25" t="str" cm="1">
        <f t="array" ref="M25">_xlfn.XLOOKUP(A25,J$14:J224,B$14:B224,"")</f>
        <v/>
      </c>
      <c r="N25" t="str" cm="1">
        <f t="array" ref="N25">_xlfn.XLOOKUP(A25,J$14:J224,C$14:C224,"")</f>
        <v/>
      </c>
      <c r="O25" t="str" cm="1">
        <f t="array" ref="O25">_xlfn.XLOOKUP(A25,J$14:J224,E$14:E224,"")</f>
        <v/>
      </c>
      <c r="P25" t="str" cm="1">
        <f t="array" ref="P25">_xlfn.XLOOKUP(A25,J$14:J224,G$14:G224,"")</f>
        <v/>
      </c>
      <c r="Q25" t="str" cm="1">
        <f t="array" ref="Q25">_xlfn.XLOOKUP(A25,J$14:J224,F$14:F224,"")</f>
        <v/>
      </c>
      <c r="R25" t="str" cm="1">
        <f t="array" ref="R25">_xlfn.XLOOKUP(A25,J$14:J224,I$14:I224,"")</f>
        <v/>
      </c>
      <c r="S25" t="str" cm="1">
        <f t="array" ref="S25">_xlfn.XLOOKUP(A25,J$14:J224,H$14:H224,"")</f>
        <v/>
      </c>
      <c r="T25" t="str" cm="1">
        <f t="array" ref="T25">VLOOKUP(ROW(12:12),L$14:S$163,8)</f>
        <v/>
      </c>
      <c r="U25" t="str" cm="1">
        <f t="array" ref="U25">VLOOKUP(ROW(12:12),L$14:M$163,2)</f>
        <v/>
      </c>
      <c r="V25" t="str" cm="1">
        <f t="array" ref="V25">VLOOKUP(ROW(12:12),L$14:O$163,4)</f>
        <v/>
      </c>
      <c r="W25" t="str" cm="1">
        <f t="array" ref="W25">VLOOKUP(ROW(12:12),L$14:Q$163,6)</f>
        <v/>
      </c>
      <c r="X25" cm="1">
        <f t="array" ref="X25">IFERROR(VLOOKUP(ROW(12:12),L$14:P$213,5)+0,0)</f>
        <v>0</v>
      </c>
      <c r="Y25" t="str" cm="1">
        <f t="array" ref="Y25">VLOOKUP(ROW(12:12),L$14:R$163,7)</f>
        <v/>
      </c>
      <c r="Z25">
        <f>IF(Y25&lt;-2,X25+MAX(Z$14:Z24),0)</f>
        <v>0</v>
      </c>
      <c r="AA25">
        <f>IFERROR(IF(AND(SUM(AA26:AA$214)+X25&lt;=Z$10,W25&lt;=Z$12,Z25=0),X25,0),0)</f>
        <v>0</v>
      </c>
      <c r="AB25">
        <f>IFERROR(IF(AND(W25&lt;=Z$12+10,AB$12-X25&gt;=0,SUM(Z25:AA25)=0,SUM(AB$14:AB24)+X25&lt;AB$12),X25,0),0)</f>
        <v>0</v>
      </c>
      <c r="AD25">
        <f>IF(AND(Y25=-2,SUM(Z25:AB25)=0),X25+MAX(AD$14:AD24),0)</f>
        <v>0</v>
      </c>
      <c r="AE25">
        <f>IFERROR(IF(AND(SUM(AE26:AE$214)+X25&lt;=AD$10,W25&lt;=AD$12,SUM(Z25:AD25)=0),X25,0),0)</f>
        <v>0</v>
      </c>
      <c r="AF25">
        <f>IFERROR(IF(AND(W25&lt;=AD$12+10,AF$12-X25&gt;=0,SUM(Z25:AE25)=0,SUM(AF$14:AF24)+X25&lt;AF$12),X25,0),0)</f>
        <v>0</v>
      </c>
      <c r="AG25">
        <f t="shared" si="9"/>
        <v>0</v>
      </c>
      <c r="AI25">
        <f t="shared" si="16"/>
        <v>0</v>
      </c>
      <c r="AJ25" s="493">
        <f t="shared" si="17"/>
        <v>0</v>
      </c>
      <c r="AK25">
        <f>IF(AJ25=0,0,IF(AJ24=0,MAX(AK$13:AK24)+1,IF(W25&lt;&gt;W24,MAX(AK$14:AK24)+1,IF(ROUNDDOWN(AJ25-0.01,0)=ROUNDDOWN(AJ24-0.01,0),AK24,AK24+1))))</f>
        <v>0</v>
      </c>
      <c r="AL25">
        <f t="shared" si="18"/>
        <v>0</v>
      </c>
      <c r="AM25">
        <f t="shared" si="19"/>
        <v>0</v>
      </c>
      <c r="AN25">
        <f>IF(AM25&gt;AN$12,IF(AK25=AK24,AN24,MAX(AN$13:AN24)+1),0)</f>
        <v>0</v>
      </c>
      <c r="AP25">
        <f t="shared" si="10"/>
        <v>0</v>
      </c>
      <c r="AQ25">
        <f>IF(AP25&gt;0,IF(MAX(AQ26:AQ$214)+AP25&gt;ROUNDUP(MAX(AQ26:AQ$214),0),ROUNDUP(MAX(AQ26:AQ$214),0)+AP25,MAX(AQ26:AQ$214)+AP25),0)</f>
        <v>0</v>
      </c>
      <c r="AR25">
        <f t="shared" si="12"/>
        <v>0</v>
      </c>
      <c r="AS25">
        <f t="shared" si="20"/>
        <v>0</v>
      </c>
      <c r="AT25">
        <f t="shared" si="11"/>
        <v>10</v>
      </c>
      <c r="AV25">
        <v>23</v>
      </c>
      <c r="AW25">
        <f t="shared" si="5"/>
        <v>0</v>
      </c>
      <c r="AX25">
        <f t="shared" si="6"/>
        <v>0</v>
      </c>
      <c r="AY25" s="496">
        <f>IF(AND(AX25=AX$2,SUM(AY$3:AY24)=0,AW25=AZ$2),AV25,)</f>
        <v>0</v>
      </c>
      <c r="AZ25">
        <f>IF(AND(SUM(AZ$3:AZ24)=0,SUM($AY25:AY25)=0,$AX25&lt;=AY$38,$AX25&gt;0,$AW25&gt;-1),$AV25,0)</f>
        <v>0</v>
      </c>
      <c r="BA25">
        <f>IF(AND(SUM(BA$3:BA24)=0,SUM($AY25:AZ25)=0,$AX25&lt;=AZ$38,$AX25&gt;0,$AW25&gt;-1),$AV25,0)</f>
        <v>0</v>
      </c>
      <c r="BB25">
        <f>IF(AND(SUM(BB$3:BB24)=0,SUM($AY25:BA25)=0,$AX25&lt;=BA$38,$AX25&gt;0,$AW25&gt;-1),$AV25,0)</f>
        <v>0</v>
      </c>
      <c r="BC25">
        <f>IF(AND(SUM(BC$3:BC24)=0,SUM($AY25:BB25)=0,$AX25&lt;=BB$38,$AX25&gt;0,$AW25&gt;-1),$AV25,0)</f>
        <v>0</v>
      </c>
      <c r="BD25">
        <f>IF(AND(SUM(BD$3:BD24)=0,SUM($AY25:BC25)=0,$AX25&lt;=BC$38,$AX25&gt;0,$AW25&gt;-1),$AV25,0)</f>
        <v>0</v>
      </c>
      <c r="BE25">
        <f>IF(AND(SUM(BE$3:BE24)=0,SUM($AY25:BD25)=0,$AX25&lt;=BD$38,$AX25&gt;0,$AW25&gt;-1),$AV25,0)</f>
        <v>0</v>
      </c>
      <c r="BF25">
        <f>IF(AND(SUM(BF$3:BF24)=0,SUM($AY25:BE25)=0,$AX25&lt;=BE$38,$AX25&gt;0,$AW25&gt;-1),$AV25,0)</f>
        <v>0</v>
      </c>
      <c r="BG25">
        <f t="shared" si="2"/>
        <v>0</v>
      </c>
      <c r="BH25" s="494">
        <f>IF(AND(BG25&gt;0,BG25&gt;BG$35,BG$35+BF$38&gt;=BG25,SUM(BH26:BH$32)=0),BG25,0)</f>
        <v>0</v>
      </c>
      <c r="BI25">
        <f t="shared" si="3"/>
        <v>0</v>
      </c>
      <c r="BJ25">
        <v>32</v>
      </c>
      <c r="BK25">
        <f t="shared" si="23"/>
        <v>0</v>
      </c>
      <c r="BL25">
        <f t="shared" si="24"/>
        <v>0</v>
      </c>
      <c r="BM25">
        <f t="shared" ref="BM25:BM30" si="25">IF(BL25=0,0,(BL24)/5+BM24)</f>
        <v>0</v>
      </c>
      <c r="BN25" s="493">
        <f t="shared" si="15"/>
        <v>0</v>
      </c>
    </row>
    <row r="26" spans="1:66" x14ac:dyDescent="0.25">
      <c r="A26">
        <v>13</v>
      </c>
      <c r="B26" t="str">
        <f>_xlfn.XLOOKUP(A26,Order!R$12:R$859,Order!C$12:C$859,"")</f>
        <v/>
      </c>
      <c r="C26" t="str">
        <f>_xlfn.XLOOKUP(A26,Order!R$12:R$859,Order!S$12:S$859,"")</f>
        <v/>
      </c>
      <c r="D26" t="str">
        <f>_xlfn.XLOOKUP(A26,Order!R$12:R$859,Order!B$12:B$859,"")</f>
        <v/>
      </c>
      <c r="E26" t="str">
        <f>_xlfn.XLOOKUP(A26,Order!R$12:R$859,Order!P$12:P$859,"")</f>
        <v/>
      </c>
      <c r="F26" t="str">
        <f>_xlfn.XLOOKUP(A26,Order!R$12:R$859,Order!T$12:T$859,"")</f>
        <v/>
      </c>
      <c r="G26" t="str">
        <f>_xlfn.XLOOKUP(A26,Order!R$12:R$859,Order!U$12:U$859,"")</f>
        <v/>
      </c>
      <c r="H26" t="str">
        <f>_xlfn.XLOOKUP(A26,Order!R$12:R$859,Order!B$12:B$859,"")</f>
        <v/>
      </c>
      <c r="I26" t="str">
        <f>_xlfn.XLOOKUP(A26,Order!R$12:R$859,Order!V$12:V$859,"")</f>
        <v/>
      </c>
      <c r="J26" t="str">
        <f>IFERROR(RANK(F26,F$14:F$213,1)+COUNTIF(F$14:F26,F26)-1,"")</f>
        <v/>
      </c>
      <c r="L26" t="str">
        <f t="shared" si="22"/>
        <v/>
      </c>
      <c r="M26" t="str" cm="1">
        <f t="array" ref="M26">_xlfn.XLOOKUP(A26,J$14:J225,B$14:B225,"")</f>
        <v/>
      </c>
      <c r="N26" t="str" cm="1">
        <f t="array" ref="N26">_xlfn.XLOOKUP(A26,J$14:J225,C$14:C225,"")</f>
        <v/>
      </c>
      <c r="O26" t="str" cm="1">
        <f t="array" ref="O26">_xlfn.XLOOKUP(A26,J$14:J225,E$14:E225,"")</f>
        <v/>
      </c>
      <c r="P26" t="str" cm="1">
        <f t="array" ref="P26">_xlfn.XLOOKUP(A26,J$14:J225,G$14:G225,"")</f>
        <v/>
      </c>
      <c r="Q26" t="str" cm="1">
        <f t="array" ref="Q26">_xlfn.XLOOKUP(A26,J$14:J225,F$14:F225,"")</f>
        <v/>
      </c>
      <c r="R26" t="str" cm="1">
        <f t="array" ref="R26">_xlfn.XLOOKUP(A26,J$14:J225,I$14:I225,"")</f>
        <v/>
      </c>
      <c r="S26" t="str" cm="1">
        <f t="array" ref="S26">_xlfn.XLOOKUP(A26,J$14:J225,H$14:H225,"")</f>
        <v/>
      </c>
      <c r="T26" t="str" cm="1">
        <f t="array" ref="T26">VLOOKUP(ROW(13:13),L$14:S$163,8)</f>
        <v/>
      </c>
      <c r="U26" t="str" cm="1">
        <f t="array" ref="U26">VLOOKUP(ROW(13:13),L$14:M$163,2)</f>
        <v/>
      </c>
      <c r="V26" t="str" cm="1">
        <f t="array" ref="V26">VLOOKUP(ROW(13:13),L$14:O$163,4)</f>
        <v/>
      </c>
      <c r="W26" t="str" cm="1">
        <f t="array" ref="W26">VLOOKUP(ROW(13:13),L$14:Q$163,6)</f>
        <v/>
      </c>
      <c r="X26" cm="1">
        <f t="array" ref="X26">IFERROR(VLOOKUP(ROW(13:13),L$14:P$213,5)+0,0)</f>
        <v>0</v>
      </c>
      <c r="Y26" t="str" cm="1">
        <f t="array" ref="Y26">VLOOKUP(ROW(13:13),L$14:R$163,7)</f>
        <v/>
      </c>
      <c r="Z26">
        <f>IF(Y26&lt;-2,X26+MAX(Z$14:Z25),0)</f>
        <v>0</v>
      </c>
      <c r="AA26">
        <f>IFERROR(IF(AND(SUM(AA27:AA$214)+X26&lt;=Z$10,W26&lt;=Z$12,Z26=0),X26,0),0)</f>
        <v>0</v>
      </c>
      <c r="AB26">
        <f>IFERROR(IF(AND(W26&lt;=Z$12+10,AB$12-X26&gt;=0,SUM(Z26:AA26)=0,SUM(AB$14:AB25)+X26&lt;AB$12),X26,0),0)</f>
        <v>0</v>
      </c>
      <c r="AD26">
        <f>IF(AND(Y26=-2,SUM(Z26:AB26)=0),X26+MAX(AD$14:AD25),0)</f>
        <v>0</v>
      </c>
      <c r="AE26">
        <f>IFERROR(IF(AND(SUM(AE27:AE$214)+X26&lt;=AD$10,W26&lt;=AD$12,SUM(Z26:AD26)=0),X26,0),0)</f>
        <v>0</v>
      </c>
      <c r="AF26">
        <f>IFERROR(IF(AND(W26&lt;=AD$12+10,AF$12-X26&gt;=0,SUM(Z26:AE26)=0,SUM(AF$14:AF25)+X26&lt;AF$12),X26,0),0)</f>
        <v>0</v>
      </c>
      <c r="AG26">
        <f t="shared" si="9"/>
        <v>0</v>
      </c>
      <c r="AI26">
        <f t="shared" si="16"/>
        <v>0</v>
      </c>
      <c r="AJ26" s="493">
        <f t="shared" si="17"/>
        <v>0</v>
      </c>
      <c r="AK26">
        <f>IF(AJ26=0,0,IF(AJ25=0,MAX(AK$13:AK25)+1,IF(W26&lt;&gt;W25,MAX(AK$14:AK25)+1,IF(ROUNDDOWN(AJ26-0.01,0)=ROUNDDOWN(AJ25-0.01,0),AK25,AK25+1))))</f>
        <v>0</v>
      </c>
      <c r="AL26">
        <f t="shared" si="18"/>
        <v>0</v>
      </c>
      <c r="AM26">
        <f t="shared" si="19"/>
        <v>0</v>
      </c>
      <c r="AN26">
        <f>IF(AM26&gt;AN$12,IF(AK26=AK25,AN25,MAX(AN$13:AN25)+1),0)</f>
        <v>0</v>
      </c>
      <c r="AP26">
        <f t="shared" si="10"/>
        <v>0</v>
      </c>
      <c r="AQ26">
        <f>IF(AP26&gt;0,IF(MAX(AQ27:AQ$214)+AP26&gt;ROUNDUP(MAX(AQ27:AQ$214),0),ROUNDUP(MAX(AQ27:AQ$214),0)+AP26,MAX(AQ27:AQ$214)+AP26),0)</f>
        <v>0</v>
      </c>
      <c r="AR26">
        <f t="shared" si="12"/>
        <v>0</v>
      </c>
      <c r="AS26">
        <f t="shared" si="20"/>
        <v>0</v>
      </c>
      <c r="AT26">
        <f t="shared" si="11"/>
        <v>10</v>
      </c>
      <c r="AV26">
        <v>24</v>
      </c>
      <c r="AW26">
        <f t="shared" si="5"/>
        <v>0</v>
      </c>
      <c r="AX26">
        <f t="shared" si="6"/>
        <v>0</v>
      </c>
      <c r="AY26" s="496">
        <f>IF(AND(AX26=AX$2,SUM(AY$3:AY25)=0,AW26=AZ$2),AV26,)</f>
        <v>0</v>
      </c>
      <c r="AZ26">
        <f>IF(AND(SUM(AZ$3:AZ25)=0,SUM($AY26:AY26)=0,$AX26&lt;=AY$38,$AX26&gt;0,$AW26&gt;-1),$AV26,0)</f>
        <v>0</v>
      </c>
      <c r="BA26">
        <f>IF(AND(SUM(BA$3:BA25)=0,SUM($AY26:AZ26)=0,$AX26&lt;=AZ$38,$AX26&gt;0,$AW26&gt;-1),$AV26,0)</f>
        <v>0</v>
      </c>
      <c r="BB26">
        <f>IF(AND(SUM(BB$3:BB25)=0,SUM($AY26:BA26)=0,$AX26&lt;=BA$38,$AX26&gt;0,$AW26&gt;-1),$AV26,0)</f>
        <v>0</v>
      </c>
      <c r="BC26">
        <f>IF(AND(SUM(BC$3:BC25)=0,SUM($AY26:BB26)=0,$AX26&lt;=BB$38,$AX26&gt;0,$AW26&gt;-1),$AV26,0)</f>
        <v>0</v>
      </c>
      <c r="BD26">
        <f>IF(AND(SUM(BD$3:BD25)=0,SUM($AY26:BC26)=0,$AX26&lt;=BC$38,$AX26&gt;0,$AW26&gt;-1),$AV26,0)</f>
        <v>0</v>
      </c>
      <c r="BE26">
        <f>IF(AND(SUM(BE$3:BE25)=0,SUM($AY26:BD26)=0,$AX26&lt;=BD$38,$AX26&gt;0,$AW26&gt;-1),$AV26,0)</f>
        <v>0</v>
      </c>
      <c r="BF26">
        <f>IF(AND(SUM(BF$3:BF25)=0,SUM($AY26:BE26)=0,$AX26&lt;=BE$38,$AX26&gt;0,$AW26&gt;-1),$AV26,0)</f>
        <v>0</v>
      </c>
      <c r="BG26">
        <f t="shared" si="2"/>
        <v>0</v>
      </c>
      <c r="BH26" s="494">
        <f>IF(AND(BG26&gt;0,BG26&gt;BG$35,BG$35+BF$38&gt;=BG26,SUM(BH27:BH$32)=0),BG26,0)</f>
        <v>0</v>
      </c>
      <c r="BI26">
        <f t="shared" si="3"/>
        <v>0</v>
      </c>
      <c r="BJ26">
        <v>33</v>
      </c>
      <c r="BK26">
        <f t="shared" si="23"/>
        <v>0</v>
      </c>
      <c r="BL26">
        <f t="shared" si="24"/>
        <v>0</v>
      </c>
      <c r="BM26">
        <f t="shared" si="25"/>
        <v>0</v>
      </c>
      <c r="BN26" s="493">
        <f t="shared" si="15"/>
        <v>0</v>
      </c>
    </row>
    <row r="27" spans="1:66" x14ac:dyDescent="0.25">
      <c r="A27">
        <v>14</v>
      </c>
      <c r="B27" t="str">
        <f>_xlfn.XLOOKUP(A27,Order!R$12:R$859,Order!C$12:C$859,"")</f>
        <v/>
      </c>
      <c r="C27" t="str">
        <f>_xlfn.XLOOKUP(A27,Order!R$12:R$859,Order!S$12:S$859,"")</f>
        <v/>
      </c>
      <c r="D27" t="str">
        <f>_xlfn.XLOOKUP(A27,Order!R$12:R$859,Order!B$12:B$859,"")</f>
        <v/>
      </c>
      <c r="E27" t="str">
        <f>_xlfn.XLOOKUP(A27,Order!R$12:R$859,Order!P$12:P$859,"")</f>
        <v/>
      </c>
      <c r="F27" t="str">
        <f>_xlfn.XLOOKUP(A27,Order!R$12:R$859,Order!T$12:T$859,"")</f>
        <v/>
      </c>
      <c r="G27" t="str">
        <f>_xlfn.XLOOKUP(A27,Order!R$12:R$859,Order!U$12:U$859,"")</f>
        <v/>
      </c>
      <c r="H27" t="str">
        <f>_xlfn.XLOOKUP(A27,Order!R$12:R$859,Order!B$12:B$859,"")</f>
        <v/>
      </c>
      <c r="I27" t="str">
        <f>_xlfn.XLOOKUP(A27,Order!R$12:R$859,Order!V$12:V$859,"")</f>
        <v/>
      </c>
      <c r="J27" t="str">
        <f>IFERROR(RANK(F27,F$14:F$213,1)+COUNTIF(F$14:F27,F27)-1,"")</f>
        <v/>
      </c>
      <c r="L27" t="str">
        <f t="shared" si="22"/>
        <v/>
      </c>
      <c r="M27" t="str" cm="1">
        <f t="array" ref="M27">_xlfn.XLOOKUP(A27,J$14:J226,B$14:B226,"")</f>
        <v/>
      </c>
      <c r="N27" t="str" cm="1">
        <f t="array" ref="N27">_xlfn.XLOOKUP(A27,J$14:J226,C$14:C226,"")</f>
        <v/>
      </c>
      <c r="O27" t="str" cm="1">
        <f t="array" ref="O27">_xlfn.XLOOKUP(A27,J$14:J226,E$14:E226,"")</f>
        <v/>
      </c>
      <c r="P27" t="str" cm="1">
        <f t="array" ref="P27">_xlfn.XLOOKUP(A27,J$14:J226,G$14:G226,"")</f>
        <v/>
      </c>
      <c r="Q27" t="str" cm="1">
        <f t="array" ref="Q27">_xlfn.XLOOKUP(A27,J$14:J226,F$14:F226,"")</f>
        <v/>
      </c>
      <c r="R27" t="str" cm="1">
        <f t="array" ref="R27">_xlfn.XLOOKUP(A27,J$14:J226,I$14:I226,"")</f>
        <v/>
      </c>
      <c r="S27" t="str" cm="1">
        <f t="array" ref="S27">_xlfn.XLOOKUP(A27,J$14:J226,H$14:H226,"")</f>
        <v/>
      </c>
      <c r="T27" t="str" cm="1">
        <f t="array" ref="T27">VLOOKUP(ROW(14:14),L$14:S$163,8)</f>
        <v/>
      </c>
      <c r="U27" t="str" cm="1">
        <f t="array" ref="U27">VLOOKUP(ROW(14:14),L$14:M$163,2)</f>
        <v/>
      </c>
      <c r="V27" t="str" cm="1">
        <f t="array" ref="V27">VLOOKUP(ROW(14:14),L$14:O$163,4)</f>
        <v/>
      </c>
      <c r="W27" t="str" cm="1">
        <f t="array" ref="W27">VLOOKUP(ROW(14:14),L$14:Q$163,6)</f>
        <v/>
      </c>
      <c r="X27" cm="1">
        <f t="array" ref="X27">IFERROR(VLOOKUP(ROW(14:14),L$14:P$213,5)+0,0)</f>
        <v>0</v>
      </c>
      <c r="Y27" t="str" cm="1">
        <f t="array" ref="Y27">VLOOKUP(ROW(14:14),L$14:R$163,7)</f>
        <v/>
      </c>
      <c r="Z27">
        <f>IF(Y27&lt;-2,X27+MAX(Z$14:Z26),0)</f>
        <v>0</v>
      </c>
      <c r="AA27">
        <f>IFERROR(IF(AND(SUM(AA28:AA$214)+X27&lt;=Z$10,W27&lt;=Z$12,Z27=0),X27,0),0)</f>
        <v>0</v>
      </c>
      <c r="AB27">
        <f>IFERROR(IF(AND(W27&lt;=Z$12+10,AB$12-X27&gt;=0,SUM(Z27:AA27)=0,SUM(AB$14:AB26)+X27&lt;AB$12),X27,0),0)</f>
        <v>0</v>
      </c>
      <c r="AD27">
        <f>IF(AND(Y27=-2,SUM(Z27:AB27)=0),X27+MAX(AD$14:AD26),0)</f>
        <v>0</v>
      </c>
      <c r="AE27">
        <f>IFERROR(IF(AND(SUM(AE28:AE$214)+X27&lt;=AD$10,W27&lt;=AD$12,SUM(Z27:AD27)=0),X27,0),0)</f>
        <v>0</v>
      </c>
      <c r="AF27">
        <f>IFERROR(IF(AND(W27&lt;=AD$12+10,AF$12-X27&gt;=0,SUM(Z27:AE27)=0,SUM(AF$14:AF26)+X27&lt;AF$12),X27,0),0)</f>
        <v>0</v>
      </c>
      <c r="AG27">
        <f t="shared" si="9"/>
        <v>0</v>
      </c>
      <c r="AI27">
        <f t="shared" si="16"/>
        <v>0</v>
      </c>
      <c r="AJ27" s="493">
        <f t="shared" si="17"/>
        <v>0</v>
      </c>
      <c r="AK27">
        <f>IF(AJ27=0,0,IF(AJ26=0,MAX(AK$13:AK26)+1,IF(W27&lt;&gt;W26,MAX(AK$14:AK26)+1,IF(ROUNDDOWN(AJ27-0.01,0)=ROUNDDOWN(AJ26-0.01,0),AK26,AK26+1))))</f>
        <v>0</v>
      </c>
      <c r="AL27">
        <f t="shared" si="18"/>
        <v>0</v>
      </c>
      <c r="AM27">
        <f t="shared" si="19"/>
        <v>0</v>
      </c>
      <c r="AN27">
        <f>IF(AM27&gt;AN$12,IF(AK27=AK26,AN26,MAX(AN$13:AN26)+1),0)</f>
        <v>0</v>
      </c>
      <c r="AP27">
        <f t="shared" si="10"/>
        <v>0</v>
      </c>
      <c r="AQ27">
        <f>IF(AP27&gt;0,IF(MAX(AQ28:AQ$214)+AP27&gt;ROUNDUP(MAX(AQ28:AQ$214),0),ROUNDUP(MAX(AQ28:AQ$214),0)+AP27,MAX(AQ28:AQ$214)+AP27),0)</f>
        <v>0</v>
      </c>
      <c r="AR27">
        <f t="shared" si="12"/>
        <v>0</v>
      </c>
      <c r="AS27">
        <f t="shared" si="20"/>
        <v>0</v>
      </c>
      <c r="AT27">
        <f t="shared" si="11"/>
        <v>10</v>
      </c>
      <c r="AV27">
        <v>25</v>
      </c>
      <c r="AW27">
        <f t="shared" si="5"/>
        <v>0</v>
      </c>
      <c r="AX27">
        <f t="shared" si="6"/>
        <v>0</v>
      </c>
      <c r="AY27" s="496">
        <f>IF(AND(AX27=AX$2,SUM(AY$3:AY26)=0,AW27=AZ$2),AV27,)</f>
        <v>0</v>
      </c>
      <c r="AZ27">
        <f>IF(AND(SUM(AZ$3:AZ26)=0,SUM($AY27:AY27)=0,$AX27&lt;=AY$38,$AX27&gt;0,$AW27&gt;-1),$AV27,0)</f>
        <v>0</v>
      </c>
      <c r="BA27">
        <f>IF(AND(SUM(BA$3:BA26)=0,SUM($AY27:AZ27)=0,$AX27&lt;=AZ$38,$AX27&gt;0,$AW27&gt;-1),$AV27,0)</f>
        <v>0</v>
      </c>
      <c r="BB27">
        <f>IF(AND(SUM(BB$3:BB26)=0,SUM($AY27:BA27)=0,$AX27&lt;=BA$38,$AX27&gt;0,$AW27&gt;-1),$AV27,0)</f>
        <v>0</v>
      </c>
      <c r="BC27">
        <f>IF(AND(SUM(BC$3:BC26)=0,SUM($AY27:BB27)=0,$AX27&lt;=BB$38,$AX27&gt;0,$AW27&gt;-1),$AV27,0)</f>
        <v>0</v>
      </c>
      <c r="BD27">
        <f>IF(AND(SUM(BD$3:BD26)=0,SUM($AY27:BC27)=0,$AX27&lt;=BC$38,$AX27&gt;0,$AW27&gt;-1),$AV27,0)</f>
        <v>0</v>
      </c>
      <c r="BE27">
        <f>IF(AND(SUM(BE$3:BE26)=0,SUM($AY27:BD27)=0,$AX27&lt;=BD$38,$AX27&gt;0,$AW27&gt;-1),$AV27,0)</f>
        <v>0</v>
      </c>
      <c r="BF27">
        <f>IF(AND(SUM(BF$3:BF26)=0,SUM($AY27:BE27)=0,$AX27&lt;=BE$38,$AX27&gt;0,$AW27&gt;-1),$AV27,0)</f>
        <v>0</v>
      </c>
      <c r="BG27">
        <f t="shared" si="2"/>
        <v>0</v>
      </c>
      <c r="BH27" s="494">
        <f>IF(AND(BG27&gt;0,BG27&gt;BG$35,BG$35+BF$38&gt;=BG27,SUM(BH28:BH$32)=0),BG27,0)</f>
        <v>0</v>
      </c>
      <c r="BI27">
        <f t="shared" si="3"/>
        <v>0</v>
      </c>
      <c r="BJ27">
        <v>34</v>
      </c>
      <c r="BK27">
        <f t="shared" si="23"/>
        <v>0</v>
      </c>
      <c r="BL27">
        <f t="shared" si="24"/>
        <v>0</v>
      </c>
      <c r="BM27">
        <f t="shared" si="25"/>
        <v>0</v>
      </c>
      <c r="BN27" s="493">
        <f t="shared" si="15"/>
        <v>0</v>
      </c>
    </row>
    <row r="28" spans="1:66" x14ac:dyDescent="0.25">
      <c r="A28">
        <v>15</v>
      </c>
      <c r="B28" t="str">
        <f>_xlfn.XLOOKUP(A28,Order!R$12:R$859,Order!C$12:C$859,"")</f>
        <v/>
      </c>
      <c r="C28" t="str">
        <f>_xlfn.XLOOKUP(A28,Order!R$12:R$859,Order!S$12:S$859,"")</f>
        <v/>
      </c>
      <c r="D28" t="str">
        <f>_xlfn.XLOOKUP(A28,Order!R$12:R$859,Order!B$12:B$859,"")</f>
        <v/>
      </c>
      <c r="E28" t="str">
        <f>_xlfn.XLOOKUP(A28,Order!R$12:R$859,Order!P$12:P$859,"")</f>
        <v/>
      </c>
      <c r="F28" t="str">
        <f>_xlfn.XLOOKUP(A28,Order!R$12:R$859,Order!T$12:T$859,"")</f>
        <v/>
      </c>
      <c r="G28" t="str">
        <f>_xlfn.XLOOKUP(A28,Order!R$12:R$859,Order!U$12:U$859,"")</f>
        <v/>
      </c>
      <c r="H28" t="str">
        <f>_xlfn.XLOOKUP(A28,Order!R$12:R$859,Order!B$12:B$859,"")</f>
        <v/>
      </c>
      <c r="I28" t="str">
        <f>_xlfn.XLOOKUP(A28,Order!R$12:R$859,Order!V$12:V$859,"")</f>
        <v/>
      </c>
      <c r="J28" t="str">
        <f>IFERROR(RANK(F28,F$14:F$213,1)+COUNTIF(F$14:F28,F28)-1,"")</f>
        <v/>
      </c>
      <c r="L28" t="str">
        <f t="shared" si="22"/>
        <v/>
      </c>
      <c r="M28" t="str" cm="1">
        <f t="array" ref="M28">_xlfn.XLOOKUP(A28,J$14:J227,B$14:B227,"")</f>
        <v/>
      </c>
      <c r="N28" t="str" cm="1">
        <f t="array" ref="N28">_xlfn.XLOOKUP(A28,J$14:J227,C$14:C227,"")</f>
        <v/>
      </c>
      <c r="O28" t="str" cm="1">
        <f t="array" ref="O28">_xlfn.XLOOKUP(A28,J$14:J227,E$14:E227,"")</f>
        <v/>
      </c>
      <c r="P28" t="str" cm="1">
        <f t="array" ref="P28">_xlfn.XLOOKUP(A28,J$14:J227,G$14:G227,"")</f>
        <v/>
      </c>
      <c r="Q28" t="str" cm="1">
        <f t="array" ref="Q28">_xlfn.XLOOKUP(A28,J$14:J227,F$14:F227,"")</f>
        <v/>
      </c>
      <c r="R28" t="str" cm="1">
        <f t="array" ref="R28">_xlfn.XLOOKUP(A28,J$14:J227,I$14:I227,"")</f>
        <v/>
      </c>
      <c r="S28" t="str" cm="1">
        <f t="array" ref="S28">_xlfn.XLOOKUP(A28,J$14:J227,H$14:H227,"")</f>
        <v/>
      </c>
      <c r="T28" t="str" cm="1">
        <f t="array" ref="T28">VLOOKUP(ROW(15:15),L$14:S$163,8)</f>
        <v/>
      </c>
      <c r="U28" t="str" cm="1">
        <f t="array" ref="U28">VLOOKUP(ROW(15:15),L$14:M$163,2)</f>
        <v/>
      </c>
      <c r="V28" t="str" cm="1">
        <f t="array" ref="V28">VLOOKUP(ROW(15:15),L$14:O$163,4)</f>
        <v/>
      </c>
      <c r="W28" t="str" cm="1">
        <f t="array" ref="W28">VLOOKUP(ROW(15:15),L$14:Q$163,6)</f>
        <v/>
      </c>
      <c r="X28" cm="1">
        <f t="array" ref="X28">IFERROR(VLOOKUP(ROW(15:15),L$14:P$213,5)+0,0)</f>
        <v>0</v>
      </c>
      <c r="Y28" t="str" cm="1">
        <f t="array" ref="Y28">VLOOKUP(ROW(15:15),L$14:R$163,7)</f>
        <v/>
      </c>
      <c r="Z28">
        <f>IF(Y28&lt;-2,X28+MAX(Z$14:Z27),0)</f>
        <v>0</v>
      </c>
      <c r="AA28">
        <f>IFERROR(IF(AND(SUM(AA29:AA$214)+X28&lt;=Z$10,W28&lt;=Z$12,Z28=0),X28,0),0)</f>
        <v>0</v>
      </c>
      <c r="AB28">
        <f>IFERROR(IF(AND(W28&lt;=Z$12+10,AB$12-X28&gt;=0,SUM(Z28:AA28)=0,SUM(AB$14:AB27)+X28&lt;AB$12),X28,0),0)</f>
        <v>0</v>
      </c>
      <c r="AD28">
        <f>IF(AND(Y28=-2,SUM(Z28:AB28)=0),X28+MAX(AD$14:AD27),0)</f>
        <v>0</v>
      </c>
      <c r="AE28">
        <f>IFERROR(IF(AND(SUM(AE29:AE$214)+X28&lt;=AD$10,W28&lt;=AD$12,SUM(Z28:AD28)=0),X28,0),0)</f>
        <v>0</v>
      </c>
      <c r="AF28">
        <f>IFERROR(IF(AND(W28&lt;=AD$12+10,AF$12-X28&gt;=0,SUM(Z28:AE28)=0,SUM(AF$14:AF27)+X28&lt;AF$12),X28,0),0)</f>
        <v>0</v>
      </c>
      <c r="AG28">
        <f t="shared" si="9"/>
        <v>0</v>
      </c>
      <c r="AI28">
        <f t="shared" si="16"/>
        <v>0</v>
      </c>
      <c r="AJ28" s="493">
        <f t="shared" si="17"/>
        <v>0</v>
      </c>
      <c r="AK28">
        <f>IF(AJ28=0,0,IF(AJ27=0,MAX(AK$13:AK27)+1,IF(W28&lt;&gt;W27,MAX(AK$14:AK27)+1,IF(ROUNDDOWN(AJ28-0.01,0)=ROUNDDOWN(AJ27-0.01,0),AK27,AK27+1))))</f>
        <v>0</v>
      </c>
      <c r="AL28">
        <f t="shared" si="18"/>
        <v>0</v>
      </c>
      <c r="AM28">
        <f t="shared" si="19"/>
        <v>0</v>
      </c>
      <c r="AN28">
        <f>IF(AM28&gt;AN$12,IF(AK28=AK27,AN27,MAX(AN$13:AN27)+1),0)</f>
        <v>0</v>
      </c>
      <c r="AP28">
        <f t="shared" si="10"/>
        <v>0</v>
      </c>
      <c r="AQ28">
        <f>IF(AP28&gt;0,IF(MAX(AQ29:AQ$214)+AP28&gt;ROUNDUP(MAX(AQ29:AQ$214),0),ROUNDUP(MAX(AQ29:AQ$214),0)+AP28,MAX(AQ29:AQ$214)+AP28),0)</f>
        <v>0</v>
      </c>
      <c r="AR28">
        <f>IF(AP28&gt;0,ROUNDUP(AQ28,0)+AR$12,IF(AN28&gt;0,AN28,0)+AI28)</f>
        <v>0</v>
      </c>
      <c r="AS28">
        <f t="shared" si="20"/>
        <v>0</v>
      </c>
      <c r="AT28">
        <f t="shared" si="11"/>
        <v>10</v>
      </c>
      <c r="AV28">
        <v>26</v>
      </c>
      <c r="AW28">
        <f t="shared" si="5"/>
        <v>0</v>
      </c>
      <c r="AX28">
        <f t="shared" si="6"/>
        <v>0</v>
      </c>
      <c r="AY28" s="496">
        <f>IF(AND(AX28=AX$2,SUM(AY$3:AY27)=0,AW28=AZ$2),AV28,)</f>
        <v>0</v>
      </c>
      <c r="AZ28">
        <f>IF(AND(SUM(AZ$3:AZ27)=0,SUM($AY28:AY28)=0,$AX28&lt;=AY$38,$AX28&gt;0,$AW28&gt;-1),$AV28,0)</f>
        <v>0</v>
      </c>
      <c r="BA28">
        <f>IF(AND(SUM(BA$3:BA27)=0,SUM($AY28:AZ28)=0,$AX28&lt;=AZ$38,$AX28&gt;0,$AW28&gt;-1),$AV28,0)</f>
        <v>0</v>
      </c>
      <c r="BB28">
        <f>IF(AND(SUM(BB$3:BB27)=0,SUM($AY28:BA28)=0,$AX28&lt;=BA$38,$AX28&gt;0,$AW28&gt;-1),$AV28,0)</f>
        <v>0</v>
      </c>
      <c r="BC28">
        <f>IF(AND(SUM(BC$3:BC27)=0,SUM($AY28:BB28)=0,$AX28&lt;=BB$38,$AX28&gt;0,$AW28&gt;-1),$AV28,0)</f>
        <v>0</v>
      </c>
      <c r="BD28">
        <f>IF(AND(SUM(BD$3:BD27)=0,SUM($AY28:BC28)=0,$AX28&lt;=BC$38,$AX28&gt;0,$AW28&gt;-1),$AV28,0)</f>
        <v>0</v>
      </c>
      <c r="BE28">
        <f>IF(AND(SUM(BE$3:BE27)=0,SUM($AY28:BD28)=0,$AX28&lt;=BD$38,$AX28&gt;0,$AW28&gt;-1),$AV28,0)</f>
        <v>0</v>
      </c>
      <c r="BF28">
        <f>IF(AND(SUM(BF$3:BF27)=0,SUM($AY28:BE28)=0,$AX28&lt;=BE$38,$AX28&gt;0,$AW28&gt;-1),$AV28,0)</f>
        <v>0</v>
      </c>
      <c r="BG28">
        <f t="shared" si="2"/>
        <v>0</v>
      </c>
      <c r="BH28" s="494">
        <f>IF(AND(BG28&gt;0,BG28&gt;BG$35,BG$35+BF$38&gt;=BG28,SUM(BH29:BH$32)=0),BG28,0)</f>
        <v>0</v>
      </c>
      <c r="BI28">
        <f t="shared" si="3"/>
        <v>0</v>
      </c>
      <c r="BJ28">
        <v>35</v>
      </c>
      <c r="BK28">
        <f t="shared" si="23"/>
        <v>0</v>
      </c>
      <c r="BL28">
        <f t="shared" si="24"/>
        <v>0</v>
      </c>
      <c r="BM28">
        <f t="shared" si="25"/>
        <v>0</v>
      </c>
      <c r="BN28" s="493">
        <f t="shared" si="15"/>
        <v>0</v>
      </c>
    </row>
    <row r="29" spans="1:66" x14ac:dyDescent="0.25">
      <c r="A29">
        <v>16</v>
      </c>
      <c r="B29" t="str">
        <f>_xlfn.XLOOKUP(A29,Order!R$12:R$859,Order!C$12:C$859,"")</f>
        <v/>
      </c>
      <c r="C29" t="str">
        <f>_xlfn.XLOOKUP(A29,Order!R$12:R$859,Order!S$12:S$859,"")</f>
        <v/>
      </c>
      <c r="D29" t="str">
        <f>_xlfn.XLOOKUP(A29,Order!R$12:R$859,Order!B$12:B$859,"")</f>
        <v/>
      </c>
      <c r="E29" t="str">
        <f>_xlfn.XLOOKUP(A29,Order!R$12:R$859,Order!P$12:P$859,"")</f>
        <v/>
      </c>
      <c r="F29" t="str">
        <f>_xlfn.XLOOKUP(A29,Order!R$12:R$859,Order!T$12:T$859,"")</f>
        <v/>
      </c>
      <c r="G29" t="str">
        <f>_xlfn.XLOOKUP(A29,Order!R$12:R$859,Order!U$12:U$859,"")</f>
        <v/>
      </c>
      <c r="H29" t="str">
        <f>_xlfn.XLOOKUP(A29,Order!R$12:R$859,Order!B$12:B$859,"")</f>
        <v/>
      </c>
      <c r="I29" t="str">
        <f>_xlfn.XLOOKUP(A29,Order!R$12:R$859,Order!V$12:V$859,"")</f>
        <v/>
      </c>
      <c r="J29" t="str">
        <f>IFERROR(RANK(F29,F$14:F$213,1)+COUNTIF(F$14:F29,F29)-1,"")</f>
        <v/>
      </c>
      <c r="L29" t="str">
        <f t="shared" si="22"/>
        <v/>
      </c>
      <c r="M29" t="str" cm="1">
        <f t="array" ref="M29">_xlfn.XLOOKUP(A29,J$14:J228,B$14:B228,"")</f>
        <v/>
      </c>
      <c r="N29" t="str" cm="1">
        <f t="array" ref="N29">_xlfn.XLOOKUP(A29,J$14:J228,C$14:C228,"")</f>
        <v/>
      </c>
      <c r="O29" t="str" cm="1">
        <f t="array" ref="O29">_xlfn.XLOOKUP(A29,J$14:J228,E$14:E228,"")</f>
        <v/>
      </c>
      <c r="P29" t="str" cm="1">
        <f t="array" ref="P29">_xlfn.XLOOKUP(A29,J$14:J228,G$14:G228,"")</f>
        <v/>
      </c>
      <c r="Q29" t="str" cm="1">
        <f t="array" ref="Q29">_xlfn.XLOOKUP(A29,J$14:J228,F$14:F228,"")</f>
        <v/>
      </c>
      <c r="R29" t="str" cm="1">
        <f t="array" ref="R29">_xlfn.XLOOKUP(A29,J$14:J228,I$14:I228,"")</f>
        <v/>
      </c>
      <c r="S29" t="str" cm="1">
        <f t="array" ref="S29">_xlfn.XLOOKUP(A29,J$14:J228,H$14:H228,"")</f>
        <v/>
      </c>
      <c r="T29" t="str" cm="1">
        <f t="array" ref="T29">VLOOKUP(ROW(16:16),L$14:S$163,8)</f>
        <v/>
      </c>
      <c r="U29" t="str" cm="1">
        <f t="array" ref="U29">VLOOKUP(ROW(16:16),L$14:M$163,2)</f>
        <v/>
      </c>
      <c r="V29" t="str" cm="1">
        <f t="array" ref="V29">VLOOKUP(ROW(16:16),L$14:O$163,4)</f>
        <v/>
      </c>
      <c r="W29" t="str" cm="1">
        <f t="array" ref="W29">VLOOKUP(ROW(16:16),L$14:Q$163,6)</f>
        <v/>
      </c>
      <c r="X29" cm="1">
        <f t="array" ref="X29">IFERROR(VLOOKUP(ROW(16:16),L$14:P$213,5)+0,0)</f>
        <v>0</v>
      </c>
      <c r="Y29" t="str" cm="1">
        <f t="array" ref="Y29">VLOOKUP(ROW(16:16),L$14:R$163,7)</f>
        <v/>
      </c>
      <c r="Z29">
        <f>IF(Y29&lt;-2,X29+MAX(Z$14:Z28),0)</f>
        <v>0</v>
      </c>
      <c r="AA29">
        <f>IFERROR(IF(AND(SUM(AA30:AA$214)+X29&lt;=Z$10,W29&lt;=Z$12,Z29=0),X29,0),0)</f>
        <v>0</v>
      </c>
      <c r="AB29">
        <f>IFERROR(IF(AND(W29&lt;=Z$12+10,AB$12-X29&gt;=0,SUM(Z29:AA29)=0,SUM(AB$14:AB28)+X29&lt;AB$12),X29,0),0)</f>
        <v>0</v>
      </c>
      <c r="AD29">
        <f>IF(AND(Y29=-2,SUM(Z29:AB29)=0),X29+MAX(AD$14:AD28),0)</f>
        <v>0</v>
      </c>
      <c r="AE29">
        <f>IFERROR(IF(AND(SUM(AE30:AE$214)+X29&lt;=AD$10,W29&lt;=AD$12,SUM(Z29:AD29)=0),X29,0),0)</f>
        <v>0</v>
      </c>
      <c r="AF29">
        <f>IFERROR(IF(AND(W29&lt;=AD$12+10,AF$12-X29&gt;=0,SUM(Z29:AE29)=0,SUM(AF$14:AF28)+X29&lt;AF$12),X29,0),0)</f>
        <v>0</v>
      </c>
      <c r="AG29">
        <f t="shared" si="9"/>
        <v>0</v>
      </c>
      <c r="AI29">
        <f t="shared" si="16"/>
        <v>0</v>
      </c>
      <c r="AJ29" s="493">
        <f t="shared" si="17"/>
        <v>0</v>
      </c>
      <c r="AK29">
        <f>IF(AJ29=0,0,IF(AJ28=0,MAX(AK$13:AK28)+1,IF(W29&lt;&gt;W28,MAX(AK$14:AK28)+1,IF(ROUNDDOWN(AJ29-0.01,0)=ROUNDDOWN(AJ28-0.01,0),AK28,AK28+1))))</f>
        <v>0</v>
      </c>
      <c r="AL29">
        <f t="shared" si="18"/>
        <v>0</v>
      </c>
      <c r="AM29">
        <f t="shared" si="19"/>
        <v>0</v>
      </c>
      <c r="AN29">
        <f>IF(AM29&gt;AN$12,IF(AK29=AK28,AN28,MAX(AN$13:AN28)+1),0)</f>
        <v>0</v>
      </c>
      <c r="AP29">
        <f t="shared" si="10"/>
        <v>0</v>
      </c>
      <c r="AQ29">
        <f>IF(AP29&gt;0,IF(MAX(AQ30:AQ$214)+AP29&gt;ROUNDUP(MAX(AQ30:AQ$214),0),ROUNDUP(MAX(AQ30:AQ$214),0)+AP29,MAX(AQ30:AQ$214)+AP29),0)</f>
        <v>0</v>
      </c>
      <c r="AR29">
        <f>IF(AP29&gt;0,ROUNDUP(AQ29,0)+AR$12,IF(AN29&gt;0,AN29,0)+AI29)</f>
        <v>0</v>
      </c>
      <c r="AS29">
        <f t="shared" si="20"/>
        <v>0</v>
      </c>
      <c r="AT29">
        <f t="shared" si="11"/>
        <v>10</v>
      </c>
      <c r="AV29">
        <v>27</v>
      </c>
      <c r="AW29">
        <f t="shared" si="5"/>
        <v>0</v>
      </c>
      <c r="AX29">
        <f t="shared" si="6"/>
        <v>0</v>
      </c>
      <c r="AY29" s="496">
        <f>IF(AND(AX29=AX$2,SUM(AY$3:AY28)=0,AW29=AZ$2),AV29,)</f>
        <v>0</v>
      </c>
      <c r="AZ29">
        <f>IF(AND(SUM(AZ$3:AZ28)=0,SUM($AY29:AY29)=0,$AX29&lt;=AY$38,$AX29&gt;0,$AW29&gt;-1),$AV29,0)</f>
        <v>0</v>
      </c>
      <c r="BA29">
        <f>IF(AND(SUM(BA$3:BA28)=0,SUM($AY29:AZ29)=0,$AX29&lt;=AZ$38,$AX29&gt;0,$AW29&gt;-1),$AV29,0)</f>
        <v>0</v>
      </c>
      <c r="BB29">
        <f>IF(AND(SUM(BB$3:BB28)=0,SUM($AY29:BA29)=0,$AX29&lt;=BA$38,$AX29&gt;0,$AW29&gt;-1),$AV29,0)</f>
        <v>0</v>
      </c>
      <c r="BC29">
        <f>IF(AND(SUM(BC$3:BC28)=0,SUM($AY29:BB29)=0,$AX29&lt;=BB$38,$AX29&gt;0,$AW29&gt;-1),$AV29,0)</f>
        <v>0</v>
      </c>
      <c r="BD29">
        <f>IF(AND(SUM(BD$3:BD28)=0,SUM($AY29:BC29)=0,$AX29&lt;=BC$38,$AX29&gt;0,$AW29&gt;-1),$AV29,0)</f>
        <v>0</v>
      </c>
      <c r="BE29">
        <f>IF(AND(SUM(BE$3:BE28)=0,SUM($AY29:BD29)=0,$AX29&lt;=BD$38,$AX29&gt;0,$AW29&gt;-1),$AV29,0)</f>
        <v>0</v>
      </c>
      <c r="BF29">
        <f>IF(AND(SUM(BF$3:BF28)=0,SUM($AY29:BE29)=0,$AX29&lt;=BE$38,$AX29&gt;0,$AW29&gt;-1),$AV29,0)</f>
        <v>0</v>
      </c>
      <c r="BG29">
        <f t="shared" si="2"/>
        <v>0</v>
      </c>
      <c r="BH29" s="494">
        <f>IF(AND(BG29&gt;0,BG29&gt;BG$35,BG$35+BF$38&gt;=BG29,SUM(BH30:BH$32)=0),BG29,0)</f>
        <v>0</v>
      </c>
      <c r="BI29">
        <f t="shared" si="3"/>
        <v>0</v>
      </c>
      <c r="BJ29">
        <v>36</v>
      </c>
      <c r="BK29">
        <f t="shared" si="23"/>
        <v>0</v>
      </c>
      <c r="BL29">
        <f t="shared" si="24"/>
        <v>0</v>
      </c>
      <c r="BM29">
        <f t="shared" si="25"/>
        <v>0</v>
      </c>
      <c r="BN29" s="493">
        <f t="shared" si="15"/>
        <v>0</v>
      </c>
    </row>
    <row r="30" spans="1:66" x14ac:dyDescent="0.25">
      <c r="A30">
        <v>17</v>
      </c>
      <c r="B30" t="str">
        <f>_xlfn.XLOOKUP(A30,Order!R$12:R$859,Order!C$12:C$859,"")</f>
        <v/>
      </c>
      <c r="C30" t="str">
        <f>_xlfn.XLOOKUP(A30,Order!R$12:R$859,Order!S$12:S$859,"")</f>
        <v/>
      </c>
      <c r="D30" t="str">
        <f>_xlfn.XLOOKUP(A30,Order!R$12:R$859,Order!B$12:B$859,"")</f>
        <v/>
      </c>
      <c r="E30" t="str">
        <f>_xlfn.XLOOKUP(A30,Order!R$12:R$859,Order!P$12:P$859,"")</f>
        <v/>
      </c>
      <c r="F30" t="str">
        <f>_xlfn.XLOOKUP(A30,Order!R$12:R$859,Order!T$12:T$859,"")</f>
        <v/>
      </c>
      <c r="G30" t="str">
        <f>_xlfn.XLOOKUP(A30,Order!R$12:R$859,Order!U$12:U$859,"")</f>
        <v/>
      </c>
      <c r="H30" t="str">
        <f>_xlfn.XLOOKUP(A30,Order!R$12:R$859,Order!B$12:B$859,"")</f>
        <v/>
      </c>
      <c r="I30" t="str">
        <f>_xlfn.XLOOKUP(A30,Order!R$12:R$859,Order!V$12:V$859,"")</f>
        <v/>
      </c>
      <c r="J30" t="str">
        <f>IFERROR(RANK(F30,F$14:F$213,1)+COUNTIF(F$14:F30,F30)-1,"")</f>
        <v/>
      </c>
      <c r="L30" t="str">
        <f t="shared" si="22"/>
        <v/>
      </c>
      <c r="M30" t="str" cm="1">
        <f t="array" ref="M30">_xlfn.XLOOKUP(A30,J$14:J229,B$14:B229,"")</f>
        <v/>
      </c>
      <c r="N30" t="str" cm="1">
        <f t="array" ref="N30">_xlfn.XLOOKUP(A30,J$14:J229,C$14:C229,"")</f>
        <v/>
      </c>
      <c r="O30" t="str" cm="1">
        <f t="array" ref="O30">_xlfn.XLOOKUP(A30,J$14:J229,E$14:E229,"")</f>
        <v/>
      </c>
      <c r="P30" t="str" cm="1">
        <f t="array" ref="P30">_xlfn.XLOOKUP(A30,J$14:J229,G$14:G229,"")</f>
        <v/>
      </c>
      <c r="Q30" t="str" cm="1">
        <f t="array" ref="Q30">_xlfn.XLOOKUP(A30,J$14:J229,F$14:F229,"")</f>
        <v/>
      </c>
      <c r="R30" t="str" cm="1">
        <f t="array" ref="R30">_xlfn.XLOOKUP(A30,J$14:J229,I$14:I229,"")</f>
        <v/>
      </c>
      <c r="S30" t="str" cm="1">
        <f t="array" ref="S30">_xlfn.XLOOKUP(A30,J$14:J229,H$14:H229,"")</f>
        <v/>
      </c>
      <c r="T30" t="str" cm="1">
        <f t="array" ref="T30">VLOOKUP(ROW(17:17),L$14:S$163,8)</f>
        <v/>
      </c>
      <c r="U30" t="str" cm="1">
        <f t="array" ref="U30">VLOOKUP(ROW(17:17),L$14:M$163,2)</f>
        <v/>
      </c>
      <c r="V30" t="str" cm="1">
        <f t="array" ref="V30">VLOOKUP(ROW(17:17),L$14:O$163,4)</f>
        <v/>
      </c>
      <c r="W30" t="str" cm="1">
        <f t="array" ref="W30">VLOOKUP(ROW(17:17),L$14:Q$163,6)</f>
        <v/>
      </c>
      <c r="X30" cm="1">
        <f t="array" ref="X30">IFERROR(VLOOKUP(ROW(17:17),L$14:P$213,5)+0,0)</f>
        <v>0</v>
      </c>
      <c r="Y30" t="str" cm="1">
        <f t="array" ref="Y30">VLOOKUP(ROW(17:17),L$14:R$163,7)</f>
        <v/>
      </c>
      <c r="Z30">
        <f>IF(Y30&lt;-2,X30+MAX(Z$14:Z29),0)</f>
        <v>0</v>
      </c>
      <c r="AA30">
        <f>IFERROR(IF(AND(SUM(AA31:AA$214)+X30&lt;=Z$10,W30&lt;=Z$12,Z30=0),X30,0),0)</f>
        <v>0</v>
      </c>
      <c r="AB30">
        <f>IFERROR(IF(AND(W30&lt;=Z$12+10,AB$12-X30&gt;=0,SUM(Z30:AA30)=0,SUM(AB$14:AB29)+X30&lt;AB$12),X30,0),0)</f>
        <v>0</v>
      </c>
      <c r="AD30">
        <f>IF(AND(Y30=-2,SUM(Z30:AB30)=0),X30+MAX(AD$14:AD29),0)</f>
        <v>0</v>
      </c>
      <c r="AE30">
        <f>IFERROR(IF(AND(SUM(AE31:AE$214)+X30&lt;=AD$10,W30&lt;=AD$12,SUM(Z30:AD30)=0),X30,0),0)</f>
        <v>0</v>
      </c>
      <c r="AF30">
        <f>IFERROR(IF(AND(W30&lt;=AD$12+10,AF$12-X30&gt;=0,SUM(Z30:AE30)=0,SUM(AF$14:AF29)+X30&lt;AF$12),X30,0),0)</f>
        <v>0</v>
      </c>
      <c r="AG30">
        <f t="shared" si="9"/>
        <v>0</v>
      </c>
      <c r="AI30">
        <f t="shared" si="16"/>
        <v>0</v>
      </c>
      <c r="AJ30" s="493">
        <f t="shared" si="17"/>
        <v>0</v>
      </c>
      <c r="AK30">
        <f>IF(AJ30=0,0,IF(AJ29=0,MAX(AK$13:AK29)+1,IF(W30&lt;&gt;W29,MAX(AK$14:AK29)+1,IF(ROUNDDOWN(AJ30-0.01,0)=ROUNDDOWN(AJ29-0.01,0),AK29,AK29+1))))</f>
        <v>0</v>
      </c>
      <c r="AL30">
        <f t="shared" si="18"/>
        <v>0</v>
      </c>
      <c r="AM30">
        <f t="shared" si="19"/>
        <v>0</v>
      </c>
      <c r="AN30">
        <f>IF(AM30&gt;AN$12,IF(AK30=AK29,AN29,MAX(AN$13:AN29)+1),0)</f>
        <v>0</v>
      </c>
      <c r="AP30">
        <f t="shared" si="10"/>
        <v>0</v>
      </c>
      <c r="AQ30">
        <f>IF(AP30&gt;0,IF(MAX(AQ31:AQ$214)+AP30&gt;ROUNDUP(MAX(AQ31:AQ$214),0),ROUNDUP(MAX(AQ31:AQ$214),0)+AP30,MAX(AQ31:AQ$214)+AP30),0)</f>
        <v>0</v>
      </c>
      <c r="AR30">
        <f t="shared" si="12"/>
        <v>0</v>
      </c>
      <c r="AS30">
        <f t="shared" si="20"/>
        <v>0</v>
      </c>
      <c r="AT30">
        <f t="shared" si="11"/>
        <v>10</v>
      </c>
      <c r="AV30">
        <v>28</v>
      </c>
      <c r="AW30">
        <f t="shared" si="5"/>
        <v>0</v>
      </c>
      <c r="AX30">
        <f t="shared" si="6"/>
        <v>0</v>
      </c>
      <c r="AY30" s="496">
        <f>IF(AND(AX30=AX$2,SUM(AY$3:AY29)=0,AW30=AZ$2),AV30,)</f>
        <v>0</v>
      </c>
      <c r="AZ30">
        <f>IF(AND(SUM(AZ$3:AZ29)=0,SUM($AY30:AY30)=0,$AX30&lt;=AY$38,$AX30&gt;0,$AW30&gt;-1),$AV30,0)</f>
        <v>0</v>
      </c>
      <c r="BA30">
        <f>IF(AND(SUM(BA$3:BA29)=0,SUM($AY30:AZ30)=0,$AX30&lt;=AZ$38,$AX30&gt;0,$AW30&gt;-1),$AV30,0)</f>
        <v>0</v>
      </c>
      <c r="BB30">
        <f>IF(AND(SUM(BB$3:BB29)=0,SUM($AY30:BA30)=0,$AX30&lt;=BA$38,$AX30&gt;0,$AW30&gt;-1),$AV30,0)</f>
        <v>0</v>
      </c>
      <c r="BC30">
        <f>IF(AND(SUM(BC$3:BC29)=0,SUM($AY30:BB30)=0,$AX30&lt;=BB$38,$AX30&gt;0,$AW30&gt;-1),$AV30,0)</f>
        <v>0</v>
      </c>
      <c r="BD30">
        <f>IF(AND(SUM(BD$3:BD29)=0,SUM($AY30:BC30)=0,$AX30&lt;=BC$38,$AX30&gt;0,$AW30&gt;-1),$AV30,0)</f>
        <v>0</v>
      </c>
      <c r="BE30">
        <f>IF(AND(SUM(BE$3:BE29)=0,SUM($AY30:BD30)=0,$AX30&lt;=BD$38,$AX30&gt;0,$AW30&gt;-1),$AV30,0)</f>
        <v>0</v>
      </c>
      <c r="BF30">
        <f>IF(AND(SUM(BF$3:BF29)=0,SUM($AY30:BE30)=0,$AX30&lt;=BE$38,$AX30&gt;0,$AW30&gt;-1),$AV30,0)</f>
        <v>0</v>
      </c>
      <c r="BG30">
        <f t="shared" si="2"/>
        <v>0</v>
      </c>
      <c r="BH30" s="494">
        <f>IF(AND(BG30&gt;0,BG30&gt;BG$35,BG$35+BF$38&gt;=BG30,SUM(BH31:BH$32)=0),BG30,0)</f>
        <v>0</v>
      </c>
      <c r="BI30">
        <f t="shared" si="3"/>
        <v>0</v>
      </c>
      <c r="BJ30">
        <v>37</v>
      </c>
      <c r="BK30">
        <f t="shared" si="23"/>
        <v>0</v>
      </c>
      <c r="BL30">
        <f t="shared" si="24"/>
        <v>0</v>
      </c>
      <c r="BM30">
        <f t="shared" si="25"/>
        <v>0</v>
      </c>
      <c r="BN30" s="493">
        <f t="shared" si="15"/>
        <v>0</v>
      </c>
    </row>
    <row r="31" spans="1:66" x14ac:dyDescent="0.25">
      <c r="A31">
        <v>18</v>
      </c>
      <c r="B31" t="str">
        <f>_xlfn.XLOOKUP(A31,Order!R$12:R$859,Order!C$12:C$859,"")</f>
        <v/>
      </c>
      <c r="C31" t="str">
        <f>_xlfn.XLOOKUP(A31,Order!R$12:R$859,Order!S$12:S$859,"")</f>
        <v/>
      </c>
      <c r="D31" t="str">
        <f>_xlfn.XLOOKUP(A31,Order!R$12:R$859,Order!B$12:B$859,"")</f>
        <v/>
      </c>
      <c r="E31" t="str">
        <f>_xlfn.XLOOKUP(A31,Order!R$12:R$859,Order!P$12:P$859,"")</f>
        <v/>
      </c>
      <c r="F31" t="str">
        <f>_xlfn.XLOOKUP(A31,Order!R$12:R$859,Order!T$12:T$859,"")</f>
        <v/>
      </c>
      <c r="G31" t="str">
        <f>_xlfn.XLOOKUP(A31,Order!R$12:R$859,Order!U$12:U$859,"")</f>
        <v/>
      </c>
      <c r="H31" t="str">
        <f>_xlfn.XLOOKUP(A31,Order!R$12:R$859,Order!B$12:B$859,"")</f>
        <v/>
      </c>
      <c r="I31" t="str">
        <f>_xlfn.XLOOKUP(A31,Order!R$12:R$859,Order!V$12:V$859,"")</f>
        <v/>
      </c>
      <c r="J31" t="str">
        <f>IFERROR(RANK(F31,F$14:F$213,1)+COUNTIF(F$14:F31,F31)-1,"")</f>
        <v/>
      </c>
      <c r="L31" t="str">
        <f t="shared" si="22"/>
        <v/>
      </c>
      <c r="M31" t="str" cm="1">
        <f t="array" ref="M31">_xlfn.XLOOKUP(A31,J$14:J230,B$14:B230,"")</f>
        <v/>
      </c>
      <c r="N31" t="str" cm="1">
        <f t="array" ref="N31">_xlfn.XLOOKUP(A31,J$14:J230,C$14:C230,"")</f>
        <v/>
      </c>
      <c r="O31" t="str" cm="1">
        <f t="array" ref="O31">_xlfn.XLOOKUP(A31,J$14:J230,E$14:E230,"")</f>
        <v/>
      </c>
      <c r="P31" t="str" cm="1">
        <f t="array" ref="P31">_xlfn.XLOOKUP(A31,J$14:J230,G$14:G230,"")</f>
        <v/>
      </c>
      <c r="Q31" t="str" cm="1">
        <f t="array" ref="Q31">_xlfn.XLOOKUP(A31,J$14:J230,F$14:F230,"")</f>
        <v/>
      </c>
      <c r="R31" t="str" cm="1">
        <f t="array" ref="R31">_xlfn.XLOOKUP(A31,J$14:J230,I$14:I230,"")</f>
        <v/>
      </c>
      <c r="S31" t="str" cm="1">
        <f t="array" ref="S31">_xlfn.XLOOKUP(A31,J$14:J230,H$14:H230,"")</f>
        <v/>
      </c>
      <c r="T31" t="str" cm="1">
        <f t="array" ref="T31">VLOOKUP(ROW(18:18),L$14:S$163,8)</f>
        <v/>
      </c>
      <c r="U31" t="str" cm="1">
        <f t="array" ref="U31">VLOOKUP(ROW(18:18),L$14:M$163,2)</f>
        <v/>
      </c>
      <c r="V31" t="str" cm="1">
        <f t="array" ref="V31">VLOOKUP(ROW(18:18),L$14:O$163,4)</f>
        <v/>
      </c>
      <c r="W31" t="str" cm="1">
        <f t="array" ref="W31">VLOOKUP(ROW(18:18),L$14:Q$163,6)</f>
        <v/>
      </c>
      <c r="X31" cm="1">
        <f t="array" ref="X31">IFERROR(VLOOKUP(ROW(18:18),L$14:P$213,5)+0,0)</f>
        <v>0</v>
      </c>
      <c r="Y31" t="str" cm="1">
        <f t="array" ref="Y31">VLOOKUP(ROW(18:18),L$14:R$163,7)</f>
        <v/>
      </c>
      <c r="Z31">
        <f>IF(Y31&lt;-2,X31+MAX(Z$14:Z30),0)</f>
        <v>0</v>
      </c>
      <c r="AA31">
        <f>IFERROR(IF(AND(SUM(AA32:AA$214)+X31&lt;=Z$10,W31&lt;=Z$12,Z31=0),X31,0),0)</f>
        <v>0</v>
      </c>
      <c r="AB31">
        <f>IFERROR(IF(AND(W31&lt;=Z$12+10,AB$12-X31&gt;=0,SUM(Z31:AA31)=0,SUM(AB$14:AB30)+X31&lt;AB$12),X31,0),0)</f>
        <v>0</v>
      </c>
      <c r="AD31">
        <f>IF(AND(Y31=-2,SUM(Z31:AB31)=0),X31+MAX(AD$14:AD30),0)</f>
        <v>0</v>
      </c>
      <c r="AE31">
        <f>IFERROR(IF(AND(SUM(AE32:AE$214)+X31&lt;=AD$10,W31&lt;=AD$12,SUM(Z31:AD31)=0),X31,0),0)</f>
        <v>0</v>
      </c>
      <c r="AF31">
        <f>IFERROR(IF(AND(W31&lt;=AD$12+10,AF$12-X31&gt;=0,SUM(Z31:AE31)=0,SUM(AF$14:AF30)+X31&lt;AF$12),X31,0),0)</f>
        <v>0</v>
      </c>
      <c r="AG31">
        <f t="shared" si="9"/>
        <v>0</v>
      </c>
      <c r="AI31">
        <f t="shared" si="16"/>
        <v>0</v>
      </c>
      <c r="AJ31" s="493">
        <f t="shared" si="17"/>
        <v>0</v>
      </c>
      <c r="AK31">
        <f>IF(AJ31=0,0,IF(AJ30=0,MAX(AK$13:AK30)+1,IF(W31&lt;&gt;W30,MAX(AK$14:AK30)+1,IF(ROUNDDOWN(AJ31-0.01,0)=ROUNDDOWN(AJ30-0.01,0),AK30,AK30+1))))</f>
        <v>0</v>
      </c>
      <c r="AL31">
        <f t="shared" si="18"/>
        <v>0</v>
      </c>
      <c r="AM31">
        <f t="shared" si="19"/>
        <v>0</v>
      </c>
      <c r="AN31">
        <f>IF(AM31&gt;AN$12,IF(AK31=AK30,AN30,MAX(AN$13:AN30)+1),0)</f>
        <v>0</v>
      </c>
      <c r="AP31">
        <f t="shared" si="10"/>
        <v>0</v>
      </c>
      <c r="AQ31">
        <f>IF(AP31&gt;0,IF(MAX(AQ32:AQ$214)+AP31&gt;ROUNDUP(MAX(AQ32:AQ$214),0),ROUNDUP(MAX(AQ32:AQ$214),0)+AP31,MAX(AQ32:AQ$214)+AP31),0)</f>
        <v>0</v>
      </c>
      <c r="AR31">
        <f t="shared" si="12"/>
        <v>0</v>
      </c>
      <c r="AS31">
        <f t="shared" si="20"/>
        <v>0</v>
      </c>
      <c r="AT31">
        <f t="shared" si="11"/>
        <v>10</v>
      </c>
      <c r="AV31">
        <v>29</v>
      </c>
      <c r="AW31">
        <f t="shared" si="5"/>
        <v>0</v>
      </c>
      <c r="AX31">
        <f t="shared" si="6"/>
        <v>0</v>
      </c>
      <c r="AY31" s="496">
        <f>IF(AND(AX31=AX$2,SUM(AY$3:AY30)=0,AW31=AZ$2),AV31,)</f>
        <v>0</v>
      </c>
      <c r="AZ31">
        <f>IF(AND(SUM(AZ$3:AZ30)=0,SUM($AY31:AY31)=0,$AX31&lt;=AY$38,$AX31&gt;0,$AW31&gt;-1),$AV31,0)</f>
        <v>0</v>
      </c>
      <c r="BA31">
        <f>IF(AND(SUM(BA$3:BA30)=0,SUM($AY31:AZ31)=0,$AX31&lt;=AZ$38,$AX31&gt;0,$AW31&gt;-1),$AV31,0)</f>
        <v>0</v>
      </c>
      <c r="BB31">
        <f>IF(AND(SUM(BB$3:BB30)=0,SUM($AY31:BA31)=0,$AX31&lt;=BA$38,$AX31&gt;0,$AW31&gt;-1),$AV31,0)</f>
        <v>0</v>
      </c>
      <c r="BC31">
        <f>IF(AND(SUM(BC$3:BC30)=0,SUM($AY31:BB31)=0,$AX31&lt;=BB$38,$AX31&gt;0,$AW31&gt;-1),$AV31,0)</f>
        <v>0</v>
      </c>
      <c r="BD31">
        <f>IF(AND(SUM(BD$3:BD30)=0,SUM($AY31:BC31)=0,$AX31&lt;=BC$38,$AX31&gt;0,$AW31&gt;-1),$AV31,0)</f>
        <v>0</v>
      </c>
      <c r="BE31">
        <f>IF(AND(SUM(BE$3:BE30)=0,SUM($AY31:BD31)=0,$AX31&lt;=BD$38,$AX31&gt;0,$AW31&gt;-1),$AV31,0)</f>
        <v>0</v>
      </c>
      <c r="BF31">
        <f>IF(AND(SUM(BF$3:BF30)=0,SUM($AY31:BE31)=0,$AX31&lt;=BE$38,$AX31&gt;0,$AW31&gt;-1),$AV31,0)</f>
        <v>0</v>
      </c>
      <c r="BG31">
        <f t="shared" si="2"/>
        <v>0</v>
      </c>
      <c r="BH31" s="494">
        <f>IF(AND(BG31&gt;0,BG31&gt;BG$35,BG$35+BF$38&gt;=BG31,SUM(BH32:BH$32)=0),BG31,0)</f>
        <v>0</v>
      </c>
      <c r="BI31">
        <f t="shared" si="3"/>
        <v>0</v>
      </c>
    </row>
    <row r="32" spans="1:66" x14ac:dyDescent="0.25">
      <c r="A32">
        <v>19</v>
      </c>
      <c r="B32" t="str">
        <f>_xlfn.XLOOKUP(A32,Order!R$12:R$859,Order!C$12:C$859,"")</f>
        <v/>
      </c>
      <c r="C32" t="str">
        <f>_xlfn.XLOOKUP(A32,Order!R$12:R$859,Order!S$12:S$859,"")</f>
        <v/>
      </c>
      <c r="D32" t="str">
        <f>_xlfn.XLOOKUP(A32,Order!R$12:R$859,Order!B$12:B$859,"")</f>
        <v/>
      </c>
      <c r="E32" t="str">
        <f>_xlfn.XLOOKUP(A32,Order!R$12:R$859,Order!P$12:P$859,"")</f>
        <v/>
      </c>
      <c r="F32" t="str">
        <f>_xlfn.XLOOKUP(A32,Order!R$12:R$859,Order!T$12:T$859,"")</f>
        <v/>
      </c>
      <c r="G32" t="str">
        <f>_xlfn.XLOOKUP(A32,Order!R$12:R$859,Order!U$12:U$859,"")</f>
        <v/>
      </c>
      <c r="H32" t="str">
        <f>_xlfn.XLOOKUP(A32,Order!R$12:R$859,Order!B$12:B$859,"")</f>
        <v/>
      </c>
      <c r="I32" t="str">
        <f>_xlfn.XLOOKUP(A32,Order!R$12:R$859,Order!V$12:V$859,"")</f>
        <v/>
      </c>
      <c r="J32" t="str">
        <f>IFERROR(RANK(F32,F$14:F$213,1)+COUNTIF(F$14:F32,F32)-1,"")</f>
        <v/>
      </c>
      <c r="L32" t="str">
        <f t="shared" si="22"/>
        <v/>
      </c>
      <c r="M32" t="str" cm="1">
        <f t="array" ref="M32">_xlfn.XLOOKUP(A32,J$14:J231,B$14:B231,"")</f>
        <v/>
      </c>
      <c r="N32" t="str" cm="1">
        <f t="array" ref="N32">_xlfn.XLOOKUP(A32,J$14:J231,C$14:C231,"")</f>
        <v/>
      </c>
      <c r="O32" t="str" cm="1">
        <f t="array" ref="O32">_xlfn.XLOOKUP(A32,J$14:J231,E$14:E231,"")</f>
        <v/>
      </c>
      <c r="P32" t="str" cm="1">
        <f t="array" ref="P32">_xlfn.XLOOKUP(A32,J$14:J231,G$14:G231,"")</f>
        <v/>
      </c>
      <c r="Q32" t="str" cm="1">
        <f t="array" ref="Q32">_xlfn.XLOOKUP(A32,J$14:J231,F$14:F231,"")</f>
        <v/>
      </c>
      <c r="R32" t="str" cm="1">
        <f t="array" ref="R32">_xlfn.XLOOKUP(A32,J$14:J231,I$14:I231,"")</f>
        <v/>
      </c>
      <c r="S32" t="str" cm="1">
        <f t="array" ref="S32">_xlfn.XLOOKUP(A32,J$14:J231,H$14:H231,"")</f>
        <v/>
      </c>
      <c r="T32" t="str" cm="1">
        <f t="array" ref="T32">VLOOKUP(ROW(19:19),L$14:S$163,8)</f>
        <v/>
      </c>
      <c r="U32" t="str" cm="1">
        <f t="array" ref="U32">VLOOKUP(ROW(19:19),L$14:M$163,2)</f>
        <v/>
      </c>
      <c r="V32" t="str" cm="1">
        <f t="array" ref="V32">VLOOKUP(ROW(19:19),L$14:O$163,4)</f>
        <v/>
      </c>
      <c r="W32" t="str" cm="1">
        <f t="array" ref="W32">VLOOKUP(ROW(19:19),L$14:Q$163,6)</f>
        <v/>
      </c>
      <c r="X32" cm="1">
        <f t="array" ref="X32">IFERROR(VLOOKUP(ROW(19:19),L$14:P$213,5)+0,0)</f>
        <v>0</v>
      </c>
      <c r="Y32" t="str" cm="1">
        <f t="array" ref="Y32">VLOOKUP(ROW(19:19),L$14:R$163,7)</f>
        <v/>
      </c>
      <c r="Z32">
        <f>IF(Y32&lt;-2,X32+MAX(Z$14:Z31),0)</f>
        <v>0</v>
      </c>
      <c r="AA32">
        <f>IFERROR(IF(AND(SUM(AA33:AA$214)+X32&lt;=Z$10,W32&lt;=Z$12,Z32=0),X32,0),0)</f>
        <v>0</v>
      </c>
      <c r="AB32">
        <f>IFERROR(IF(AND(W32&lt;=Z$12+10,AB$12-X32&gt;=0,SUM(Z32:AA32)=0,SUM(AB$14:AB31)+X32&lt;AB$12),X32,0),0)</f>
        <v>0</v>
      </c>
      <c r="AD32">
        <f>IF(AND(Y32=-2,SUM(Z32:AB32)=0),X32+MAX(AD$14:AD31),0)</f>
        <v>0</v>
      </c>
      <c r="AE32">
        <f>IFERROR(IF(AND(SUM(AE33:AE$214)+X32&lt;=AD$10,W32&lt;=AD$12,SUM(Z32:AD32)=0),X32,0),0)</f>
        <v>0</v>
      </c>
      <c r="AF32">
        <f>IFERROR(IF(AND(W32&lt;=AD$12+10,AF$12-X32&gt;=0,SUM(Z32:AE32)=0,SUM(AF$14:AF31)+X32&lt;AF$12),X32,0),0)</f>
        <v>0</v>
      </c>
      <c r="AG32">
        <f t="shared" si="9"/>
        <v>0</v>
      </c>
      <c r="AI32">
        <f t="shared" si="16"/>
        <v>0</v>
      </c>
      <c r="AJ32" s="493">
        <f t="shared" si="17"/>
        <v>0</v>
      </c>
      <c r="AK32">
        <f>IF(AJ32=0,0,IF(AJ31=0,MAX(AK$13:AK31)+1,IF(W32&lt;&gt;W31,MAX(AK$14:AK31)+1,IF(ROUNDDOWN(AJ32-0.01,0)=ROUNDDOWN(AJ31-0.01,0),AK31,AK31+1))))</f>
        <v>0</v>
      </c>
      <c r="AL32">
        <f t="shared" si="18"/>
        <v>0</v>
      </c>
      <c r="AM32">
        <f t="shared" si="19"/>
        <v>0</v>
      </c>
      <c r="AN32">
        <f>IF(AM32&gt;AN$12,IF(AK32=AK31,AN31,MAX(AN$13:AN31)+1),0)</f>
        <v>0</v>
      </c>
      <c r="AP32">
        <f t="shared" si="10"/>
        <v>0</v>
      </c>
      <c r="AQ32">
        <f>IF(AP32&gt;0,IF(MAX(AQ33:AQ$214)+AP32&gt;ROUNDUP(MAX(AQ33:AQ$214),0),ROUNDUP(MAX(AQ33:AQ$214),0)+AP32,MAX(AQ33:AQ$214)+AP32),0)</f>
        <v>0</v>
      </c>
      <c r="AR32">
        <f t="shared" si="12"/>
        <v>0</v>
      </c>
      <c r="AS32">
        <f t="shared" si="20"/>
        <v>0</v>
      </c>
      <c r="AT32">
        <f t="shared" si="11"/>
        <v>10</v>
      </c>
      <c r="AV32">
        <v>30</v>
      </c>
      <c r="AW32">
        <f t="shared" si="5"/>
        <v>0</v>
      </c>
      <c r="AX32">
        <f t="shared" si="6"/>
        <v>0</v>
      </c>
      <c r="AY32" s="496">
        <f>IF(AND(AX32=AX$2,SUM(AY$3:AY31)=0,AW32=AZ$2),AV32,)</f>
        <v>0</v>
      </c>
      <c r="AZ32">
        <f>IF(AND(SUM(AZ$3:AZ31)=0,SUM($AY32:AY32)=0,$AX32&lt;=AY$38,$AX32&gt;0,$AW32&gt;-1),$AV32,0)</f>
        <v>0</v>
      </c>
      <c r="BA32">
        <f>IF(AND(SUM(BA$3:BA31)=0,SUM($AY32:AZ32)=0,$AX32&lt;=AZ$38,$AX32&gt;0,$AW32&gt;-1),$AV32,0)</f>
        <v>0</v>
      </c>
      <c r="BB32">
        <f>IF(AND(SUM(BB$3:BB31)=0,SUM($AY32:BA32)=0,$AX32&lt;=BA$38,$AX32&gt;0,$AW32&gt;-1),$AV32,0)</f>
        <v>0</v>
      </c>
      <c r="BC32">
        <f>IF(AND(SUM(BC$3:BC31)=0,SUM($AY32:BB32)=0,$AX32&lt;=BB$38,$AX32&gt;0,$AW32&gt;-1),$AV32,0)</f>
        <v>0</v>
      </c>
      <c r="BD32">
        <f>IF(AND(SUM(BD$3:BD31)=0,SUM($AY32:BC32)=0,$AX32&lt;=BC$38,$AX32&gt;0,$AW32&gt;-1),$AV32,0)</f>
        <v>0</v>
      </c>
      <c r="BE32">
        <f>IF(AND(SUM(BE$3:BE31)=0,SUM($AY32:BD32)=0,$AX32&lt;=BD$38,$AX32&gt;0,$AW32&gt;-1),$AV32,0)</f>
        <v>0</v>
      </c>
      <c r="BF32">
        <f>IF(AND(SUM(BF$3:BF31)=0,SUM($AY32:BE32)=0,$AX32&lt;=BE$38,$AX32&gt;0,$AW32&gt;-1),$AV32,0)</f>
        <v>0</v>
      </c>
      <c r="BG32">
        <f t="shared" si="2"/>
        <v>0</v>
      </c>
      <c r="BH32" s="494">
        <f>IF(AND(BG32&gt;0,BG32&gt;BG$35,BG$35+BF$38&gt;BG32),BG32,0)</f>
        <v>0</v>
      </c>
      <c r="BI32">
        <f t="shared" si="3"/>
        <v>0</v>
      </c>
      <c r="BJ32">
        <v>40</v>
      </c>
      <c r="BK32">
        <f>_xlfn.XLOOKUP(BJ32,AY$155:BF$155,AY$153:BF$153,0)</f>
        <v>0</v>
      </c>
      <c r="BL32">
        <f>_xlfn.XLOOKUP(BJ32,AY$155:BF$155,AY$154:BF$154,0)</f>
        <v>0</v>
      </c>
      <c r="BN32" s="493">
        <f t="shared" si="15"/>
        <v>0</v>
      </c>
    </row>
    <row r="33" spans="1:66" x14ac:dyDescent="0.25">
      <c r="A33">
        <v>20</v>
      </c>
      <c r="B33" t="str">
        <f>_xlfn.XLOOKUP(A33,Order!R$12:R$859,Order!C$12:C$859,"")</f>
        <v/>
      </c>
      <c r="C33" t="str">
        <f>_xlfn.XLOOKUP(A33,Order!R$12:R$859,Order!S$12:S$859,"")</f>
        <v/>
      </c>
      <c r="D33" t="str">
        <f>_xlfn.XLOOKUP(A33,Order!R$12:R$859,Order!B$12:B$859,"")</f>
        <v/>
      </c>
      <c r="E33" t="str">
        <f>_xlfn.XLOOKUP(A33,Order!R$12:R$859,Order!P$12:P$859,"")</f>
        <v/>
      </c>
      <c r="F33" t="str">
        <f>_xlfn.XLOOKUP(A33,Order!R$12:R$859,Order!T$12:T$859,"")</f>
        <v/>
      </c>
      <c r="G33" t="str">
        <f>_xlfn.XLOOKUP(A33,Order!R$12:R$859,Order!U$12:U$859,"")</f>
        <v/>
      </c>
      <c r="H33" t="str">
        <f>_xlfn.XLOOKUP(A33,Order!R$12:R$859,Order!B$12:B$859,"")</f>
        <v/>
      </c>
      <c r="I33" t="str">
        <f>_xlfn.XLOOKUP(A33,Order!R$12:R$859,Order!V$12:V$859,"")</f>
        <v/>
      </c>
      <c r="J33" t="str">
        <f>IFERROR(RANK(F33,F$14:F$213,1)+COUNTIF(F$14:F33,F33)-1,"")</f>
        <v/>
      </c>
      <c r="L33" t="str">
        <f t="shared" si="22"/>
        <v/>
      </c>
      <c r="M33" t="str" cm="1">
        <f t="array" ref="M33">_xlfn.XLOOKUP(A33,J$14:J232,B$14:B232,"")</f>
        <v/>
      </c>
      <c r="N33" t="str" cm="1">
        <f t="array" ref="N33">_xlfn.XLOOKUP(A33,J$14:J232,C$14:C232,"")</f>
        <v/>
      </c>
      <c r="O33" t="str" cm="1">
        <f t="array" ref="O33">_xlfn.XLOOKUP(A33,J$14:J232,E$14:E232,"")</f>
        <v/>
      </c>
      <c r="P33" t="str" cm="1">
        <f t="array" ref="P33">_xlfn.XLOOKUP(A33,J$14:J232,G$14:G232,"")</f>
        <v/>
      </c>
      <c r="Q33" t="str" cm="1">
        <f t="array" ref="Q33">_xlfn.XLOOKUP(A33,J$14:J232,F$14:F232,"")</f>
        <v/>
      </c>
      <c r="R33" t="str" cm="1">
        <f t="array" ref="R33">_xlfn.XLOOKUP(A33,J$14:J232,I$14:I232,"")</f>
        <v/>
      </c>
      <c r="S33" t="str" cm="1">
        <f t="array" ref="S33">_xlfn.XLOOKUP(A33,J$14:J232,H$14:H232,"")</f>
        <v/>
      </c>
      <c r="T33" t="str" cm="1">
        <f t="array" ref="T33">VLOOKUP(ROW(20:20),L$14:S$163,8)</f>
        <v/>
      </c>
      <c r="U33" t="str" cm="1">
        <f t="array" ref="U33">VLOOKUP(ROW(20:20),L$14:M$163,2)</f>
        <v/>
      </c>
      <c r="V33" t="str" cm="1">
        <f t="array" ref="V33">VLOOKUP(ROW(20:20),L$14:O$163,4)</f>
        <v/>
      </c>
      <c r="W33" t="str" cm="1">
        <f t="array" ref="W33">VLOOKUP(ROW(20:20),L$14:Q$163,6)</f>
        <v/>
      </c>
      <c r="X33" cm="1">
        <f t="array" ref="X33">IFERROR(VLOOKUP(ROW(20:20),L$14:P$213,5)+0,0)</f>
        <v>0</v>
      </c>
      <c r="Y33" t="str" cm="1">
        <f t="array" ref="Y33">VLOOKUP(ROW(20:20),L$14:R$163,7)</f>
        <v/>
      </c>
      <c r="Z33">
        <f>IF(Y33&lt;-2,X33+MAX(Z$14:Z32),0)</f>
        <v>0</v>
      </c>
      <c r="AA33">
        <f>IFERROR(IF(AND(SUM(AA34:AA$214)+X33&lt;=Z$10,W33&lt;=Z$12,Z33=0),X33,0),0)</f>
        <v>0</v>
      </c>
      <c r="AB33">
        <f>IFERROR(IF(AND(W33&lt;=Z$12+10,AB$12-X33&gt;=0,SUM(Z33:AA33)=0,SUM(AB$14:AB32)+X33&lt;AB$12),X33,0),0)</f>
        <v>0</v>
      </c>
      <c r="AD33">
        <f>IF(AND(Y33=-2,SUM(Z33:AB33)=0),X33+MAX(AD$14:AD32),0)</f>
        <v>0</v>
      </c>
      <c r="AE33">
        <f>IFERROR(IF(AND(SUM(AE34:AE$214)+X33&lt;=AD$10,W33&lt;=AD$12,SUM(Z33:AD33)=0),X33,0),0)</f>
        <v>0</v>
      </c>
      <c r="AF33">
        <f>IFERROR(IF(AND(W33&lt;=AD$12+10,AF$12-X33&gt;=0,SUM(Z33:AE33)=0,SUM(AF$14:AF32)+X33&lt;AF$12),X33,0),0)</f>
        <v>0</v>
      </c>
      <c r="AG33">
        <f t="shared" si="9"/>
        <v>0</v>
      </c>
      <c r="AI33">
        <f t="shared" si="16"/>
        <v>0</v>
      </c>
      <c r="AJ33" s="493">
        <f t="shared" si="17"/>
        <v>0</v>
      </c>
      <c r="AK33">
        <f>IF(AJ33=0,0,IF(AJ32=0,MAX(AK$13:AK32)+1,IF(W33&lt;&gt;W32,MAX(AK$14:AK32)+1,IF(ROUNDDOWN(AJ33-0.01,0)=ROUNDDOWN(AJ32-0.01,0),AK32,AK32+1))))</f>
        <v>0</v>
      </c>
      <c r="AL33">
        <f>_xlfn.MAXIFS(AJ$14:AJ$213,AK$14:AK$213,AK33)</f>
        <v>0</v>
      </c>
      <c r="AM33">
        <f>IF(AL33&gt;1,AL33-ROUNDDOWN(AL33,0),AL33)</f>
        <v>0</v>
      </c>
      <c r="AN33">
        <f>IF(AM33&gt;AN$12,IF(AK33=AK32,AN32,MAX(AN$13:AN32)+1),0)</f>
        <v>0</v>
      </c>
      <c r="AP33">
        <f t="shared" si="10"/>
        <v>0</v>
      </c>
      <c r="AQ33">
        <f>IF(AP33&gt;0,IF(MAX(AQ34:AQ$214)+AP33&gt;ROUNDUP(MAX(AQ34:AQ$214),0),ROUNDUP(MAX(AQ34:AQ$214),0)+AP33,MAX(AQ34:AQ$214)+AP33),0)</f>
        <v>0</v>
      </c>
      <c r="AR33">
        <f t="shared" si="12"/>
        <v>0</v>
      </c>
      <c r="AS33">
        <f t="shared" si="20"/>
        <v>0</v>
      </c>
      <c r="AT33">
        <f t="shared" si="11"/>
        <v>10</v>
      </c>
      <c r="AV33" s="461"/>
      <c r="AW33" s="461"/>
      <c r="AX33" s="461"/>
      <c r="AY33" s="461">
        <f>SUM(AY3:AY32)</f>
        <v>0</v>
      </c>
      <c r="AZ33" s="461">
        <f>SUM(AZ3:AZ32)</f>
        <v>0</v>
      </c>
      <c r="BA33" s="461">
        <f>SUM(BA3:BA32)</f>
        <v>0</v>
      </c>
      <c r="BB33" s="461">
        <f>SUM(BB3:BB32)</f>
        <v>0</v>
      </c>
      <c r="BC33" s="461">
        <f>SUM(BC3:BC32)</f>
        <v>0</v>
      </c>
      <c r="BD33" s="461">
        <f t="shared" ref="BD33:BF33" si="26">SUM(BD3:BD32)</f>
        <v>0</v>
      </c>
      <c r="BE33" s="461">
        <f t="shared" si="26"/>
        <v>0</v>
      </c>
      <c r="BF33" s="461">
        <f t="shared" si="26"/>
        <v>0</v>
      </c>
      <c r="BG33" s="461"/>
      <c r="BH33" s="461"/>
      <c r="BJ33">
        <v>41</v>
      </c>
      <c r="BK33">
        <f t="shared" ref="BK33:BK39" si="27">_xlfn.SINGLE(_xlfn.XLOOKUP(BJ33,AY$155:BF$155,AY$153:BF$153,0))</f>
        <v>0</v>
      </c>
      <c r="BL33">
        <f t="shared" ref="BL33:BL39" si="28">_xlfn.SINGLE(_xlfn.XLOOKUP(BJ33,AY$155:BF$155,AY$154:BF$154,0))</f>
        <v>0</v>
      </c>
      <c r="BM33">
        <f>IF(BL33=0,0,(BL32-15)/5+BM32)</f>
        <v>0</v>
      </c>
      <c r="BN33" s="493">
        <f t="shared" si="15"/>
        <v>0</v>
      </c>
    </row>
    <row r="34" spans="1:66" x14ac:dyDescent="0.25">
      <c r="A34">
        <v>21</v>
      </c>
      <c r="B34" t="str">
        <f>_xlfn.XLOOKUP(A34,Order!R$12:R$859,Order!C$12:C$859,"")</f>
        <v/>
      </c>
      <c r="C34" t="str">
        <f>_xlfn.XLOOKUP(A34,Order!R$12:R$859,Order!S$12:S$859,"")</f>
        <v/>
      </c>
      <c r="D34" t="str">
        <f>_xlfn.XLOOKUP(A34,Order!R$12:R$859,Order!B$12:B$859,"")</f>
        <v/>
      </c>
      <c r="E34" t="str">
        <f>_xlfn.XLOOKUP(A34,Order!R$12:R$859,Order!P$12:P$859,"")</f>
        <v/>
      </c>
      <c r="F34" t="str">
        <f>_xlfn.XLOOKUP(A34,Order!R$12:R$859,Order!T$12:T$859,"")</f>
        <v/>
      </c>
      <c r="G34" t="str">
        <f>_xlfn.XLOOKUP(A34,Order!R$12:R$859,Order!U$12:U$859,"")</f>
        <v/>
      </c>
      <c r="H34" t="str">
        <f>_xlfn.XLOOKUP(A34,Order!R$12:R$859,Order!B$12:B$859,"")</f>
        <v/>
      </c>
      <c r="I34" t="str">
        <f>_xlfn.XLOOKUP(A34,Order!R$12:R$859,Order!V$12:V$859,"")</f>
        <v/>
      </c>
      <c r="J34" t="str">
        <f>IFERROR(RANK(F34,F$14:F$213,1)+COUNTIF(F$14:F34,F34)-1,"")</f>
        <v/>
      </c>
      <c r="L34" t="str">
        <f t="shared" si="22"/>
        <v/>
      </c>
      <c r="M34" t="str" cm="1">
        <f t="array" ref="M34">_xlfn.XLOOKUP(A34,J$14:J233,B$14:B233,"")</f>
        <v/>
      </c>
      <c r="N34" t="str" cm="1">
        <f t="array" ref="N34">_xlfn.XLOOKUP(A34,J$14:J233,C$14:C233,"")</f>
        <v/>
      </c>
      <c r="O34" t="str" cm="1">
        <f t="array" ref="O34">_xlfn.XLOOKUP(A34,J$14:J233,E$14:E233,"")</f>
        <v/>
      </c>
      <c r="P34" t="str" cm="1">
        <f t="array" ref="P34">_xlfn.XLOOKUP(A34,J$14:J233,G$14:G233,"")</f>
        <v/>
      </c>
      <c r="Q34" t="str" cm="1">
        <f t="array" ref="Q34">_xlfn.XLOOKUP(A34,J$14:J233,F$14:F233,"")</f>
        <v/>
      </c>
      <c r="R34" t="str" cm="1">
        <f t="array" ref="R34">_xlfn.XLOOKUP(A34,J$14:J233,I$14:I233,"")</f>
        <v/>
      </c>
      <c r="S34" t="str" cm="1">
        <f t="array" ref="S34">_xlfn.XLOOKUP(A34,J$14:J233,H$14:H233,"")</f>
        <v/>
      </c>
      <c r="T34" t="str" cm="1">
        <f t="array" ref="T34">VLOOKUP(ROW(21:21),L$14:S$163,8)</f>
        <v/>
      </c>
      <c r="U34" t="str" cm="1">
        <f t="array" ref="U34">VLOOKUP(ROW(21:21),L$14:M$163,2)</f>
        <v/>
      </c>
      <c r="V34" t="str" cm="1">
        <f t="array" ref="V34">VLOOKUP(ROW(21:21),L$14:O$163,4)</f>
        <v/>
      </c>
      <c r="W34" t="str" cm="1">
        <f t="array" ref="W34">VLOOKUP(ROW(21:21),L$14:Q$163,6)</f>
        <v/>
      </c>
      <c r="X34" cm="1">
        <f t="array" ref="X34">IFERROR(VLOOKUP(ROW(21:21),L$14:P$213,5)+0,0)</f>
        <v>0</v>
      </c>
      <c r="Y34" t="str" cm="1">
        <f t="array" ref="Y34">VLOOKUP(ROW(21:21),L$14:R$163,7)</f>
        <v/>
      </c>
      <c r="Z34">
        <f>IF(Y34&lt;-2,X34+MAX(Z$14:Z33),0)</f>
        <v>0</v>
      </c>
      <c r="AA34">
        <f>IFERROR(IF(AND(SUM(AA35:AA$214)+X34&lt;=Z$10,W34&lt;=Z$12,Z34=0),X34,0),0)</f>
        <v>0</v>
      </c>
      <c r="AB34">
        <f>IFERROR(IF(AND(W34&lt;=Z$12+10,AB$12-X34&gt;=0,SUM(Z34:AA34)=0,SUM(AB$14:AB33)+X34&lt;AB$12),X34,0),0)</f>
        <v>0</v>
      </c>
      <c r="AD34">
        <f>IF(AND(Y34=-2,SUM(Z34:AB34)=0),X34+MAX(AD$14:AD33),0)</f>
        <v>0</v>
      </c>
      <c r="AE34">
        <f>IFERROR(IF(AND(SUM(AE35:AE$214)+X34&lt;=AD$10,W34&lt;=AD$12,SUM(Z34:AD34)=0),X34,0),0)</f>
        <v>0</v>
      </c>
      <c r="AF34">
        <f>IFERROR(IF(AND(W34&lt;=AD$12+10,AF$12-X34&gt;=0,SUM(Z34:AE34)=0,SUM(AF$14:AF33)+X34&lt;AF$12),X34,0),0)</f>
        <v>0</v>
      </c>
      <c r="AG34">
        <f t="shared" si="9"/>
        <v>0</v>
      </c>
      <c r="AI34">
        <f t="shared" si="16"/>
        <v>0</v>
      </c>
      <c r="AJ34" s="493">
        <f t="shared" si="17"/>
        <v>0</v>
      </c>
      <c r="AK34">
        <f>IF(AJ34=0,0,IF(AJ33=0,MAX(AK$13:AK33)+1,IF(W34&lt;&gt;W33,MAX(AK$14:AK33)+1,IF(ROUNDDOWN(AJ34-0.01,0)=ROUNDDOWN(AJ33-0.01,0),AK33,AK33+1))))</f>
        <v>0</v>
      </c>
      <c r="AL34">
        <f t="shared" si="18"/>
        <v>0</v>
      </c>
      <c r="AM34">
        <f t="shared" si="19"/>
        <v>0</v>
      </c>
      <c r="AN34">
        <f>IF(AM34&gt;AN$12,IF(AK34=AK33,AN33,MAX(AN$13:AN33)+1),0)</f>
        <v>0</v>
      </c>
      <c r="AP34">
        <f t="shared" si="10"/>
        <v>0</v>
      </c>
      <c r="AQ34">
        <f>IF(AP34&gt;0,IF(MAX(AQ35:AQ$214)+AP34&gt;ROUNDUP(MAX(AQ35:AQ$214),0),ROUNDUP(MAX(AQ35:AQ$214),0)+AP34,MAX(AQ35:AQ$214)+AP34),0)</f>
        <v>0</v>
      </c>
      <c r="AR34">
        <f t="shared" si="12"/>
        <v>0</v>
      </c>
      <c r="AS34">
        <f t="shared" si="20"/>
        <v>0</v>
      </c>
      <c r="AT34">
        <f t="shared" si="11"/>
        <v>10</v>
      </c>
      <c r="AX34">
        <f>LARGE(AX3:AX32,2)</f>
        <v>0</v>
      </c>
      <c r="AY34">
        <f t="shared" ref="AY34:BF34" si="29">_xlfn.SINGLE(IF(AY33&gt;0,_xlfn.XLOOKUP(AY33,AY3:AY32,$AX3:$AX32),0))</f>
        <v>0</v>
      </c>
      <c r="AZ34">
        <f t="shared" si="29"/>
        <v>0</v>
      </c>
      <c r="BA34">
        <f t="shared" si="29"/>
        <v>0</v>
      </c>
      <c r="BB34">
        <f t="shared" si="29"/>
        <v>0</v>
      </c>
      <c r="BC34">
        <f t="shared" si="29"/>
        <v>0</v>
      </c>
      <c r="BD34">
        <f t="shared" si="29"/>
        <v>0</v>
      </c>
      <c r="BE34">
        <f t="shared" si="29"/>
        <v>0</v>
      </c>
      <c r="BF34">
        <f t="shared" si="29"/>
        <v>0</v>
      </c>
      <c r="BG34" t="b">
        <f>IF(BF34&gt;0,6,IF(BE34&gt;0,5,IF(BD34&gt;0,4,IF(BC34&gt;0,3,IF(BB34&gt;0,2,IF(BA34&gt;0,1))))))</f>
        <v>0</v>
      </c>
      <c r="BH34" s="494">
        <f>MAX(BH3:BH32)</f>
        <v>0</v>
      </c>
      <c r="BJ34">
        <v>42</v>
      </c>
      <c r="BK34">
        <f t="shared" si="27"/>
        <v>0</v>
      </c>
      <c r="BL34">
        <f t="shared" si="28"/>
        <v>0</v>
      </c>
      <c r="BM34">
        <f t="shared" ref="BM34:BM39" si="30">IF(BL34=0,0,(BL33)/5+BM33)</f>
        <v>0</v>
      </c>
      <c r="BN34" s="493">
        <f>SUMIF(AR$14:AR$213,BK34,X$14:X$213)</f>
        <v>0</v>
      </c>
    </row>
    <row r="35" spans="1:66" x14ac:dyDescent="0.25">
      <c r="A35">
        <v>22</v>
      </c>
      <c r="B35" t="str">
        <f>_xlfn.XLOOKUP(A35,Order!R$12:R$859,Order!C$12:C$859,"")</f>
        <v/>
      </c>
      <c r="C35" t="str">
        <f>_xlfn.XLOOKUP(A35,Order!R$12:R$859,Order!S$12:S$859,"")</f>
        <v/>
      </c>
      <c r="D35" t="str">
        <f>_xlfn.XLOOKUP(A35,Order!R$12:R$859,Order!B$12:B$859,"")</f>
        <v/>
      </c>
      <c r="E35" t="str">
        <f>_xlfn.XLOOKUP(A35,Order!R$12:R$859,Order!P$12:P$859,"")</f>
        <v/>
      </c>
      <c r="F35" t="str">
        <f>_xlfn.XLOOKUP(A35,Order!R$12:R$859,Order!T$12:T$859,"")</f>
        <v/>
      </c>
      <c r="G35" t="str">
        <f>_xlfn.XLOOKUP(A35,Order!R$12:R$859,Order!U$12:U$859,"")</f>
        <v/>
      </c>
      <c r="H35" t="str">
        <f>_xlfn.XLOOKUP(A35,Order!R$12:R$859,Order!B$12:B$859,"")</f>
        <v/>
      </c>
      <c r="I35" t="str">
        <f>_xlfn.XLOOKUP(A35,Order!R$12:R$859,Order!V$12:V$859,"")</f>
        <v/>
      </c>
      <c r="J35" t="str">
        <f>IFERROR(RANK(F35,F$14:F$213,1)+COUNTIF(F$14:F35,F35)-1,"")</f>
        <v/>
      </c>
      <c r="L35" t="str">
        <f t="shared" si="22"/>
        <v/>
      </c>
      <c r="M35" t="str" cm="1">
        <f t="array" ref="M35">_xlfn.XLOOKUP(A35,J$14:J234,B$14:B234,"")</f>
        <v/>
      </c>
      <c r="N35" t="str" cm="1">
        <f t="array" ref="N35">_xlfn.XLOOKUP(A35,J$14:J234,C$14:C234,"")</f>
        <v/>
      </c>
      <c r="O35" t="str" cm="1">
        <f t="array" ref="O35">_xlfn.XLOOKUP(A35,J$14:J234,E$14:E234,"")</f>
        <v/>
      </c>
      <c r="P35" t="str" cm="1">
        <f t="array" ref="P35">_xlfn.XLOOKUP(A35,J$14:J234,G$14:G234,"")</f>
        <v/>
      </c>
      <c r="Q35" t="str" cm="1">
        <f t="array" ref="Q35">_xlfn.XLOOKUP(A35,J$14:J234,F$14:F234,"")</f>
        <v/>
      </c>
      <c r="R35" t="str" cm="1">
        <f t="array" ref="R35">_xlfn.XLOOKUP(A35,J$14:J234,I$14:I234,"")</f>
        <v/>
      </c>
      <c r="S35" t="str" cm="1">
        <f t="array" ref="S35">_xlfn.XLOOKUP(A35,J$14:J234,H$14:H234,"")</f>
        <v/>
      </c>
      <c r="T35" t="str" cm="1">
        <f t="array" ref="T35">VLOOKUP(ROW(22:22),L$14:S$163,8)</f>
        <v/>
      </c>
      <c r="U35" t="str" cm="1">
        <f t="array" ref="U35">VLOOKUP(ROW(22:22),L$14:M$163,2)</f>
        <v/>
      </c>
      <c r="V35" t="str" cm="1">
        <f t="array" ref="V35">VLOOKUP(ROW(22:22),L$14:O$163,4)</f>
        <v/>
      </c>
      <c r="W35" t="str" cm="1">
        <f t="array" ref="W35">VLOOKUP(ROW(22:22),L$14:Q$163,6)</f>
        <v/>
      </c>
      <c r="X35" cm="1">
        <f t="array" ref="X35">IFERROR(VLOOKUP(ROW(22:22),L$14:P$213,5)+0,0)</f>
        <v>0</v>
      </c>
      <c r="Y35" t="str" cm="1">
        <f t="array" ref="Y35">VLOOKUP(ROW(22:22),L$14:R$163,7)</f>
        <v/>
      </c>
      <c r="Z35">
        <f>IF(Y35&lt;-2,X35+MAX(Z$14:Z34),0)</f>
        <v>0</v>
      </c>
      <c r="AA35">
        <f>IFERROR(IF(AND(SUM(AA36:AA$214)+X35&lt;=Z$10,W35&lt;=Z$12,Z35=0),X35,0),0)</f>
        <v>0</v>
      </c>
      <c r="AB35">
        <f>IFERROR(IF(AND(W35&lt;=Z$12+10,AB$12-X35&gt;=0,SUM(Z35:AA35)=0,SUM(AB$14:AB34)+X35&lt;AB$12),X35,0),0)</f>
        <v>0</v>
      </c>
      <c r="AD35">
        <f>IF(AND(Y35=-2,SUM(Z35:AB35)=0),X35+MAX(AD$14:AD34),0)</f>
        <v>0</v>
      </c>
      <c r="AE35">
        <f>IFERROR(IF(AND(SUM(AE36:AE$214)+X35&lt;=AD$10,W35&lt;=AD$12,SUM(Z35:AD35)=0),X35,0),0)</f>
        <v>0</v>
      </c>
      <c r="AF35">
        <f>IFERROR(IF(AND(W35&lt;=AD$12+10,AF$12-X35&gt;=0,SUM(Z35:AE35)=0,SUM(AF$14:AF34)+X35&lt;AF$12),X35,0),0)</f>
        <v>0</v>
      </c>
      <c r="AG35">
        <f t="shared" si="9"/>
        <v>0</v>
      </c>
      <c r="AI35">
        <f t="shared" si="16"/>
        <v>0</v>
      </c>
      <c r="AJ35" s="493">
        <f t="shared" si="17"/>
        <v>0</v>
      </c>
      <c r="AK35">
        <f>IF(AJ35=0,0,IF(AJ34=0,MAX(AK$13:AK34)+1,IF(W35&lt;&gt;W34,MAX(AK$14:AK34)+1,IF(ROUNDDOWN(AJ35-0.01,0)=ROUNDDOWN(AJ34-0.01,0),AK34,AK34+1))))</f>
        <v>0</v>
      </c>
      <c r="AL35">
        <f t="shared" si="18"/>
        <v>0</v>
      </c>
      <c r="AM35">
        <f t="shared" si="19"/>
        <v>0</v>
      </c>
      <c r="AN35">
        <f>IF(AM35&gt;AN$12,IF(AK35=AK34,AN34,MAX(AN$13:AN34)+1),0)</f>
        <v>0</v>
      </c>
      <c r="AP35">
        <f t="shared" si="10"/>
        <v>0</v>
      </c>
      <c r="AQ35">
        <f>IF(AP35&gt;0,IF(MAX(AQ36:AQ$214)+AP35&gt;ROUNDUP(MAX(AQ36:AQ$214),0),ROUNDUP(MAX(AQ36:AQ$214),0)+AP35,MAX(AQ36:AQ$214)+AP35),0)</f>
        <v>0</v>
      </c>
      <c r="AR35">
        <f t="shared" si="12"/>
        <v>0</v>
      </c>
      <c r="AS35">
        <f t="shared" si="20"/>
        <v>0</v>
      </c>
      <c r="AT35">
        <f t="shared" si="11"/>
        <v>10</v>
      </c>
      <c r="AY35">
        <f>AY33</f>
        <v>0</v>
      </c>
      <c r="AZ35">
        <f>AZ33</f>
        <v>0</v>
      </c>
      <c r="BA35">
        <f t="shared" ref="BA35:BF35" si="31">IF(AND($BG34=BA1,$BH34&gt;0),$BH35,BA33)</f>
        <v>0</v>
      </c>
      <c r="BB35">
        <f t="shared" si="31"/>
        <v>0</v>
      </c>
      <c r="BC35">
        <f t="shared" si="31"/>
        <v>0</v>
      </c>
      <c r="BD35">
        <f t="shared" si="31"/>
        <v>0</v>
      </c>
      <c r="BE35">
        <f t="shared" si="31"/>
        <v>0</v>
      </c>
      <c r="BF35">
        <f t="shared" si="31"/>
        <v>0</v>
      </c>
      <c r="BG35" t="b">
        <f>IF(BF34&gt;0,BF34,IF(BE34&gt;0,BE34,IF(BD34&gt;0,BD34,IF(BC34&gt;0,BC34,IF(BB34&gt;0,BB34,IF(BA34&gt;0,BA34))))))</f>
        <v>0</v>
      </c>
      <c r="BH35">
        <f>_xlfn.XLOOKUP(BH34,BH3:BH32,AV3:AV32,0,0,1)</f>
        <v>1</v>
      </c>
      <c r="BJ35">
        <v>43</v>
      </c>
      <c r="BK35">
        <f t="shared" si="27"/>
        <v>0</v>
      </c>
      <c r="BL35">
        <f t="shared" si="28"/>
        <v>0</v>
      </c>
      <c r="BM35">
        <f t="shared" si="30"/>
        <v>0</v>
      </c>
      <c r="BN35" s="493">
        <f t="shared" si="15"/>
        <v>0</v>
      </c>
    </row>
    <row r="36" spans="1:66" x14ac:dyDescent="0.25">
      <c r="A36">
        <v>23</v>
      </c>
      <c r="B36" t="str">
        <f>_xlfn.XLOOKUP(A36,Order!R$12:R$859,Order!C$12:C$859,"")</f>
        <v/>
      </c>
      <c r="C36" t="str">
        <f>_xlfn.XLOOKUP(A36,Order!R$12:R$859,Order!S$12:S$859,"")</f>
        <v/>
      </c>
      <c r="D36" t="str">
        <f>_xlfn.XLOOKUP(A36,Order!R$12:R$859,Order!B$12:B$859,"")</f>
        <v/>
      </c>
      <c r="E36" t="str">
        <f>_xlfn.XLOOKUP(A36,Order!R$12:R$859,Order!P$12:P$859,"")</f>
        <v/>
      </c>
      <c r="F36" t="str">
        <f>_xlfn.XLOOKUP(A36,Order!R$12:R$859,Order!T$12:T$859,"")</f>
        <v/>
      </c>
      <c r="G36" t="str">
        <f>_xlfn.XLOOKUP(A36,Order!R$12:R$859,Order!U$12:U$859,"")</f>
        <v/>
      </c>
      <c r="H36" t="str">
        <f>_xlfn.XLOOKUP(A36,Order!R$12:R$859,Order!B$12:B$859,"")</f>
        <v/>
      </c>
      <c r="I36" t="str">
        <f>_xlfn.XLOOKUP(A36,Order!R$12:R$859,Order!V$12:V$859,"")</f>
        <v/>
      </c>
      <c r="J36" t="str">
        <f>IFERROR(RANK(F36,F$14:F$213,1)+COUNTIF(F$14:F36,F36)-1,"")</f>
        <v/>
      </c>
      <c r="L36" t="str">
        <f t="shared" si="22"/>
        <v/>
      </c>
      <c r="M36" t="str" cm="1">
        <f t="array" ref="M36">_xlfn.XLOOKUP(A36,J$14:J235,B$14:B235,"")</f>
        <v/>
      </c>
      <c r="N36" t="str" cm="1">
        <f t="array" ref="N36">_xlfn.XLOOKUP(A36,J$14:J235,C$14:C235,"")</f>
        <v/>
      </c>
      <c r="O36" t="str" cm="1">
        <f t="array" ref="O36">_xlfn.XLOOKUP(A36,J$14:J235,E$14:E235,"")</f>
        <v/>
      </c>
      <c r="P36" t="str" cm="1">
        <f t="array" ref="P36">_xlfn.XLOOKUP(A36,J$14:J235,G$14:G235,"")</f>
        <v/>
      </c>
      <c r="Q36" t="str" cm="1">
        <f t="array" ref="Q36">_xlfn.XLOOKUP(A36,J$14:J235,F$14:F235,"")</f>
        <v/>
      </c>
      <c r="R36" t="str" cm="1">
        <f t="array" ref="R36">_xlfn.XLOOKUP(A36,J$14:J235,I$14:I235,"")</f>
        <v/>
      </c>
      <c r="S36" t="str" cm="1">
        <f t="array" ref="S36">_xlfn.XLOOKUP(A36,J$14:J235,H$14:H235,"")</f>
        <v/>
      </c>
      <c r="T36" t="str" cm="1">
        <f t="array" ref="T36">VLOOKUP(ROW(23:23),L$14:S$163,8)</f>
        <v/>
      </c>
      <c r="U36" t="str" cm="1">
        <f t="array" ref="U36">VLOOKUP(ROW(23:23),L$14:M$163,2)</f>
        <v/>
      </c>
      <c r="V36" t="str" cm="1">
        <f t="array" ref="V36">VLOOKUP(ROW(23:23),L$14:O$163,4)</f>
        <v/>
      </c>
      <c r="W36" t="str" cm="1">
        <f t="array" ref="W36">VLOOKUP(ROW(23:23),L$14:Q$163,6)</f>
        <v/>
      </c>
      <c r="X36" cm="1">
        <f t="array" ref="X36">IFERROR(VLOOKUP(ROW(23:23),L$14:P$213,5)+0,0)</f>
        <v>0</v>
      </c>
      <c r="Y36" t="str" cm="1">
        <f t="array" ref="Y36">VLOOKUP(ROW(23:23),L$14:R$163,7)</f>
        <v/>
      </c>
      <c r="Z36">
        <f>IF(Y36&lt;-2,X36+MAX(Z$14:Z35),0)</f>
        <v>0</v>
      </c>
      <c r="AA36">
        <f>IFERROR(IF(AND(SUM(AA37:AA$214)+X36&lt;=Z$10,W36&lt;=Z$12,Z36=0),X36,0),0)</f>
        <v>0</v>
      </c>
      <c r="AB36">
        <f>IFERROR(IF(AND(W36&lt;=Z$12+10,AB$12-X36&gt;=0,SUM(Z36:AA36)=0,SUM(AB$14:AB35)+X36&lt;AB$12),X36,0),0)</f>
        <v>0</v>
      </c>
      <c r="AD36">
        <f>IF(AND(Y36=-2,SUM(Z36:AB36)=0),X36+MAX(AD$14:AD35),0)</f>
        <v>0</v>
      </c>
      <c r="AE36">
        <f>IFERROR(IF(AND(SUM(AE37:AE$214)+X36&lt;=AD$10,W36&lt;=AD$12,SUM(Z36:AD36)=0),X36,0),0)</f>
        <v>0</v>
      </c>
      <c r="AF36">
        <f>IFERROR(IF(AND(W36&lt;=AD$12+10,AF$12-X36&gt;=0,SUM(Z36:AE36)=0,SUM(AF$14:AF35)+X36&lt;AF$12),X36,0),0)</f>
        <v>0</v>
      </c>
      <c r="AG36">
        <f t="shared" si="9"/>
        <v>0</v>
      </c>
      <c r="AI36">
        <f t="shared" si="16"/>
        <v>0</v>
      </c>
      <c r="AJ36" s="493">
        <f t="shared" si="17"/>
        <v>0</v>
      </c>
      <c r="AK36">
        <f>IF(AJ36=0,0,IF(AJ35=0,MAX(AK$13:AK35)+1,IF(W36&lt;&gt;W35,MAX(AK$14:AK35)+1,IF(ROUNDDOWN(AJ36-0.01,0)=ROUNDDOWN(AJ35-0.01,0),AK35,AK35+1))))</f>
        <v>0</v>
      </c>
      <c r="AL36">
        <f t="shared" si="18"/>
        <v>0</v>
      </c>
      <c r="AM36">
        <f t="shared" si="19"/>
        <v>0</v>
      </c>
      <c r="AN36">
        <f>IF(AM36&gt;AN$12,IF(AK36=AK35,AN35,MAX(AN$13:AN35)+1),0)</f>
        <v>0</v>
      </c>
      <c r="AP36">
        <f t="shared" si="10"/>
        <v>0</v>
      </c>
      <c r="AQ36">
        <f>IF(AP36&gt;0,IF(MAX(AQ37:AQ$214)+AP36&gt;ROUNDUP(MAX(AQ37:AQ$214),0),ROUNDUP(MAX(AQ37:AQ$214),0)+AP36,MAX(AQ37:AQ$214)+AP36),0)</f>
        <v>0</v>
      </c>
      <c r="AR36">
        <f t="shared" si="12"/>
        <v>0</v>
      </c>
      <c r="AS36">
        <f t="shared" si="20"/>
        <v>0</v>
      </c>
      <c r="AT36">
        <f t="shared" si="11"/>
        <v>10</v>
      </c>
      <c r="AY36">
        <f>AY34</f>
        <v>0</v>
      </c>
      <c r="AZ36">
        <f>AZ34</f>
        <v>0</v>
      </c>
      <c r="BA36">
        <f t="shared" ref="BA36:BF36" si="32">IF(AND($BG34=BA1,$BH34&gt;0),$BH34,BA34)</f>
        <v>0</v>
      </c>
      <c r="BB36">
        <f t="shared" si="32"/>
        <v>0</v>
      </c>
      <c r="BC36">
        <f t="shared" si="32"/>
        <v>0</v>
      </c>
      <c r="BD36">
        <f t="shared" si="32"/>
        <v>0</v>
      </c>
      <c r="BE36">
        <f t="shared" si="32"/>
        <v>0</v>
      </c>
      <c r="BF36">
        <f t="shared" si="32"/>
        <v>0</v>
      </c>
      <c r="BG36">
        <f>_xlfn.XLOOKUP(BG34,BA1:BF1,BA33:BF33,0)</f>
        <v>0</v>
      </c>
      <c r="BJ36">
        <v>44</v>
      </c>
      <c r="BK36">
        <f t="shared" si="27"/>
        <v>0</v>
      </c>
      <c r="BL36">
        <f t="shared" si="28"/>
        <v>0</v>
      </c>
      <c r="BM36">
        <f t="shared" si="30"/>
        <v>0</v>
      </c>
      <c r="BN36" s="493">
        <f t="shared" si="15"/>
        <v>0</v>
      </c>
    </row>
    <row r="37" spans="1:66" x14ac:dyDescent="0.25">
      <c r="A37">
        <v>24</v>
      </c>
      <c r="B37" t="str">
        <f>_xlfn.XLOOKUP(A37,Order!R$12:R$859,Order!C$12:C$859,"")</f>
        <v/>
      </c>
      <c r="C37" t="str">
        <f>_xlfn.XLOOKUP(A37,Order!R$12:R$859,Order!S$12:S$859,"")</f>
        <v/>
      </c>
      <c r="D37" t="str">
        <f>_xlfn.XLOOKUP(A37,Order!R$12:R$859,Order!B$12:B$859,"")</f>
        <v/>
      </c>
      <c r="E37" t="str">
        <f>_xlfn.XLOOKUP(A37,Order!R$12:R$859,Order!P$12:P$859,"")</f>
        <v/>
      </c>
      <c r="F37" t="str">
        <f>_xlfn.XLOOKUP(A37,Order!R$12:R$859,Order!T$12:T$859,"")</f>
        <v/>
      </c>
      <c r="G37" t="str">
        <f>_xlfn.XLOOKUP(A37,Order!R$12:R$859,Order!U$12:U$859,"")</f>
        <v/>
      </c>
      <c r="H37" t="str">
        <f>_xlfn.XLOOKUP(A37,Order!R$12:R$859,Order!B$12:B$859,"")</f>
        <v/>
      </c>
      <c r="I37" t="str">
        <f>_xlfn.XLOOKUP(A37,Order!R$12:R$859,Order!V$12:V$859,"")</f>
        <v/>
      </c>
      <c r="J37" t="str">
        <f>IFERROR(RANK(F37,F$14:F$213,1)+COUNTIF(F$14:F37,F37)-1,"")</f>
        <v/>
      </c>
      <c r="L37" t="str">
        <f t="shared" si="22"/>
        <v/>
      </c>
      <c r="M37" t="str" cm="1">
        <f t="array" ref="M37">_xlfn.XLOOKUP(A37,J$14:J236,B$14:B236,"")</f>
        <v/>
      </c>
      <c r="N37" t="str" cm="1">
        <f t="array" ref="N37">_xlfn.XLOOKUP(A37,J$14:J236,C$14:C236,"")</f>
        <v/>
      </c>
      <c r="O37" t="str" cm="1">
        <f t="array" ref="O37">_xlfn.XLOOKUP(A37,J$14:J236,E$14:E236,"")</f>
        <v/>
      </c>
      <c r="P37" t="str" cm="1">
        <f t="array" ref="P37">_xlfn.XLOOKUP(A37,J$14:J236,G$14:G236,"")</f>
        <v/>
      </c>
      <c r="Q37" t="str" cm="1">
        <f t="array" ref="Q37">_xlfn.XLOOKUP(A37,J$14:J236,F$14:F236,"")</f>
        <v/>
      </c>
      <c r="R37" t="str" cm="1">
        <f t="array" ref="R37">_xlfn.XLOOKUP(A37,J$14:J236,I$14:I236,"")</f>
        <v/>
      </c>
      <c r="S37" t="str" cm="1">
        <f t="array" ref="S37">_xlfn.XLOOKUP(A37,J$14:J236,H$14:H236,"")</f>
        <v/>
      </c>
      <c r="T37" t="str" cm="1">
        <f t="array" ref="T37">VLOOKUP(ROW(24:24),L$14:S$163,8)</f>
        <v/>
      </c>
      <c r="U37" t="str" cm="1">
        <f t="array" ref="U37">VLOOKUP(ROW(24:24),L$14:M$163,2)</f>
        <v/>
      </c>
      <c r="V37" t="str" cm="1">
        <f t="array" ref="V37">VLOOKUP(ROW(24:24),L$14:O$163,4)</f>
        <v/>
      </c>
      <c r="W37" t="str" cm="1">
        <f t="array" ref="W37">VLOOKUP(ROW(24:24),L$14:Q$163,6)</f>
        <v/>
      </c>
      <c r="X37" cm="1">
        <f t="array" ref="X37">IFERROR(VLOOKUP(ROW(24:24),L$14:P$213,5)+0,0)</f>
        <v>0</v>
      </c>
      <c r="Y37" t="str" cm="1">
        <f t="array" ref="Y37">VLOOKUP(ROW(24:24),L$14:R$163,7)</f>
        <v/>
      </c>
      <c r="Z37">
        <f>IF(Y37&lt;-2,X37+MAX(Z$14:Z36),0)</f>
        <v>0</v>
      </c>
      <c r="AA37">
        <f>IFERROR(IF(AND(SUM(AA38:AA$214)+X37&lt;=Z$10,W37&lt;=Z$12,Z37=0),X37,0),0)</f>
        <v>0</v>
      </c>
      <c r="AB37">
        <f>IFERROR(IF(AND(W37&lt;=Z$12+10,AB$12-X37&gt;=0,SUM(Z37:AA37)=0,SUM(AB$14:AB36)+X37&lt;AB$12),X37,0),0)</f>
        <v>0</v>
      </c>
      <c r="AD37">
        <f>IF(AND(Y37=-2,SUM(Z37:AB37)=0),X37+MAX(AD$14:AD36),0)</f>
        <v>0</v>
      </c>
      <c r="AE37">
        <f>IFERROR(IF(AND(SUM(AE38:AE$214)+X37&lt;=AD$10,W37&lt;=AD$12,SUM(Z37:AD37)=0),X37,0),0)</f>
        <v>0</v>
      </c>
      <c r="AF37">
        <f>IFERROR(IF(AND(W37&lt;=AD$12+10,AF$12-X37&gt;=0,SUM(Z37:AE37)=0,SUM(AF$14:AF36)+X37&lt;AF$12),X37,0),0)</f>
        <v>0</v>
      </c>
      <c r="AG37">
        <f t="shared" si="9"/>
        <v>0</v>
      </c>
      <c r="AI37">
        <f t="shared" si="16"/>
        <v>0</v>
      </c>
      <c r="AJ37" s="493">
        <f t="shared" si="17"/>
        <v>0</v>
      </c>
      <c r="AK37">
        <f>IF(AJ37=0,0,IF(AJ36=0,MAX(AK$13:AK36)+1,IF(W37&lt;&gt;W36,MAX(AK$14:AK36)+1,IF(ROUNDDOWN(AJ37-0.01,0)=ROUNDDOWN(AJ36-0.01,0),AK36,AK36+1))))</f>
        <v>0</v>
      </c>
      <c r="AL37">
        <f t="shared" si="18"/>
        <v>0</v>
      </c>
      <c r="AM37">
        <f t="shared" si="19"/>
        <v>0</v>
      </c>
      <c r="AN37">
        <f>IF(AM37&gt;AN$12,IF(AK37=AK36,AN36,MAX(AN$13:AN36)+1),0)</f>
        <v>0</v>
      </c>
      <c r="AP37">
        <f t="shared" si="10"/>
        <v>0</v>
      </c>
      <c r="AQ37">
        <f>IF(AP37&gt;0,IF(MAX(AQ38:AQ$214)+AP37&gt;ROUNDUP(MAX(AQ38:AQ$214),0),ROUNDUP(MAX(AQ38:AQ$214),0)+AP37,MAX(AQ38:AQ$214)+AP37),0)</f>
        <v>0</v>
      </c>
      <c r="AR37">
        <f t="shared" si="12"/>
        <v>0</v>
      </c>
      <c r="AS37">
        <f t="shared" si="20"/>
        <v>0</v>
      </c>
      <c r="AT37">
        <f t="shared" si="11"/>
        <v>10</v>
      </c>
      <c r="AY37">
        <f>MAX(AZ37:BF37)+1</f>
        <v>11</v>
      </c>
      <c r="AZ37">
        <f>10</f>
        <v>10</v>
      </c>
      <c r="BA37">
        <f t="shared" ref="BA37:BF37" si="33">IF(BA33&gt;0,AZ37+1,0)</f>
        <v>0</v>
      </c>
      <c r="BB37">
        <f t="shared" si="33"/>
        <v>0</v>
      </c>
      <c r="BC37">
        <f t="shared" si="33"/>
        <v>0</v>
      </c>
      <c r="BD37">
        <f t="shared" si="33"/>
        <v>0</v>
      </c>
      <c r="BE37">
        <f t="shared" si="33"/>
        <v>0</v>
      </c>
      <c r="BF37">
        <f t="shared" si="33"/>
        <v>0</v>
      </c>
      <c r="BJ37">
        <v>45</v>
      </c>
      <c r="BK37">
        <f t="shared" si="27"/>
        <v>0</v>
      </c>
      <c r="BL37">
        <f t="shared" si="28"/>
        <v>0</v>
      </c>
      <c r="BM37">
        <f t="shared" si="30"/>
        <v>0</v>
      </c>
      <c r="BN37" s="493">
        <f t="shared" si="15"/>
        <v>0</v>
      </c>
    </row>
    <row r="38" spans="1:66" x14ac:dyDescent="0.25">
      <c r="A38">
        <v>25</v>
      </c>
      <c r="B38" t="str">
        <f>_xlfn.XLOOKUP(A38,Order!R$12:R$859,Order!C$12:C$859,"")</f>
        <v/>
      </c>
      <c r="C38" t="str">
        <f>_xlfn.XLOOKUP(A38,Order!R$12:R$859,Order!S$12:S$859,"")</f>
        <v/>
      </c>
      <c r="D38" t="str">
        <f>_xlfn.XLOOKUP(A38,Order!R$12:R$859,Order!B$12:B$859,"")</f>
        <v/>
      </c>
      <c r="E38" t="str">
        <f>_xlfn.XLOOKUP(A38,Order!R$12:R$859,Order!P$12:P$859,"")</f>
        <v/>
      </c>
      <c r="F38" t="str">
        <f>_xlfn.XLOOKUP(A38,Order!R$12:R$859,Order!T$12:T$859,"")</f>
        <v/>
      </c>
      <c r="G38" t="str">
        <f>_xlfn.XLOOKUP(A38,Order!R$12:R$859,Order!U$12:U$859,"")</f>
        <v/>
      </c>
      <c r="H38" t="str">
        <f>_xlfn.XLOOKUP(A38,Order!R$12:R$859,Order!B$12:B$859,"")</f>
        <v/>
      </c>
      <c r="I38" t="str">
        <f>_xlfn.XLOOKUP(A38,Order!R$12:R$859,Order!V$12:V$859,"")</f>
        <v/>
      </c>
      <c r="J38" t="str">
        <f>IFERROR(RANK(F38,F$14:F$213,1)+COUNTIF(F$14:F38,F38)-1,"")</f>
        <v/>
      </c>
      <c r="L38" t="str">
        <f t="shared" si="22"/>
        <v/>
      </c>
      <c r="M38" t="str" cm="1">
        <f t="array" ref="M38">_xlfn.XLOOKUP(A38,J$14:J237,B$14:B237,"")</f>
        <v/>
      </c>
      <c r="N38" t="str" cm="1">
        <f t="array" ref="N38">_xlfn.XLOOKUP(A38,J$14:J237,C$14:C237,"")</f>
        <v/>
      </c>
      <c r="O38" t="str" cm="1">
        <f t="array" ref="O38">_xlfn.XLOOKUP(A38,J$14:J237,E$14:E237,"")</f>
        <v/>
      </c>
      <c r="P38" t="str" cm="1">
        <f t="array" ref="P38">_xlfn.XLOOKUP(A38,J$14:J237,G$14:G237,"")</f>
        <v/>
      </c>
      <c r="Q38" t="str" cm="1">
        <f t="array" ref="Q38">_xlfn.XLOOKUP(A38,J$14:J237,F$14:F237,"")</f>
        <v/>
      </c>
      <c r="R38" t="str" cm="1">
        <f t="array" ref="R38">_xlfn.XLOOKUP(A38,J$14:J237,I$14:I237,"")</f>
        <v/>
      </c>
      <c r="S38" t="str" cm="1">
        <f t="array" ref="S38">_xlfn.XLOOKUP(A38,J$14:J237,H$14:H237,"")</f>
        <v/>
      </c>
      <c r="T38" t="str" cm="1">
        <f t="array" ref="T38">VLOOKUP(ROW(25:25),L$14:S$163,8)</f>
        <v/>
      </c>
      <c r="U38" t="str" cm="1">
        <f t="array" ref="U38">VLOOKUP(ROW(25:25),L$14:M$163,2)</f>
        <v/>
      </c>
      <c r="V38" t="str" cm="1">
        <f t="array" ref="V38">VLOOKUP(ROW(25:25),L$14:O$163,4)</f>
        <v/>
      </c>
      <c r="W38" t="str" cm="1">
        <f t="array" ref="W38">VLOOKUP(ROW(25:25),L$14:Q$163,6)</f>
        <v/>
      </c>
      <c r="X38" cm="1">
        <f t="array" ref="X38">IFERROR(VLOOKUP(ROW(25:25),L$14:P$213,5)+0,0)</f>
        <v>0</v>
      </c>
      <c r="Y38" t="str" cm="1">
        <f t="array" ref="Y38">VLOOKUP(ROW(25:25),L$14:R$163,7)</f>
        <v/>
      </c>
      <c r="Z38">
        <f>IF(Y38&lt;-2,X38+MAX(Z$14:Z37),0)</f>
        <v>0</v>
      </c>
      <c r="AA38">
        <f>IFERROR(IF(AND(SUM(AA39:AA$214)+X38&lt;=Z$10,W38&lt;=Z$12,Z38=0),X38,0),0)</f>
        <v>0</v>
      </c>
      <c r="AB38">
        <f>IFERROR(IF(AND(W38&lt;=Z$12+10,AB$12-X38&gt;=0,SUM(Z38:AA38)=0,SUM(AB$14:AB37)+X38&lt;AB$12),X38,0),0)</f>
        <v>0</v>
      </c>
      <c r="AD38">
        <f>IF(AND(Y38=-2,SUM(Z38:AB38)=0),X38+MAX(AD$14:AD37),0)</f>
        <v>0</v>
      </c>
      <c r="AE38">
        <f>IFERROR(IF(AND(SUM(AE39:AE$214)+X38&lt;=AD$10,W38&lt;=AD$12,SUM(Z38:AD38)=0),X38,0),0)</f>
        <v>0</v>
      </c>
      <c r="AF38">
        <f>IFERROR(IF(AND(W38&lt;=AD$12+10,AF$12-X38&gt;=0,SUM(Z38:AE38)=0,SUM(AF$14:AF37)+X38&lt;AF$12),X38,0),0)</f>
        <v>0</v>
      </c>
      <c r="AG38">
        <f t="shared" si="9"/>
        <v>0</v>
      </c>
      <c r="AI38">
        <f t="shared" si="16"/>
        <v>0</v>
      </c>
      <c r="AJ38" s="493">
        <f t="shared" si="17"/>
        <v>0</v>
      </c>
      <c r="AK38">
        <f>IF(AJ38=0,0,IF(AJ37=0,MAX(AK$13:AK37)+1,IF(W38&lt;&gt;W37,MAX(AK$14:AK37)+1,IF(ROUNDDOWN(AJ38-0.01,0)=ROUNDDOWN(AJ37-0.01,0),AK37,AK37+1))))</f>
        <v>0</v>
      </c>
      <c r="AL38">
        <f t="shared" si="18"/>
        <v>0</v>
      </c>
      <c r="AM38">
        <f t="shared" si="19"/>
        <v>0</v>
      </c>
      <c r="AN38">
        <f>IF(AM38&gt;AN$12,IF(AK38=AK37,AN37,MAX(AN$13:AN37)+1),0)</f>
        <v>0</v>
      </c>
      <c r="AP38">
        <f t="shared" si="10"/>
        <v>0</v>
      </c>
      <c r="AQ38">
        <f>IF(AP38&gt;0,IF(MAX(AQ39:AQ$214)+AP38&gt;ROUNDUP(MAX(AQ39:AQ$214),0),ROUNDUP(MAX(AQ39:AQ$214),0)+AP38,MAX(AQ39:AQ$214)+AP38),0)</f>
        <v>0</v>
      </c>
      <c r="AR38">
        <f t="shared" si="12"/>
        <v>0</v>
      </c>
      <c r="AS38">
        <f t="shared" si="20"/>
        <v>0</v>
      </c>
      <c r="AT38">
        <f t="shared" si="11"/>
        <v>10</v>
      </c>
      <c r="AY38">
        <f>AR1</f>
        <v>160</v>
      </c>
      <c r="AZ38">
        <f t="shared" ref="AZ38:BE38" si="34">AY38-AZ34</f>
        <v>160</v>
      </c>
      <c r="BA38">
        <f t="shared" si="34"/>
        <v>160</v>
      </c>
      <c r="BB38">
        <f t="shared" si="34"/>
        <v>160</v>
      </c>
      <c r="BC38">
        <f t="shared" si="34"/>
        <v>160</v>
      </c>
      <c r="BD38">
        <f t="shared" si="34"/>
        <v>160</v>
      </c>
      <c r="BE38">
        <f t="shared" si="34"/>
        <v>160</v>
      </c>
      <c r="BF38">
        <f>BE38-BF34</f>
        <v>160</v>
      </c>
      <c r="BJ38">
        <v>46</v>
      </c>
      <c r="BK38">
        <f t="shared" si="27"/>
        <v>0</v>
      </c>
      <c r="BL38">
        <f t="shared" si="28"/>
        <v>0</v>
      </c>
      <c r="BM38">
        <f t="shared" si="30"/>
        <v>0</v>
      </c>
      <c r="BN38" s="493">
        <f t="shared" si="15"/>
        <v>0</v>
      </c>
    </row>
    <row r="39" spans="1:66" x14ac:dyDescent="0.25">
      <c r="A39">
        <v>26</v>
      </c>
      <c r="B39" t="str">
        <f>_xlfn.XLOOKUP(A39,Order!R$12:R$859,Order!C$12:C$859,"")</f>
        <v/>
      </c>
      <c r="C39" t="str">
        <f>_xlfn.XLOOKUP(A39,Order!R$12:R$859,Order!S$12:S$859,"")</f>
        <v/>
      </c>
      <c r="D39" t="str">
        <f>_xlfn.XLOOKUP(A39,Order!R$12:R$859,Order!B$12:B$859,"")</f>
        <v/>
      </c>
      <c r="E39" t="str">
        <f>_xlfn.XLOOKUP(A39,Order!R$12:R$859,Order!P$12:P$859,"")</f>
        <v/>
      </c>
      <c r="F39" t="str">
        <f>_xlfn.XLOOKUP(A39,Order!R$12:R$859,Order!T$12:T$859,"")</f>
        <v/>
      </c>
      <c r="G39" t="str">
        <f>_xlfn.XLOOKUP(A39,Order!R$12:R$859,Order!U$12:U$859,"")</f>
        <v/>
      </c>
      <c r="H39" t="str">
        <f>_xlfn.XLOOKUP(A39,Order!R$12:R$859,Order!B$12:B$859,"")</f>
        <v/>
      </c>
      <c r="I39" t="str">
        <f>_xlfn.XLOOKUP(A39,Order!R$12:R$859,Order!V$12:V$859,"")</f>
        <v/>
      </c>
      <c r="J39" t="str">
        <f>IFERROR(RANK(F39,F$14:F$213,1)+COUNTIF(F$14:F39,F39)-1,"")</f>
        <v/>
      </c>
      <c r="L39" t="str">
        <f t="shared" si="22"/>
        <v/>
      </c>
      <c r="M39" t="str" cm="1">
        <f t="array" ref="M39">_xlfn.XLOOKUP(A39,J$14:J238,B$14:B238,"")</f>
        <v/>
      </c>
      <c r="N39" t="str" cm="1">
        <f t="array" ref="N39">_xlfn.XLOOKUP(A39,J$14:J238,C$14:C238,"")</f>
        <v/>
      </c>
      <c r="O39" t="str" cm="1">
        <f t="array" ref="O39">_xlfn.XLOOKUP(A39,J$14:J238,E$14:E238,"")</f>
        <v/>
      </c>
      <c r="P39" t="str" cm="1">
        <f t="array" ref="P39">_xlfn.XLOOKUP(A39,J$14:J238,G$14:G238,"")</f>
        <v/>
      </c>
      <c r="Q39" t="str" cm="1">
        <f t="array" ref="Q39">_xlfn.XLOOKUP(A39,J$14:J238,F$14:F238,"")</f>
        <v/>
      </c>
      <c r="R39" t="str" cm="1">
        <f t="array" ref="R39">_xlfn.XLOOKUP(A39,J$14:J238,I$14:I238,"")</f>
        <v/>
      </c>
      <c r="S39" t="str" cm="1">
        <f t="array" ref="S39">_xlfn.XLOOKUP(A39,J$14:J238,H$14:H238,"")</f>
        <v/>
      </c>
      <c r="T39" t="str" cm="1">
        <f t="array" ref="T39">VLOOKUP(ROW(26:26),L$14:S$163,8)</f>
        <v/>
      </c>
      <c r="U39" t="str" cm="1">
        <f t="array" ref="U39">VLOOKUP(ROW(26:26),L$14:M$163,2)</f>
        <v/>
      </c>
      <c r="V39" t="str" cm="1">
        <f t="array" ref="V39">VLOOKUP(ROW(26:26),L$14:O$163,4)</f>
        <v/>
      </c>
      <c r="W39" t="str" cm="1">
        <f t="array" ref="W39">VLOOKUP(ROW(26:26),L$14:Q$163,6)</f>
        <v/>
      </c>
      <c r="X39" cm="1">
        <f t="array" ref="X39">IFERROR(VLOOKUP(ROW(26:26),L$14:P$213,5)+0,0)</f>
        <v>0</v>
      </c>
      <c r="Y39" t="str" cm="1">
        <f t="array" ref="Y39">VLOOKUP(ROW(26:26),L$14:R$163,7)</f>
        <v/>
      </c>
      <c r="Z39">
        <f>IF(Y39&lt;-2,X39+MAX(Z$14:Z38),0)</f>
        <v>0</v>
      </c>
      <c r="AA39">
        <f>IFERROR(IF(AND(SUM(AA40:AA$214)+X39&lt;=Z$10,W39&lt;=Z$12,Z39=0),X39,0),0)</f>
        <v>0</v>
      </c>
      <c r="AB39">
        <f>IFERROR(IF(AND(W39&lt;=Z$12+10,AB$12-X39&gt;=0,SUM(Z39:AA39)=0,SUM(AB$14:AB38)+X39&lt;AB$12),X39,0),0)</f>
        <v>0</v>
      </c>
      <c r="AD39">
        <f>IF(AND(Y39=-2,SUM(Z39:AB39)=0),X39+MAX(AD$14:AD38),0)</f>
        <v>0</v>
      </c>
      <c r="AE39">
        <f>IFERROR(IF(AND(SUM(AE40:AE$214)+X39&lt;=AD$10,W39&lt;=AD$12,SUM(Z39:AD39)=0),X39,0),0)</f>
        <v>0</v>
      </c>
      <c r="AF39">
        <f>IFERROR(IF(AND(W39&lt;=AD$12+10,AF$12-X39&gt;=0,SUM(Z39:AE39)=0,SUM(AF$14:AF38)+X39&lt;AF$12),X39,0),0)</f>
        <v>0</v>
      </c>
      <c r="AG39">
        <f t="shared" si="9"/>
        <v>0</v>
      </c>
      <c r="AI39">
        <f t="shared" si="16"/>
        <v>0</v>
      </c>
      <c r="AJ39" s="493">
        <f t="shared" si="17"/>
        <v>0</v>
      </c>
      <c r="AK39">
        <f>IF(AJ39=0,0,IF(AJ38=0,MAX(AK$13:AK38)+1,IF(W39&lt;&gt;W38,MAX(AK$14:AK38)+1,IF(ROUNDDOWN(AJ39-0.01,0)=ROUNDDOWN(AJ38-0.01,0),AK38,AK38+1))))</f>
        <v>0</v>
      </c>
      <c r="AL39">
        <f t="shared" si="18"/>
        <v>0</v>
      </c>
      <c r="AM39">
        <f t="shared" si="19"/>
        <v>0</v>
      </c>
      <c r="AN39">
        <f>IF(AM39&gt;AN$12,IF(AK39=AK38,AN38,MAX(AN$13:AN38)+1),0)</f>
        <v>0</v>
      </c>
      <c r="AP39">
        <f t="shared" si="10"/>
        <v>0</v>
      </c>
      <c r="AQ39">
        <f>IF(AP39&gt;0,IF(MAX(AQ40:AQ$214)+AP39&gt;ROUNDUP(MAX(AQ40:AQ$214),0),ROUNDUP(MAX(AQ40:AQ$214),0)+AP39,MAX(AQ40:AQ$214)+AP39),0)</f>
        <v>0</v>
      </c>
      <c r="AR39">
        <f t="shared" si="12"/>
        <v>0</v>
      </c>
      <c r="AS39">
        <f t="shared" si="20"/>
        <v>0</v>
      </c>
      <c r="AT39">
        <f t="shared" si="11"/>
        <v>10</v>
      </c>
      <c r="BJ39">
        <v>47</v>
      </c>
      <c r="BK39">
        <f t="shared" si="27"/>
        <v>0</v>
      </c>
      <c r="BL39">
        <f t="shared" si="28"/>
        <v>0</v>
      </c>
      <c r="BM39">
        <f t="shared" si="30"/>
        <v>0</v>
      </c>
      <c r="BN39" s="493">
        <f t="shared" si="15"/>
        <v>0</v>
      </c>
    </row>
    <row r="40" spans="1:66" x14ac:dyDescent="0.25">
      <c r="A40">
        <v>27</v>
      </c>
      <c r="B40" t="str">
        <f>_xlfn.XLOOKUP(A40,Order!R$12:R$859,Order!C$12:C$859,"")</f>
        <v/>
      </c>
      <c r="C40" t="str">
        <f>_xlfn.XLOOKUP(A40,Order!R$12:R$859,Order!S$12:S$859,"")</f>
        <v/>
      </c>
      <c r="D40" t="str">
        <f>_xlfn.XLOOKUP(A40,Order!R$12:R$859,Order!B$12:B$859,"")</f>
        <v/>
      </c>
      <c r="E40" t="str">
        <f>_xlfn.XLOOKUP(A40,Order!R$12:R$859,Order!P$12:P$859,"")</f>
        <v/>
      </c>
      <c r="F40" t="str">
        <f>_xlfn.XLOOKUP(A40,Order!R$12:R$859,Order!T$12:T$859,"")</f>
        <v/>
      </c>
      <c r="G40" t="str">
        <f>_xlfn.XLOOKUP(A40,Order!R$12:R$859,Order!U$12:U$859,"")</f>
        <v/>
      </c>
      <c r="H40" t="str">
        <f>_xlfn.XLOOKUP(A40,Order!R$12:R$859,Order!B$12:B$859,"")</f>
        <v/>
      </c>
      <c r="I40" t="str">
        <f>_xlfn.XLOOKUP(A40,Order!R$12:R$859,Order!V$12:V$859,"")</f>
        <v/>
      </c>
      <c r="J40" t="str">
        <f>IFERROR(RANK(F40,F$14:F$213,1)+COUNTIF(F$14:F40,F40)-1,"")</f>
        <v/>
      </c>
      <c r="L40" t="str">
        <f t="shared" si="22"/>
        <v/>
      </c>
      <c r="M40" t="str" cm="1">
        <f t="array" ref="M40">_xlfn.XLOOKUP(A40,J$14:J239,B$14:B239,"")</f>
        <v/>
      </c>
      <c r="N40" t="str" cm="1">
        <f t="array" ref="N40">_xlfn.XLOOKUP(A40,J$14:J239,C$14:C239,"")</f>
        <v/>
      </c>
      <c r="O40" t="str" cm="1">
        <f t="array" ref="O40">_xlfn.XLOOKUP(A40,J$14:J239,E$14:E239,"")</f>
        <v/>
      </c>
      <c r="P40" t="str" cm="1">
        <f t="array" ref="P40">_xlfn.XLOOKUP(A40,J$14:J239,G$14:G239,"")</f>
        <v/>
      </c>
      <c r="Q40" t="str" cm="1">
        <f t="array" ref="Q40">_xlfn.XLOOKUP(A40,J$14:J239,F$14:F239,"")</f>
        <v/>
      </c>
      <c r="R40" t="str" cm="1">
        <f t="array" ref="R40">_xlfn.XLOOKUP(A40,J$14:J239,I$14:I239,"")</f>
        <v/>
      </c>
      <c r="S40" t="str" cm="1">
        <f t="array" ref="S40">_xlfn.XLOOKUP(A40,J$14:J239,H$14:H239,"")</f>
        <v/>
      </c>
      <c r="T40" t="str" cm="1">
        <f t="array" ref="T40">VLOOKUP(ROW(27:27),L$14:S$163,8)</f>
        <v/>
      </c>
      <c r="U40" t="str" cm="1">
        <f t="array" ref="U40">VLOOKUP(ROW(27:27),L$14:M$163,2)</f>
        <v/>
      </c>
      <c r="V40" t="str" cm="1">
        <f t="array" ref="V40">VLOOKUP(ROW(27:27),L$14:O$163,4)</f>
        <v/>
      </c>
      <c r="W40" t="str" cm="1">
        <f t="array" ref="W40">VLOOKUP(ROW(27:27),L$14:Q$163,6)</f>
        <v/>
      </c>
      <c r="X40" cm="1">
        <f t="array" ref="X40">IFERROR(VLOOKUP(ROW(27:27),L$14:P$213,5)+0,0)</f>
        <v>0</v>
      </c>
      <c r="Y40" t="str" cm="1">
        <f t="array" ref="Y40">VLOOKUP(ROW(27:27),L$14:R$163,7)</f>
        <v/>
      </c>
      <c r="Z40">
        <f>IF(Y40&lt;-2,X40+MAX(Z$14:Z39),0)</f>
        <v>0</v>
      </c>
      <c r="AA40">
        <f>IFERROR(IF(AND(SUM(AA41:AA$214)+X40&lt;=Z$10,W40&lt;=Z$12,Z40=0),X40,0),0)</f>
        <v>0</v>
      </c>
      <c r="AB40">
        <f>IFERROR(IF(AND(W40&lt;=Z$12+10,AB$12-X40&gt;=0,SUM(Z40:AA40)=0,SUM(AB$14:AB39)+X40&lt;AB$12),X40,0),0)</f>
        <v>0</v>
      </c>
      <c r="AD40">
        <f>IF(AND(Y40=-2,SUM(Z40:AB40)=0),X40+MAX(AD$14:AD39),0)</f>
        <v>0</v>
      </c>
      <c r="AE40">
        <f>IFERROR(IF(AND(SUM(AE41:AE$214)+X40&lt;=AD$10,W40&lt;=AD$12,SUM(Z40:AD40)=0),X40,0),0)</f>
        <v>0</v>
      </c>
      <c r="AF40">
        <f>IFERROR(IF(AND(W40&lt;=AD$12+10,AF$12-X40&gt;=0,SUM(Z40:AE40)=0,SUM(AF$14:AF39)+X40&lt;AF$12),X40,0),0)</f>
        <v>0</v>
      </c>
      <c r="AG40">
        <f t="shared" si="9"/>
        <v>0</v>
      </c>
      <c r="AI40">
        <f t="shared" si="16"/>
        <v>0</v>
      </c>
      <c r="AJ40" s="493">
        <f t="shared" si="17"/>
        <v>0</v>
      </c>
      <c r="AK40">
        <f>IF(AJ40=0,0,IF(AJ39=0,MAX(AK$13:AK39)+1,IF(W40&lt;&gt;W39,MAX(AK$14:AK39)+1,IF(ROUNDDOWN(AJ40-0.01,0)=ROUNDDOWN(AJ39-0.01,0),AK39,AK39+1))))</f>
        <v>0</v>
      </c>
      <c r="AL40">
        <f t="shared" si="18"/>
        <v>0</v>
      </c>
      <c r="AM40">
        <f t="shared" si="19"/>
        <v>0</v>
      </c>
      <c r="AN40">
        <f>IF(AM40&gt;AN$12,IF(AK40=AK39,AN39,MAX(AN$13:AN39)+1),0)</f>
        <v>0</v>
      </c>
      <c r="AP40">
        <f t="shared" si="10"/>
        <v>0</v>
      </c>
      <c r="AQ40">
        <f>IF(AP40&gt;0,IF(MAX(AQ41:AQ$214)+AP40&gt;ROUNDUP(MAX(AQ41:AQ$214),0),ROUNDUP(MAX(AQ41:AQ$214),0)+AP40,MAX(AQ41:AQ$214)+AP40),0)</f>
        <v>0</v>
      </c>
      <c r="AR40">
        <f t="shared" si="12"/>
        <v>0</v>
      </c>
      <c r="AS40">
        <f t="shared" si="20"/>
        <v>0</v>
      </c>
      <c r="AT40">
        <f t="shared" si="11"/>
        <v>10</v>
      </c>
    </row>
    <row r="41" spans="1:66" x14ac:dyDescent="0.25">
      <c r="A41">
        <v>28</v>
      </c>
      <c r="B41" t="str">
        <f>_xlfn.XLOOKUP(A41,Order!R$12:R$859,Order!C$12:C$859,"")</f>
        <v/>
      </c>
      <c r="C41" t="str">
        <f>_xlfn.XLOOKUP(A41,Order!R$12:R$859,Order!S$12:S$859,"")</f>
        <v/>
      </c>
      <c r="D41" t="str">
        <f>_xlfn.XLOOKUP(A41,Order!R$12:R$859,Order!B$12:B$859,"")</f>
        <v/>
      </c>
      <c r="E41" t="str">
        <f>_xlfn.XLOOKUP(A41,Order!R$12:R$859,Order!P$12:P$859,"")</f>
        <v/>
      </c>
      <c r="F41" t="str">
        <f>_xlfn.XLOOKUP(A41,Order!R$12:R$859,Order!T$12:T$859,"")</f>
        <v/>
      </c>
      <c r="G41" t="str">
        <f>_xlfn.XLOOKUP(A41,Order!R$12:R$859,Order!U$12:U$859,"")</f>
        <v/>
      </c>
      <c r="H41" t="str">
        <f>_xlfn.XLOOKUP(A41,Order!R$12:R$859,Order!B$12:B$859,"")</f>
        <v/>
      </c>
      <c r="I41" t="str">
        <f>_xlfn.XLOOKUP(A41,Order!R$12:R$859,Order!V$12:V$859,"")</f>
        <v/>
      </c>
      <c r="J41" t="str">
        <f>IFERROR(RANK(F41,F$14:F$213,1)+COUNTIF(F$14:F41,F41)-1,"")</f>
        <v/>
      </c>
      <c r="L41" t="str">
        <f t="shared" si="22"/>
        <v/>
      </c>
      <c r="M41" t="str" cm="1">
        <f t="array" ref="M41">_xlfn.XLOOKUP(A41,J$14:J240,B$14:B240,"")</f>
        <v/>
      </c>
      <c r="N41" t="str" cm="1">
        <f t="array" ref="N41">_xlfn.XLOOKUP(A41,J$14:J240,C$14:C240,"")</f>
        <v/>
      </c>
      <c r="O41" t="str" cm="1">
        <f t="array" ref="O41">_xlfn.XLOOKUP(A41,J$14:J240,E$14:E240,"")</f>
        <v/>
      </c>
      <c r="P41" t="str" cm="1">
        <f t="array" ref="P41">_xlfn.XLOOKUP(A41,J$14:J240,G$14:G240,"")</f>
        <v/>
      </c>
      <c r="Q41" t="str" cm="1">
        <f t="array" ref="Q41">_xlfn.XLOOKUP(A41,J$14:J240,F$14:F240,"")</f>
        <v/>
      </c>
      <c r="R41" t="str" cm="1">
        <f t="array" ref="R41">_xlfn.XLOOKUP(A41,J$14:J240,I$14:I240,"")</f>
        <v/>
      </c>
      <c r="S41" t="str" cm="1">
        <f t="array" ref="S41">_xlfn.XLOOKUP(A41,J$14:J240,H$14:H240,"")</f>
        <v/>
      </c>
      <c r="T41" t="str" cm="1">
        <f t="array" ref="T41">VLOOKUP(ROW(28:28),L$14:S$163,8)</f>
        <v/>
      </c>
      <c r="U41" t="str" cm="1">
        <f t="array" ref="U41">VLOOKUP(ROW(28:28),L$14:M$163,2)</f>
        <v/>
      </c>
      <c r="V41" t="str" cm="1">
        <f t="array" ref="V41">VLOOKUP(ROW(28:28),L$14:O$163,4)</f>
        <v/>
      </c>
      <c r="W41" t="str" cm="1">
        <f t="array" ref="W41">VLOOKUP(ROW(28:28),L$14:Q$163,6)</f>
        <v/>
      </c>
      <c r="X41" cm="1">
        <f t="array" ref="X41">IFERROR(VLOOKUP(ROW(28:28),L$14:P$213,5)+0,0)</f>
        <v>0</v>
      </c>
      <c r="Y41" t="str" cm="1">
        <f t="array" ref="Y41">VLOOKUP(ROW(28:28),L$14:R$163,7)</f>
        <v/>
      </c>
      <c r="Z41">
        <f>IF(Y41&lt;-2,X41+MAX(Z$14:Z40),0)</f>
        <v>0</v>
      </c>
      <c r="AA41">
        <f>IFERROR(IF(AND(SUM(AA42:AA$214)+X41&lt;=Z$10,W41&lt;=Z$12,Z41=0),X41,0),0)</f>
        <v>0</v>
      </c>
      <c r="AB41">
        <f>IFERROR(IF(AND(W41&lt;=Z$12+10,AB$12-X41&gt;=0,SUM(Z41:AA41)=0,SUM(AB$14:AB40)+X41&lt;AB$12),X41,0),0)</f>
        <v>0</v>
      </c>
      <c r="AD41">
        <f>IF(AND(Y41=-2,SUM(Z41:AB41)=0),X41+MAX(AD$14:AD40),0)</f>
        <v>0</v>
      </c>
      <c r="AE41">
        <f>IFERROR(IF(AND(SUM(AE42:AE$214)+X41&lt;=AD$10,W41&lt;=AD$12,SUM(Z41:AD41)=0),X41,0),0)</f>
        <v>0</v>
      </c>
      <c r="AF41">
        <f>IFERROR(IF(AND(W41&lt;=AD$12+10,AF$12-X41&gt;=0,SUM(Z41:AE41)=0,SUM(AF$14:AF40)+X41&lt;AF$12),X41,0),0)</f>
        <v>0</v>
      </c>
      <c r="AG41">
        <f t="shared" si="9"/>
        <v>0</v>
      </c>
      <c r="AI41">
        <f t="shared" si="16"/>
        <v>0</v>
      </c>
      <c r="AJ41" s="493">
        <f t="shared" si="17"/>
        <v>0</v>
      </c>
      <c r="AK41">
        <f>IF(AJ41=0,0,IF(AJ40=0,MAX(AK$13:AK40)+1,IF(W41&lt;&gt;W40,MAX(AK$14:AK40)+1,IF(ROUNDDOWN(AJ41-0.01,0)=ROUNDDOWN(AJ40-0.01,0),AK40,AK40+1))))</f>
        <v>0</v>
      </c>
      <c r="AL41">
        <f t="shared" si="18"/>
        <v>0</v>
      </c>
      <c r="AM41">
        <f t="shared" si="19"/>
        <v>0</v>
      </c>
      <c r="AN41">
        <f>IF(AM41&gt;AN$12,IF(AK41=AK40,AN40,MAX(AN$13:AN40)+1),0)</f>
        <v>0</v>
      </c>
      <c r="AP41">
        <f t="shared" si="10"/>
        <v>0</v>
      </c>
      <c r="AQ41">
        <f>IF(AP41&gt;0,IF(MAX(AQ42:AQ$214)+AP41&gt;ROUNDUP(MAX(AQ42:AQ$214),0),ROUNDUP(MAX(AQ42:AQ$214),0)+AP41,MAX(AQ42:AQ$214)+AP41),0)</f>
        <v>0</v>
      </c>
      <c r="AR41">
        <f t="shared" si="12"/>
        <v>0</v>
      </c>
      <c r="AS41">
        <f t="shared" si="20"/>
        <v>0</v>
      </c>
      <c r="AT41">
        <f t="shared" si="11"/>
        <v>10</v>
      </c>
      <c r="AV41" t="s">
        <v>1118</v>
      </c>
      <c r="AX41" s="430" t="s">
        <v>1116</v>
      </c>
      <c r="AZ41" t="s">
        <v>1109</v>
      </c>
      <c r="BA41">
        <v>1</v>
      </c>
      <c r="BB41">
        <v>2</v>
      </c>
      <c r="BC41">
        <v>3</v>
      </c>
      <c r="BD41">
        <v>4</v>
      </c>
      <c r="BE41">
        <v>5</v>
      </c>
      <c r="BF41">
        <v>6</v>
      </c>
      <c r="BJ41">
        <v>50</v>
      </c>
      <c r="BK41">
        <f>_xlfn.XLOOKUP(BJ41,AY$194:BF$194,AY$192:BF$192,0)</f>
        <v>0</v>
      </c>
      <c r="BL41">
        <f>_xlfn.XLOOKUP(BJ41,AY$194:BF$194,AY$193:BF$193,0)</f>
        <v>0</v>
      </c>
      <c r="BN41" s="493">
        <f t="shared" si="15"/>
        <v>0</v>
      </c>
    </row>
    <row r="42" spans="1:66" x14ac:dyDescent="0.25">
      <c r="A42">
        <v>29</v>
      </c>
      <c r="B42" t="str">
        <f>_xlfn.XLOOKUP(A42,Order!R$12:R$859,Order!C$12:C$859,"")</f>
        <v/>
      </c>
      <c r="C42" t="str">
        <f>_xlfn.XLOOKUP(A42,Order!R$12:R$859,Order!S$12:S$859,"")</f>
        <v/>
      </c>
      <c r="D42" t="str">
        <f>_xlfn.XLOOKUP(A42,Order!R$12:R$859,Order!B$12:B$859,"")</f>
        <v/>
      </c>
      <c r="E42" t="str">
        <f>_xlfn.XLOOKUP(A42,Order!R$12:R$859,Order!P$12:P$859,"")</f>
        <v/>
      </c>
      <c r="F42" t="str">
        <f>_xlfn.XLOOKUP(A42,Order!R$12:R$859,Order!T$12:T$859,"")</f>
        <v/>
      </c>
      <c r="G42" t="str">
        <f>_xlfn.XLOOKUP(A42,Order!R$12:R$859,Order!U$12:U$859,"")</f>
        <v/>
      </c>
      <c r="H42" t="str">
        <f>_xlfn.XLOOKUP(A42,Order!R$12:R$859,Order!B$12:B$859,"")</f>
        <v/>
      </c>
      <c r="I42" t="str">
        <f>_xlfn.XLOOKUP(A42,Order!R$12:R$859,Order!V$12:V$859,"")</f>
        <v/>
      </c>
      <c r="J42" t="str">
        <f>IFERROR(RANK(F42,F$14:F$213,1)+COUNTIF(F$14:F42,F42)-1,"")</f>
        <v/>
      </c>
      <c r="L42" t="str">
        <f t="shared" si="22"/>
        <v/>
      </c>
      <c r="M42" t="str" cm="1">
        <f t="array" ref="M42">_xlfn.XLOOKUP(A42,J$14:J241,B$14:B241,"")</f>
        <v/>
      </c>
      <c r="N42" t="str" cm="1">
        <f t="array" ref="N42">_xlfn.XLOOKUP(A42,J$14:J241,C$14:C241,"")</f>
        <v/>
      </c>
      <c r="O42" t="str" cm="1">
        <f t="array" ref="O42">_xlfn.XLOOKUP(A42,J$14:J241,E$14:E241,"")</f>
        <v/>
      </c>
      <c r="P42" t="str" cm="1">
        <f t="array" ref="P42">_xlfn.XLOOKUP(A42,J$14:J241,G$14:G241,"")</f>
        <v/>
      </c>
      <c r="Q42" t="str" cm="1">
        <f t="array" ref="Q42">_xlfn.XLOOKUP(A42,J$14:J241,F$14:F241,"")</f>
        <v/>
      </c>
      <c r="R42" t="str" cm="1">
        <f t="array" ref="R42">_xlfn.XLOOKUP(A42,J$14:J241,I$14:I241,"")</f>
        <v/>
      </c>
      <c r="S42" t="str" cm="1">
        <f t="array" ref="S42">_xlfn.XLOOKUP(A42,J$14:J241,H$14:H241,"")</f>
        <v/>
      </c>
      <c r="T42" t="str" cm="1">
        <f t="array" ref="T42">VLOOKUP(ROW(29:29),L$14:S$163,8)</f>
        <v/>
      </c>
      <c r="U42" t="str" cm="1">
        <f t="array" ref="U42">VLOOKUP(ROW(29:29),L$14:M$163,2)</f>
        <v/>
      </c>
      <c r="V42" t="str" cm="1">
        <f t="array" ref="V42">VLOOKUP(ROW(29:29),L$14:O$163,4)</f>
        <v/>
      </c>
      <c r="W42" t="str" cm="1">
        <f t="array" ref="W42">VLOOKUP(ROW(29:29),L$14:Q$163,6)</f>
        <v/>
      </c>
      <c r="X42" cm="1">
        <f t="array" ref="X42">IFERROR(VLOOKUP(ROW(29:29),L$14:P$213,5)+0,0)</f>
        <v>0</v>
      </c>
      <c r="Y42" t="str" cm="1">
        <f t="array" ref="Y42">VLOOKUP(ROW(29:29),L$14:R$163,7)</f>
        <v/>
      </c>
      <c r="Z42">
        <f>IF(Y42&lt;-2,X42+MAX(Z$14:Z41),0)</f>
        <v>0</v>
      </c>
      <c r="AA42">
        <f>IFERROR(IF(AND(SUM(AA43:AA$214)+X42&lt;=Z$10,W42&lt;=Z$12,Z42=0),X42,0),0)</f>
        <v>0</v>
      </c>
      <c r="AB42">
        <f>IFERROR(IF(AND(W42&lt;=Z$12+10,AB$12-X42&gt;=0,SUM(Z42:AA42)=0,SUM(AB$14:AB41)+X42&lt;AB$12),X42,0),0)</f>
        <v>0</v>
      </c>
      <c r="AD42">
        <f>IF(AND(Y42=-2,SUM(Z42:AB42)=0),X42+MAX(AD$14:AD41),0)</f>
        <v>0</v>
      </c>
      <c r="AE42">
        <f>IFERROR(IF(AND(SUM(AE43:AE$214)+X42&lt;=AD$10,W42&lt;=AD$12,SUM(Z42:AD42)=0),X42,0),0)</f>
        <v>0</v>
      </c>
      <c r="AF42">
        <f>IFERROR(IF(AND(W42&lt;=AD$12+10,AF$12-X42&gt;=0,SUM(Z42:AE42)=0,SUM(AF$14:AF41)+X42&lt;AF$12),X42,0),0)</f>
        <v>0</v>
      </c>
      <c r="AG42">
        <f t="shared" si="9"/>
        <v>0</v>
      </c>
      <c r="AI42">
        <f t="shared" si="16"/>
        <v>0</v>
      </c>
      <c r="AJ42" s="493">
        <f t="shared" si="17"/>
        <v>0</v>
      </c>
      <c r="AK42">
        <f>IF(AJ42=0,0,IF(AJ41=0,MAX(AK$13:AK41)+1,IF(W42&lt;&gt;W41,MAX(AK$14:AK41)+1,IF(ROUNDDOWN(AJ42-0.01,0)=ROUNDDOWN(AJ41-0.01,0),AK41,AK41+1))))</f>
        <v>0</v>
      </c>
      <c r="AL42">
        <f t="shared" si="18"/>
        <v>0</v>
      </c>
      <c r="AM42">
        <f t="shared" si="19"/>
        <v>0</v>
      </c>
      <c r="AN42">
        <f>IF(AM42&gt;AN$12,IF(AK42=AK41,AN41,MAX(AN$13:AN41)+1),0)</f>
        <v>0</v>
      </c>
      <c r="AP42">
        <f t="shared" si="10"/>
        <v>0</v>
      </c>
      <c r="AQ42">
        <f>IF(AP42&gt;0,IF(MAX(AQ43:AQ$214)+AP42&gt;ROUNDUP(MAX(AQ43:AQ$214),0),ROUNDUP(MAX(AQ43:AQ$214),0)+AP42,MAX(AQ43:AQ$214)+AP42),0)</f>
        <v>0</v>
      </c>
      <c r="AR42">
        <f t="shared" si="12"/>
        <v>0</v>
      </c>
      <c r="AS42">
        <f t="shared" si="20"/>
        <v>0</v>
      </c>
      <c r="AT42">
        <f t="shared" si="11"/>
        <v>10</v>
      </c>
      <c r="AX42">
        <f>IF(_xlfn.MAXIFS(AX43:AX72,AW43:AW72,0)=0,MAX(AX43:AX72),_xlfn.MAXIFS(AX43:AX72,AW43:AW72,0))</f>
        <v>0</v>
      </c>
      <c r="AY42" t="s">
        <v>1115</v>
      </c>
      <c r="AZ42">
        <f>IF(_xlfn.MAXIFS(AX43:AX72,AW43:AW72,0)=0,1,0)</f>
        <v>1</v>
      </c>
      <c r="BG42" t="s">
        <v>1113</v>
      </c>
      <c r="BH42" t="s">
        <v>1139</v>
      </c>
      <c r="BI42" t="s">
        <v>1113</v>
      </c>
      <c r="BJ42">
        <v>51</v>
      </c>
      <c r="BK42">
        <f t="shared" ref="BK42:BK48" si="35">_xlfn.SINGLE(_xlfn.XLOOKUP(BJ42,AY$194:BF$194,AY$192:BF$192,0))</f>
        <v>0</v>
      </c>
      <c r="BL42">
        <f t="shared" ref="BL42:BL48" si="36">_xlfn.SINGLE(_xlfn.XLOOKUP(BJ42,AY$194:BF$194,AY$193:BF$193,0))</f>
        <v>0</v>
      </c>
      <c r="BM42">
        <f>IF(BL42=0,0,(BL41-15)/5+BM41)</f>
        <v>0</v>
      </c>
      <c r="BN42" s="493">
        <f t="shared" si="15"/>
        <v>0</v>
      </c>
    </row>
    <row r="43" spans="1:66" x14ac:dyDescent="0.25">
      <c r="A43">
        <v>30</v>
      </c>
      <c r="B43" t="str">
        <f>_xlfn.XLOOKUP(A43,Order!R$12:R$859,Order!C$12:C$859,"")</f>
        <v/>
      </c>
      <c r="C43" t="str">
        <f>_xlfn.XLOOKUP(A43,Order!R$12:R$859,Order!S$12:S$859,"")</f>
        <v/>
      </c>
      <c r="D43" t="str">
        <f>_xlfn.XLOOKUP(A43,Order!R$12:R$859,Order!B$12:B$859,"")</f>
        <v/>
      </c>
      <c r="E43" t="str">
        <f>_xlfn.XLOOKUP(A43,Order!R$12:R$859,Order!P$12:P$859,"")</f>
        <v/>
      </c>
      <c r="F43" t="str">
        <f>_xlfn.XLOOKUP(A43,Order!R$12:R$859,Order!T$12:T$859,"")</f>
        <v/>
      </c>
      <c r="G43" t="str">
        <f>_xlfn.XLOOKUP(A43,Order!R$12:R$859,Order!U$12:U$859,"")</f>
        <v/>
      </c>
      <c r="H43" t="str">
        <f>_xlfn.XLOOKUP(A43,Order!R$12:R$859,Order!B$12:B$859,"")</f>
        <v/>
      </c>
      <c r="I43" t="str">
        <f>_xlfn.XLOOKUP(A43,Order!R$12:R$859,Order!V$12:V$859,"")</f>
        <v/>
      </c>
      <c r="J43" t="str">
        <f>IFERROR(RANK(F43,F$14:F$213,1)+COUNTIF(F$14:F43,F43)-1,"")</f>
        <v/>
      </c>
      <c r="L43" t="str">
        <f t="shared" si="22"/>
        <v/>
      </c>
      <c r="M43" t="str" cm="1">
        <f t="array" ref="M43">_xlfn.XLOOKUP(A43,J$14:J242,B$14:B242,"")</f>
        <v/>
      </c>
      <c r="N43" t="str" cm="1">
        <f t="array" ref="N43">_xlfn.XLOOKUP(A43,J$14:J242,C$14:C242,"")</f>
        <v/>
      </c>
      <c r="O43" t="str" cm="1">
        <f t="array" ref="O43">_xlfn.XLOOKUP(A43,J$14:J242,E$14:E242,"")</f>
        <v/>
      </c>
      <c r="P43" t="str" cm="1">
        <f t="array" ref="P43">_xlfn.XLOOKUP(A43,J$14:J242,G$14:G242,"")</f>
        <v/>
      </c>
      <c r="Q43" t="str" cm="1">
        <f t="array" ref="Q43">_xlfn.XLOOKUP(A43,J$14:J242,F$14:F242,"")</f>
        <v/>
      </c>
      <c r="R43" t="str" cm="1">
        <f t="array" ref="R43">_xlfn.XLOOKUP(A43,J$14:J242,I$14:I242,"")</f>
        <v/>
      </c>
      <c r="S43" t="str" cm="1">
        <f t="array" ref="S43">_xlfn.XLOOKUP(A43,J$14:J242,H$14:H242,"")</f>
        <v/>
      </c>
      <c r="T43" t="str" cm="1">
        <f t="array" ref="T43">VLOOKUP(ROW(30:30),L$14:S$163,8)</f>
        <v/>
      </c>
      <c r="U43" t="str" cm="1">
        <f t="array" ref="U43">VLOOKUP(ROW(30:30),L$14:M$163,2)</f>
        <v/>
      </c>
      <c r="V43" t="str" cm="1">
        <f t="array" ref="V43">VLOOKUP(ROW(30:30),L$14:O$163,4)</f>
        <v/>
      </c>
      <c r="W43" t="str" cm="1">
        <f t="array" ref="W43">VLOOKUP(ROW(30:30),L$14:Q$163,6)</f>
        <v/>
      </c>
      <c r="X43" cm="1">
        <f t="array" ref="X43">IFERROR(VLOOKUP(ROW(30:30),L$14:P$213,5)+0,0)</f>
        <v>0</v>
      </c>
      <c r="Y43" t="str" cm="1">
        <f t="array" ref="Y43">VLOOKUP(ROW(30:30),L$14:R$163,7)</f>
        <v/>
      </c>
      <c r="Z43">
        <f>IF(Y43&lt;-2,X43+MAX(Z$14:Z42),0)</f>
        <v>0</v>
      </c>
      <c r="AA43">
        <f>IFERROR(IF(AND(SUM(AA44:AA$214)+X43&lt;=Z$10,W43&lt;=Z$12,Z43=0),X43,0),0)</f>
        <v>0</v>
      </c>
      <c r="AB43">
        <f>IFERROR(IF(AND(W43&lt;=Z$12+10,AB$12-X43&gt;=0,SUM(Z43:AA43)=0,SUM(AB$14:AB42)+X43&lt;AB$12),X43,0),0)</f>
        <v>0</v>
      </c>
      <c r="AD43">
        <f>IF(AND(Y43=-2,SUM(Z43:AB43)=0),X43+MAX(AD$14:AD42),0)</f>
        <v>0</v>
      </c>
      <c r="AE43">
        <f>IFERROR(IF(AND(SUM(AE44:AE$214)+X43&lt;=AD$10,W43&lt;=AD$12,SUM(Z43:AD43)=0),X43,0),0)</f>
        <v>0</v>
      </c>
      <c r="AF43">
        <f>IFERROR(IF(AND(W43&lt;=AD$12+10,AF$12-X43&gt;=0,SUM(Z43:AE43)=0,SUM(AF$14:AF42)+X43&lt;AF$12),X43,0),0)</f>
        <v>0</v>
      </c>
      <c r="AG43">
        <f t="shared" si="9"/>
        <v>0</v>
      </c>
      <c r="AI43">
        <f t="shared" si="16"/>
        <v>0</v>
      </c>
      <c r="AJ43" s="493">
        <f t="shared" si="17"/>
        <v>0</v>
      </c>
      <c r="AK43">
        <f>IF(AJ43=0,0,IF(AJ42=0,MAX(AK$13:AK42)+1,IF(W43&lt;&gt;W42,MAX(AK$14:AK42)+1,IF(ROUNDDOWN(AJ43-0.01,0)=ROUNDDOWN(AJ42-0.01,0),AK42,AK42+1))))</f>
        <v>0</v>
      </c>
      <c r="AL43">
        <f t="shared" si="18"/>
        <v>0</v>
      </c>
      <c r="AM43">
        <f t="shared" si="19"/>
        <v>0</v>
      </c>
      <c r="AN43">
        <f>IF(AM43&gt;AN$12,IF(AK43=AK42,AN42,MAX(AN$13:AN42)+1),0)</f>
        <v>0</v>
      </c>
      <c r="AP43">
        <f t="shared" si="10"/>
        <v>0</v>
      </c>
      <c r="AQ43">
        <f>IF(AP43&gt;0,IF(MAX(AQ44:AQ$214)+AP43&gt;ROUNDUP(MAX(AQ44:AQ$214),0),ROUNDUP(MAX(AQ44:AQ$214),0)+AP43,MAX(AQ44:AQ$214)+AP43),0)</f>
        <v>0</v>
      </c>
      <c r="AR43">
        <f t="shared" si="12"/>
        <v>0</v>
      </c>
      <c r="AS43">
        <f t="shared" si="20"/>
        <v>0</v>
      </c>
      <c r="AT43">
        <f t="shared" si="11"/>
        <v>10</v>
      </c>
      <c r="AV43">
        <v>1</v>
      </c>
      <c r="AW43">
        <f>IF(AND(AV43&gt;=BN$112,AV43&lt;BN$113),1,IF(AV43&lt;=AV$2,-1,0))</f>
        <v>0</v>
      </c>
      <c r="AX43">
        <f>BI3</f>
        <v>0</v>
      </c>
      <c r="AY43" s="495">
        <f>IF(AND(AX43=AX$42,AW43=AZ42,AX42&lt;&gt;0),AV43,)</f>
        <v>0</v>
      </c>
      <c r="AZ43" s="494">
        <f>IF(AND(SUM($AY43:AY43)=0,$AX43&gt;0),$AV43,0)</f>
        <v>0</v>
      </c>
      <c r="BA43" s="494">
        <f>IF(AND(SUM($AY43:AZ43)=0,$AX43&gt;0),$AV43,0)</f>
        <v>0</v>
      </c>
      <c r="BB43" s="494">
        <f>IF(AND(SUM($AY43:BA43)=0,$AX43&gt;0),$AV43,0)</f>
        <v>0</v>
      </c>
      <c r="BC43" s="494">
        <f>IF(AND(SUM($AY43:BB43)=0,$AX43&gt;0),$AV43,0)</f>
        <v>0</v>
      </c>
      <c r="BD43" s="494">
        <f>IF(AND(SUM($AY43:BC43)=0,$AX43&gt;0),$AV43,0)</f>
        <v>0</v>
      </c>
      <c r="BE43" s="494">
        <f>IF(AND(SUM($AY43:BD43)=0,$AX43&gt;0),$AV43,0)</f>
        <v>0</v>
      </c>
      <c r="BF43" s="494">
        <f>IF(AND(SUM($AY43:BE43)=0,$AX43&gt;0),$AV43,0)</f>
        <v>0</v>
      </c>
      <c r="BG43">
        <f>IF(AND(SUM(AY43:BF43)=0,AX43&gt;0,AW43&gt;-1),AX43,0)</f>
        <v>0</v>
      </c>
      <c r="BH43" s="494">
        <f>IF(AND(BG43&gt;0,BG43&gt;BG$75,BG$75+BF$78&gt;BG43),BG43,0)</f>
        <v>0</v>
      </c>
      <c r="BI43">
        <f>IF(AND(BG$76=AV43,BH$74&gt;0),AX43,IF(BH$75=AV43,0,BG43))+IF(AND(SUM(AZ43:BF43)=0,AW43=-1),AX43,0)</f>
        <v>0</v>
      </c>
      <c r="BJ43">
        <v>52</v>
      </c>
      <c r="BK43">
        <f t="shared" si="35"/>
        <v>0</v>
      </c>
      <c r="BL43">
        <f t="shared" si="36"/>
        <v>0</v>
      </c>
      <c r="BM43">
        <f t="shared" ref="BM43:BM48" si="37">IF(BL43=0,0,(BL42)/5+BM42)</f>
        <v>0</v>
      </c>
      <c r="BN43" s="493">
        <f t="shared" si="15"/>
        <v>0</v>
      </c>
    </row>
    <row r="44" spans="1:66" x14ac:dyDescent="0.25">
      <c r="A44">
        <v>31</v>
      </c>
      <c r="B44" t="str">
        <f>_xlfn.XLOOKUP(A44,Order!R$12:R$859,Order!C$12:C$859,"")</f>
        <v/>
      </c>
      <c r="C44" t="str">
        <f>_xlfn.XLOOKUP(A44,Order!R$12:R$859,Order!S$12:S$859,"")</f>
        <v/>
      </c>
      <c r="D44" t="str">
        <f>_xlfn.XLOOKUP(A44,Order!R$12:R$859,Order!B$12:B$859,"")</f>
        <v/>
      </c>
      <c r="E44" t="str">
        <f>_xlfn.XLOOKUP(A44,Order!R$12:R$859,Order!P$12:P$859,"")</f>
        <v/>
      </c>
      <c r="F44" t="str">
        <f>_xlfn.XLOOKUP(A44,Order!R$12:R$859,Order!T$12:T$859,"")</f>
        <v/>
      </c>
      <c r="G44" t="str">
        <f>_xlfn.XLOOKUP(A44,Order!R$12:R$859,Order!U$12:U$859,"")</f>
        <v/>
      </c>
      <c r="H44" t="str">
        <f>_xlfn.XLOOKUP(A44,Order!R$12:R$859,Order!B$12:B$859,"")</f>
        <v/>
      </c>
      <c r="I44" t="str">
        <f>_xlfn.XLOOKUP(A44,Order!R$12:R$859,Order!V$12:V$859,"")</f>
        <v/>
      </c>
      <c r="J44" t="str">
        <f>IFERROR(RANK(F44,F$14:F$213,1)+COUNTIF(F$14:F44,F44)-1,"")</f>
        <v/>
      </c>
      <c r="L44" t="str">
        <f t="shared" si="22"/>
        <v/>
      </c>
      <c r="M44" t="str" cm="1">
        <f t="array" ref="M44">_xlfn.XLOOKUP(A44,J$14:J243,B$14:B243,"")</f>
        <v/>
      </c>
      <c r="N44" t="str" cm="1">
        <f t="array" ref="N44">_xlfn.XLOOKUP(A44,J$14:J243,C$14:C243,"")</f>
        <v/>
      </c>
      <c r="O44" t="str" cm="1">
        <f t="array" ref="O44">_xlfn.XLOOKUP(A44,J$14:J243,E$14:E243,"")</f>
        <v/>
      </c>
      <c r="P44" t="str" cm="1">
        <f t="array" ref="P44">_xlfn.XLOOKUP(A44,J$14:J243,G$14:G243,"")</f>
        <v/>
      </c>
      <c r="Q44" t="str" cm="1">
        <f t="array" ref="Q44">_xlfn.XLOOKUP(A44,J$14:J243,F$14:F243,"")</f>
        <v/>
      </c>
      <c r="R44" t="str" cm="1">
        <f t="array" ref="R44">_xlfn.XLOOKUP(A44,J$14:J243,I$14:I243,"")</f>
        <v/>
      </c>
      <c r="S44" t="str" cm="1">
        <f t="array" ref="S44">_xlfn.XLOOKUP(A44,J$14:J243,H$14:H243,"")</f>
        <v/>
      </c>
      <c r="T44" t="str" cm="1">
        <f t="array" ref="T44">VLOOKUP(ROW(31:31),L$14:S$163,8)</f>
        <v/>
      </c>
      <c r="U44" t="str" cm="1">
        <f t="array" ref="U44">VLOOKUP(ROW(31:31),L$14:M$163,2)</f>
        <v/>
      </c>
      <c r="V44" t="str" cm="1">
        <f t="array" ref="V44">VLOOKUP(ROW(31:31),L$14:O$163,4)</f>
        <v/>
      </c>
      <c r="W44" t="str" cm="1">
        <f t="array" ref="W44">VLOOKUP(ROW(31:31),L$14:Q$163,6)</f>
        <v/>
      </c>
      <c r="X44" cm="1">
        <f t="array" ref="X44">IFERROR(VLOOKUP(ROW(31:31),L$14:P$213,5)+0,0)</f>
        <v>0</v>
      </c>
      <c r="Y44" t="str" cm="1">
        <f t="array" ref="Y44">VLOOKUP(ROW(31:31),L$14:R$163,7)</f>
        <v/>
      </c>
      <c r="Z44">
        <f>IF(Y44&lt;-2,X44+MAX(Z$14:Z43),0)</f>
        <v>0</v>
      </c>
      <c r="AA44">
        <f>IFERROR(IF(AND(SUM(AA45:AA$214)+X44&lt;=Z$10,W44&lt;=Z$12,Z44=0),X44,0),0)</f>
        <v>0</v>
      </c>
      <c r="AB44">
        <f>IFERROR(IF(AND(W44&lt;=Z$12+10,AB$12-X44&gt;=0,SUM(Z44:AA44)=0,SUM(AB$14:AB43)+X44&lt;AB$12),X44,0),0)</f>
        <v>0</v>
      </c>
      <c r="AD44">
        <f>IF(AND(Y44=-2,SUM(Z44:AB44)=0),X44+MAX(AD$14:AD43),0)</f>
        <v>0</v>
      </c>
      <c r="AE44">
        <f>IFERROR(IF(AND(SUM(AE45:AE$214)+X44&lt;=AD$10,W44&lt;=AD$12,SUM(Z44:AD44)=0),X44,0),0)</f>
        <v>0</v>
      </c>
      <c r="AF44">
        <f>IFERROR(IF(AND(W44&lt;=AD$12+10,AF$12-X44&gt;=0,SUM(Z44:AE44)=0,SUM(AF$14:AF43)+X44&lt;AF$12),X44,0),0)</f>
        <v>0</v>
      </c>
      <c r="AG44">
        <f t="shared" si="9"/>
        <v>0</v>
      </c>
      <c r="AI44">
        <f t="shared" si="16"/>
        <v>0</v>
      </c>
      <c r="AJ44" s="493">
        <f t="shared" si="17"/>
        <v>0</v>
      </c>
      <c r="AK44">
        <f>IF(AJ44=0,0,IF(AJ43=0,MAX(AK$13:AK43)+1,IF(W44&lt;&gt;W43,MAX(AK$14:AK43)+1,IF(ROUNDDOWN(AJ44-0.01,0)=ROUNDDOWN(AJ43-0.01,0),AK43,AK43+1))))</f>
        <v>0</v>
      </c>
      <c r="AL44">
        <f t="shared" si="18"/>
        <v>0</v>
      </c>
      <c r="AM44">
        <f t="shared" si="19"/>
        <v>0</v>
      </c>
      <c r="AN44">
        <f>IF(AM44&gt;AN$12,IF(AK44=AK43,AN43,MAX(AN$13:AN43)+1),0)</f>
        <v>0</v>
      </c>
      <c r="AP44">
        <f t="shared" si="10"/>
        <v>0</v>
      </c>
      <c r="AQ44">
        <f>IF(AP44&gt;0,IF(MAX(AQ45:AQ$214)+AP44&gt;ROUNDUP(MAX(AQ45:AQ$214),0),ROUNDUP(MAX(AQ45:AQ$214),0)+AP44,MAX(AQ45:AQ$214)+AP44),0)</f>
        <v>0</v>
      </c>
      <c r="AR44">
        <f t="shared" si="12"/>
        <v>0</v>
      </c>
      <c r="AS44">
        <f t="shared" si="20"/>
        <v>0</v>
      </c>
      <c r="AT44">
        <f t="shared" si="11"/>
        <v>10</v>
      </c>
      <c r="AV44">
        <v>2</v>
      </c>
      <c r="AW44">
        <f>IF(AND(AV44&gt;=BN$112,AV44&lt;BN$113),1,IF(AV44&lt;=AV$2,-1,0))</f>
        <v>0</v>
      </c>
      <c r="AX44">
        <f t="shared" ref="AX44:AX72" si="38">BI4</f>
        <v>0</v>
      </c>
      <c r="AY44" s="496">
        <f>IF(AND(AX44=AX$42,SUM(AY43:AY$43)=0,AW44=AZ$42,AX$42&lt;&gt;0),AV44,)</f>
        <v>0</v>
      </c>
      <c r="AZ44">
        <f>IF(AND(SUM(AZ$43:AZ43)=0,SUM($AY44:AY44)=0,$AX44&lt;=AY$78,$AX44&gt;0,$AW44&gt;-1),$AV44,0)</f>
        <v>0</v>
      </c>
      <c r="BA44">
        <f>IF(AND(SUM(BA$43:BA43)=0,SUM($AY44:AZ44)=0,$AX44&lt;=AZ$78,$AX44&gt;0,$AW44&gt;-1),$AV44,0)</f>
        <v>0</v>
      </c>
      <c r="BB44">
        <f>IF(AND(SUM(BB$43:BB43)=0,SUM($AY44:BA44)=0,$AX44&lt;=BA$78,$AX44&gt;0,$AW44&gt;-1),$AV44,0)</f>
        <v>0</v>
      </c>
      <c r="BC44">
        <f>IF(AND(SUM(BC$43:BC43)=0,SUM($AY44:BB44)=0,$AX44&lt;=BB$78,$AX44&gt;0,$AW44&gt;-1),$AV44,0)</f>
        <v>0</v>
      </c>
      <c r="BD44">
        <f>IF(AND(SUM(BD$43:BD43)=0,SUM($AY44:BC44)=0,$AX44&lt;=BC$78,$AX44&gt;0,$AW44&gt;-1),$AV44,0)</f>
        <v>0</v>
      </c>
      <c r="BE44">
        <f>IF(AND(SUM(BE$43:BE43)=0,SUM($AY44:BD44)=0,$AX44&lt;=BD$78,$AX44&gt;0,$AW44&gt;-1),$AV44,0)</f>
        <v>0</v>
      </c>
      <c r="BF44">
        <f>IF(AND(SUM(BF$43:BF43)=0,SUM($AY44:BE44)=0,$AX44&lt;=BE$78,$AX44&gt;0,$AW44&gt;-1),$AV44,0)</f>
        <v>0</v>
      </c>
      <c r="BG44">
        <f t="shared" ref="BG44:BG72" si="39">IF(AND(SUM(AY44:BF44)=0,AX44&gt;0,AW44&gt;-1),AX44,0)</f>
        <v>0</v>
      </c>
      <c r="BH44" s="494">
        <f t="shared" ref="BH44:BH72" si="40">IF(AND(BG44&gt;0,BG44&gt;BG$75,BG$75+BF$78&gt;BG44),BG44,0)</f>
        <v>0</v>
      </c>
      <c r="BI44">
        <f t="shared" ref="BI44:BI72" si="41">IF(AND(BG$76=AV44,BH$74&gt;0),AX44,IF(BH$75=AV44,0,BG44))+IF(AND(SUM(AZ44:BF44)=0,AW44=-1),AX44,0)</f>
        <v>0</v>
      </c>
      <c r="BJ44">
        <v>53</v>
      </c>
      <c r="BK44">
        <f t="shared" si="35"/>
        <v>0</v>
      </c>
      <c r="BL44">
        <f t="shared" si="36"/>
        <v>0</v>
      </c>
      <c r="BM44">
        <f t="shared" si="37"/>
        <v>0</v>
      </c>
      <c r="BN44" s="493">
        <f t="shared" si="15"/>
        <v>0</v>
      </c>
    </row>
    <row r="45" spans="1:66" x14ac:dyDescent="0.25">
      <c r="A45">
        <v>32</v>
      </c>
      <c r="B45" t="str">
        <f>_xlfn.XLOOKUP(A45,Order!R$12:R$859,Order!C$12:C$859,"")</f>
        <v/>
      </c>
      <c r="C45" t="str">
        <f>_xlfn.XLOOKUP(A45,Order!R$12:R$859,Order!S$12:S$859,"")</f>
        <v/>
      </c>
      <c r="D45" t="str">
        <f>_xlfn.XLOOKUP(A45,Order!R$12:R$859,Order!B$12:B$859,"")</f>
        <v/>
      </c>
      <c r="E45" t="str">
        <f>_xlfn.XLOOKUP(A45,Order!R$12:R$859,Order!P$12:P$859,"")</f>
        <v/>
      </c>
      <c r="F45" t="str">
        <f>_xlfn.XLOOKUP(A45,Order!R$12:R$859,Order!T$12:T$859,"")</f>
        <v/>
      </c>
      <c r="G45" t="str">
        <f>_xlfn.XLOOKUP(A45,Order!R$12:R$859,Order!U$12:U$859,"")</f>
        <v/>
      </c>
      <c r="H45" t="str">
        <f>_xlfn.XLOOKUP(A45,Order!R$12:R$859,Order!B$12:B$859,"")</f>
        <v/>
      </c>
      <c r="I45" t="str">
        <f>_xlfn.XLOOKUP(A45,Order!R$12:R$859,Order!V$12:V$859,"")</f>
        <v/>
      </c>
      <c r="J45" t="str">
        <f>IFERROR(RANK(F45,F$14:F$213,1)+COUNTIF(F$14:F45,F45)-1,"")</f>
        <v/>
      </c>
      <c r="L45" t="str">
        <f>IFERROR(L44+N44,"")</f>
        <v/>
      </c>
      <c r="M45" t="str" cm="1">
        <f t="array" ref="M45">_xlfn.XLOOKUP(A45,J$14:J244,B$14:B244,"")</f>
        <v/>
      </c>
      <c r="N45" t="str" cm="1">
        <f t="array" ref="N45">_xlfn.XLOOKUP(A45,J$14:J244,C$14:C244,"")</f>
        <v/>
      </c>
      <c r="O45" t="str" cm="1">
        <f t="array" ref="O45">_xlfn.XLOOKUP(A45,J$14:J244,E$14:E244,"")</f>
        <v/>
      </c>
      <c r="P45" t="str" cm="1">
        <f t="array" ref="P45">_xlfn.XLOOKUP(A45,J$14:J244,G$14:G244,"")</f>
        <v/>
      </c>
      <c r="Q45" t="str" cm="1">
        <f t="array" ref="Q45">_xlfn.XLOOKUP(A45,J$14:J244,F$14:F244,"")</f>
        <v/>
      </c>
      <c r="R45" t="str" cm="1">
        <f t="array" ref="R45">_xlfn.XLOOKUP(A45,J$14:J244,I$14:I244,"")</f>
        <v/>
      </c>
      <c r="S45" t="str" cm="1">
        <f t="array" ref="S45">_xlfn.XLOOKUP(A45,J$14:J244,H$14:H244,"")</f>
        <v/>
      </c>
      <c r="T45" t="str" cm="1">
        <f t="array" ref="T45">VLOOKUP(ROW(32:32),L$14:S$163,8)</f>
        <v/>
      </c>
      <c r="U45" t="str" cm="1">
        <f t="array" ref="U45">VLOOKUP(ROW(32:32),L$14:M$163,2)</f>
        <v/>
      </c>
      <c r="V45" t="str" cm="1">
        <f t="array" ref="V45">VLOOKUP(ROW(32:32),L$14:O$163,4)</f>
        <v/>
      </c>
      <c r="W45" t="str" cm="1">
        <f t="array" ref="W45">VLOOKUP(ROW(32:32),L$14:Q$163,6)</f>
        <v/>
      </c>
      <c r="X45" cm="1">
        <f t="array" ref="X45">IFERROR(VLOOKUP(ROW(32:32),L$14:P$213,5)+0,0)</f>
        <v>0</v>
      </c>
      <c r="Y45" t="str" cm="1">
        <f t="array" ref="Y45">VLOOKUP(ROW(32:32),L$14:R$163,7)</f>
        <v/>
      </c>
      <c r="Z45">
        <f>IF(Y45&lt;-2,X45+MAX(Z$14:Z44),0)</f>
        <v>0</v>
      </c>
      <c r="AA45">
        <f>IFERROR(IF(AND(SUM(AA46:AA$214)+X45&lt;=Z$10,W45&lt;=Z$12,Z45=0),X45,0),0)</f>
        <v>0</v>
      </c>
      <c r="AB45">
        <f>IFERROR(IF(AND(W45&lt;=Z$12+10,AB$12-X45&gt;=0,SUM(Z45:AA45)=0,SUM(AB$14:AB44)+X45&lt;AB$12),X45,0),0)</f>
        <v>0</v>
      </c>
      <c r="AD45">
        <f>IF(AND(Y45=-2,SUM(Z45:AB45)=0),X45+MAX(AD$14:AD44),0)</f>
        <v>0</v>
      </c>
      <c r="AE45">
        <f>IFERROR(IF(AND(SUM(AE46:AE$214)+X45&lt;=AD$10,W45&lt;=AD$12,SUM(Z45:AD45)=0),X45,0),0)</f>
        <v>0</v>
      </c>
      <c r="AF45">
        <f>IFERROR(IF(AND(W45&lt;=AD$12+10,AF$12-X45&gt;=0,SUM(Z45:AE45)=0,SUM(AF$14:AF44)+X45&lt;AF$12),X45,0),0)</f>
        <v>0</v>
      </c>
      <c r="AG45">
        <f t="shared" si="9"/>
        <v>0</v>
      </c>
      <c r="AI45">
        <f t="shared" si="16"/>
        <v>0</v>
      </c>
      <c r="AJ45" s="493">
        <f t="shared" si="17"/>
        <v>0</v>
      </c>
      <c r="AK45">
        <f>IF(AJ45=0,0,IF(AJ44=0,MAX(AK$13:AK44)+1,IF(W45&lt;&gt;W44,MAX(AK$14:AK44)+1,IF(ROUNDDOWN(AJ45-0.01,0)=ROUNDDOWN(AJ44-0.01,0),AK44,AK44+1))))</f>
        <v>0</v>
      </c>
      <c r="AL45">
        <f t="shared" si="18"/>
        <v>0</v>
      </c>
      <c r="AM45">
        <f t="shared" si="19"/>
        <v>0</v>
      </c>
      <c r="AN45">
        <f>IF(AM45&gt;AN$12,IF(AK45=AK44,AN44,MAX(AN$13:AN44)+1),0)</f>
        <v>0</v>
      </c>
      <c r="AP45">
        <f t="shared" si="10"/>
        <v>0</v>
      </c>
      <c r="AQ45">
        <f>IF(AP45&gt;0,IF(MAX(AQ46:AQ$214)+AP45&gt;ROUNDUP(MAX(AQ46:AQ$214),0),ROUNDUP(MAX(AQ46:AQ$214),0)+AP45,MAX(AQ46:AQ$214)+AP45),0)</f>
        <v>0</v>
      </c>
      <c r="AR45">
        <f t="shared" si="12"/>
        <v>0</v>
      </c>
      <c r="AS45">
        <f t="shared" si="20"/>
        <v>0</v>
      </c>
      <c r="AT45">
        <f t="shared" si="11"/>
        <v>10</v>
      </c>
      <c r="AV45">
        <v>3</v>
      </c>
      <c r="AW45">
        <f>IF(AND(AV45&gt;=BN$112,AV45&lt;BN$113),1,IF(AV45&lt;=AV$2,-1,0))</f>
        <v>0</v>
      </c>
      <c r="AX45">
        <f t="shared" si="38"/>
        <v>0</v>
      </c>
      <c r="AY45" s="496">
        <f>IF(AND(AX45=AX$42,SUM(AY$43:AY44)=0,AW45=AZ$42,AX$42&lt;&gt;0),AV45,)</f>
        <v>0</v>
      </c>
      <c r="AZ45">
        <f>IF(AND(SUM(AZ$43:AZ44)=0,SUM($AY45:AY45)=0,$AX45&lt;=AY$78,$AX45&gt;0,$AW45&gt;-1),$AV45,0)</f>
        <v>0</v>
      </c>
      <c r="BA45">
        <f>IF(AND(SUM(BA$43:BA44)=0,SUM($AY45:AZ45)=0,$AX45&lt;=AZ$78,$AX45&gt;0,$AW45&gt;-1),$AV45,0)</f>
        <v>0</v>
      </c>
      <c r="BB45">
        <f>IF(AND(SUM(BB$43:BB44)=0,SUM($AY45:BA45)=0,$AX45&lt;=BA$78,$AX45&gt;0,$AW45&gt;-1),$AV45,0)</f>
        <v>0</v>
      </c>
      <c r="BC45">
        <f>IF(AND(SUM(BC$43:BC44)=0,SUM($AY45:BB45)=0,$AX45&lt;=BB$78,$AX45&gt;0,$AW45&gt;-1),$AV45,0)</f>
        <v>0</v>
      </c>
      <c r="BD45">
        <f>IF(AND(SUM(BD$43:BD44)=0,SUM($AY45:BC45)=0,$AX45&lt;=BC$78,$AX45&gt;0,$AW45&gt;-1),$AV45,0)</f>
        <v>0</v>
      </c>
      <c r="BE45">
        <f>IF(AND(SUM(BE$43:BE44)=0,SUM($AY45:BD45)=0,$AX45&lt;=BD$78,$AX45&gt;0,$AW45&gt;-1),$AV45,0)</f>
        <v>0</v>
      </c>
      <c r="BF45">
        <f>IF(AND(SUM(BF$43:BF44)=0,SUM($AY45:BE45)=0,$AX45&lt;=BE$78,$AX45&gt;0,$AW45&gt;-1),$AV45,0)</f>
        <v>0</v>
      </c>
      <c r="BG45">
        <f t="shared" si="39"/>
        <v>0</v>
      </c>
      <c r="BH45" s="494">
        <f t="shared" si="40"/>
        <v>0</v>
      </c>
      <c r="BI45">
        <f t="shared" si="41"/>
        <v>0</v>
      </c>
      <c r="BJ45">
        <v>54</v>
      </c>
      <c r="BK45">
        <f t="shared" si="35"/>
        <v>0</v>
      </c>
      <c r="BL45">
        <f t="shared" si="36"/>
        <v>0</v>
      </c>
      <c r="BM45">
        <f t="shared" si="37"/>
        <v>0</v>
      </c>
      <c r="BN45" s="493">
        <f t="shared" si="15"/>
        <v>0</v>
      </c>
    </row>
    <row r="46" spans="1:66" x14ac:dyDescent="0.25">
      <c r="A46">
        <v>33</v>
      </c>
      <c r="B46" t="str">
        <f>_xlfn.XLOOKUP(A46,Order!R$12:R$859,Order!C$12:C$859,"")</f>
        <v/>
      </c>
      <c r="C46" t="str">
        <f>_xlfn.XLOOKUP(A46,Order!R$12:R$859,Order!S$12:S$859,"")</f>
        <v/>
      </c>
      <c r="D46" t="str">
        <f>_xlfn.XLOOKUP(A46,Order!R$12:R$859,Order!B$12:B$859,"")</f>
        <v/>
      </c>
      <c r="E46" t="str">
        <f>_xlfn.XLOOKUP(A46,Order!R$12:R$859,Order!P$12:P$859,"")</f>
        <v/>
      </c>
      <c r="F46" t="str">
        <f>_xlfn.XLOOKUP(A46,Order!R$12:R$859,Order!T$12:T$859,"")</f>
        <v/>
      </c>
      <c r="G46" t="str">
        <f>_xlfn.XLOOKUP(A46,Order!R$12:R$859,Order!U$12:U$859,"")</f>
        <v/>
      </c>
      <c r="H46" t="str">
        <f>_xlfn.XLOOKUP(A46,Order!R$12:R$859,Order!B$12:B$859,"")</f>
        <v/>
      </c>
      <c r="I46" t="str">
        <f>_xlfn.XLOOKUP(A46,Order!R$12:R$859,Order!V$12:V$859,"")</f>
        <v/>
      </c>
      <c r="J46" t="str">
        <f>IFERROR(RANK(F46,F$14:F$213,1)+COUNTIF(F$14:F46,F46)-1,"")</f>
        <v/>
      </c>
      <c r="L46" t="str">
        <f t="shared" si="22"/>
        <v/>
      </c>
      <c r="M46" t="str" cm="1">
        <f t="array" ref="M46">_xlfn.XLOOKUP(A46,J$14:J245,B$14:B245,"")</f>
        <v/>
      </c>
      <c r="N46" t="str" cm="1">
        <f t="array" ref="N46">_xlfn.XLOOKUP(A46,J$14:J245,C$14:C245,"")</f>
        <v/>
      </c>
      <c r="O46" t="str" cm="1">
        <f t="array" ref="O46">_xlfn.XLOOKUP(A46,J$14:J245,E$14:E245,"")</f>
        <v/>
      </c>
      <c r="P46" t="str" cm="1">
        <f t="array" ref="P46">_xlfn.XLOOKUP(A46,J$14:J245,G$14:G245,"")</f>
        <v/>
      </c>
      <c r="Q46" t="str" cm="1">
        <f t="array" ref="Q46">_xlfn.XLOOKUP(A46,J$14:J245,F$14:F245,"")</f>
        <v/>
      </c>
      <c r="R46" t="str" cm="1">
        <f t="array" ref="R46">_xlfn.XLOOKUP(A46,J$14:J245,I$14:I245,"")</f>
        <v/>
      </c>
      <c r="S46" t="str" cm="1">
        <f t="array" ref="S46">_xlfn.XLOOKUP(A46,J$14:J245,H$14:H245,"")</f>
        <v/>
      </c>
      <c r="T46" t="str" cm="1">
        <f t="array" ref="T46">VLOOKUP(ROW(33:33),L$14:S$163,8)</f>
        <v/>
      </c>
      <c r="U46" t="str" cm="1">
        <f t="array" ref="U46">VLOOKUP(ROW(33:33),L$14:M$163,2)</f>
        <v/>
      </c>
      <c r="V46" t="str" cm="1">
        <f t="array" ref="V46">VLOOKUP(ROW(33:33),L$14:O$163,4)</f>
        <v/>
      </c>
      <c r="W46" t="str" cm="1">
        <f t="array" ref="W46">VLOOKUP(ROW(33:33),L$14:Q$163,6)</f>
        <v/>
      </c>
      <c r="X46" cm="1">
        <f t="array" ref="X46">IFERROR(VLOOKUP(ROW(33:33),L$14:P$213,5)+0,0)</f>
        <v>0</v>
      </c>
      <c r="Y46" t="str" cm="1">
        <f t="array" ref="Y46">VLOOKUP(ROW(33:33),L$14:R$163,7)</f>
        <v/>
      </c>
      <c r="Z46">
        <f>IF(Y46&lt;-2,X46+MAX(Z$14:Z45),0)</f>
        <v>0</v>
      </c>
      <c r="AA46">
        <f>IFERROR(IF(AND(SUM(AA47:AA$214)+X46&lt;=Z$10,W46&lt;=Z$12,Z46=0),X46,0),0)</f>
        <v>0</v>
      </c>
      <c r="AB46">
        <f>IFERROR(IF(AND(W46&lt;=Z$12+10,AB$12-X46&gt;=0,SUM(Z46:AA46)=0,SUM(AB$14:AB45)+X46&lt;AB$12),X46,0),0)</f>
        <v>0</v>
      </c>
      <c r="AD46">
        <f>IF(AND(Y46=-2,SUM(Z46:AB46)=0),X46+MAX(AD$14:AD45),0)</f>
        <v>0</v>
      </c>
      <c r="AE46">
        <f>IFERROR(IF(AND(SUM(AE47:AE$214)+X46&lt;=AD$10,W46&lt;=AD$12,SUM(Z46:AD46)=0),X46,0),0)</f>
        <v>0</v>
      </c>
      <c r="AF46">
        <f>IFERROR(IF(AND(W46&lt;=AD$12+10,AF$12-X46&gt;=0,SUM(Z46:AE46)=0,SUM(AF$14:AF45)+X46&lt;AF$12),X46,0),0)</f>
        <v>0</v>
      </c>
      <c r="AG46">
        <f t="shared" ref="AG46:AG77" si="42">IF(SUM(Z46:AF46)&gt;0,0,X46)</f>
        <v>0</v>
      </c>
      <c r="AI46">
        <f t="shared" ref="AI46:AI78" si="43">ROUNDUP(Z46,0)+IF(SUM(AA46:AB46)&gt;0,AB$10,0)+IF(AD46&gt;0,ROUNDUP(AD46+AB$10,0),0)+IF(SUM(AE46:AF46)&gt;0,AE$10,0)</f>
        <v>0</v>
      </c>
      <c r="AJ46" s="493">
        <f t="shared" si="17"/>
        <v>0</v>
      </c>
      <c r="AK46">
        <f>IF(AJ46=0,0,IF(AJ45=0,MAX(AK$13:AK45)+1,IF(W46&lt;&gt;W45,MAX(AK$14:AK45)+1,IF(ROUNDDOWN(AJ46-0.01,0)=ROUNDDOWN(AJ45-0.01,0),AK45,AK45+1))))</f>
        <v>0</v>
      </c>
      <c r="AL46">
        <f t="shared" si="18"/>
        <v>0</v>
      </c>
      <c r="AM46">
        <f t="shared" si="19"/>
        <v>0</v>
      </c>
      <c r="AN46">
        <f>IF(AM46&gt;AN$12,IF(AK46=AK45,AN45,MAX(AN$13:AN45)+1),0)</f>
        <v>0</v>
      </c>
      <c r="AP46">
        <f t="shared" ref="AP46:AP77" si="44">IF(AN46+AI46&gt;0,0,X46)</f>
        <v>0</v>
      </c>
      <c r="AQ46">
        <f>IF(AP46&gt;0,IF(MAX(AQ47:AQ$214)+AP46&gt;ROUNDUP(MAX(AQ47:AQ$214),0),ROUNDUP(MAX(AQ47:AQ$214),0)+AP46,MAX(AQ47:AQ$214)+AP46),0)</f>
        <v>0</v>
      </c>
      <c r="AR46">
        <f t="shared" si="12"/>
        <v>0</v>
      </c>
      <c r="AS46">
        <f t="shared" ref="AS46:AS77" si="45">_xlfn.MAXIFS(W46:W245,AR46:AR245,AR46)</f>
        <v>0</v>
      </c>
      <c r="AT46">
        <f t="shared" ref="AT46:AT77" si="46">_xlfn.SINGLE(_xlfn.XLOOKUP(AR46,BK$4:BK$48,BJ$4:BJ$48,0))</f>
        <v>10</v>
      </c>
      <c r="AV46">
        <v>4</v>
      </c>
      <c r="AW46">
        <f>IF(AND(AV46&gt;=BN$112,AV46&lt;BN$113),1,IF(AV46&lt;=AV$2,-1,0))</f>
        <v>0</v>
      </c>
      <c r="AX46">
        <f t="shared" si="38"/>
        <v>0</v>
      </c>
      <c r="AY46" s="496">
        <f>IF(AND(AX46=AX$42,SUM(AY$43:AY45)=0,AW46=AZ$42,AX$42&lt;&gt;0),AV46,)</f>
        <v>0</v>
      </c>
      <c r="AZ46">
        <f>IF(AND(SUM(AZ$43:AZ45)=0,SUM($AY46:AY46)=0,$AX46&lt;=AY$78,$AX46&gt;0,$AW46&gt;-1),$AV46,0)</f>
        <v>0</v>
      </c>
      <c r="BA46">
        <f>IF(AND(SUM(BA$43:BA45)=0,SUM($AY46:AZ46)=0,$AX46&lt;=AZ$78,$AX46&gt;0,$AW46&gt;-1),$AV46,0)</f>
        <v>0</v>
      </c>
      <c r="BB46">
        <f>IF(AND(SUM(BB$43:BB45)=0,SUM($AY46:BA46)=0,$AX46&lt;=BA$78,$AX46&gt;0,$AW46&gt;-1),$AV46,0)</f>
        <v>0</v>
      </c>
      <c r="BC46">
        <f>IF(AND(SUM(BC$43:BC45)=0,SUM($AY46:BB46)=0,$AX46&lt;=BB$78,$AX46&gt;0,$AW46&gt;-1),$AV46,0)</f>
        <v>0</v>
      </c>
      <c r="BD46">
        <f>IF(AND(SUM(BD$43:BD45)=0,SUM($AY46:BC46)=0,$AX46&lt;=BC$78,$AX46&gt;0,$AW46&gt;-1),$AV46,0)</f>
        <v>0</v>
      </c>
      <c r="BE46">
        <f>IF(AND(SUM(BE$43:BE45)=0,SUM($AY46:BD46)=0,$AX46&lt;=BD$78,$AX46&gt;0,$AW46&gt;-1),$AV46,0)</f>
        <v>0</v>
      </c>
      <c r="BF46">
        <f>IF(AND(SUM(BF$43:BF45)=0,SUM($AY46:BE46)=0,$AX46&lt;=BE$78,$AX46&gt;0,$AW46&gt;-1),$AV46,0)</f>
        <v>0</v>
      </c>
      <c r="BG46">
        <f t="shared" si="39"/>
        <v>0</v>
      </c>
      <c r="BH46" s="494">
        <f>IF(AND(BG46&gt;0,BG46&gt;BG$75,BG$75+BF$78&gt;BG46),BG46,0)</f>
        <v>0</v>
      </c>
      <c r="BI46">
        <f t="shared" si="41"/>
        <v>0</v>
      </c>
      <c r="BJ46">
        <v>55</v>
      </c>
      <c r="BK46">
        <f t="shared" si="35"/>
        <v>0</v>
      </c>
      <c r="BL46">
        <f t="shared" si="36"/>
        <v>0</v>
      </c>
      <c r="BM46">
        <f t="shared" si="37"/>
        <v>0</v>
      </c>
      <c r="BN46" s="493">
        <f t="shared" si="15"/>
        <v>0</v>
      </c>
    </row>
    <row r="47" spans="1:66" x14ac:dyDescent="0.25">
      <c r="A47">
        <v>34</v>
      </c>
      <c r="B47" t="str">
        <f>_xlfn.XLOOKUP(A47,Order!R$12:R$859,Order!C$12:C$859,"")</f>
        <v/>
      </c>
      <c r="C47" t="str">
        <f>_xlfn.XLOOKUP(A47,Order!R$12:R$859,Order!S$12:S$859,"")</f>
        <v/>
      </c>
      <c r="D47" t="str">
        <f>_xlfn.XLOOKUP(A47,Order!R$12:R$859,Order!B$12:B$859,"")</f>
        <v/>
      </c>
      <c r="E47" t="str">
        <f>_xlfn.XLOOKUP(A47,Order!R$12:R$859,Order!P$12:P$859,"")</f>
        <v/>
      </c>
      <c r="F47" t="str">
        <f>_xlfn.XLOOKUP(A47,Order!R$12:R$859,Order!T$12:T$859,"")</f>
        <v/>
      </c>
      <c r="G47" t="str">
        <f>_xlfn.XLOOKUP(A47,Order!R$12:R$859,Order!U$12:U$859,"")</f>
        <v/>
      </c>
      <c r="H47" t="str">
        <f>_xlfn.XLOOKUP(A47,Order!R$12:R$859,Order!B$12:B$859,"")</f>
        <v/>
      </c>
      <c r="I47" t="str">
        <f>_xlfn.XLOOKUP(A47,Order!R$12:R$859,Order!V$12:V$859,"")</f>
        <v/>
      </c>
      <c r="J47" t="str">
        <f>IFERROR(RANK(F47,F$14:F$213,1)+COUNTIF(F$14:F47,F47)-1,"")</f>
        <v/>
      </c>
      <c r="L47" t="str">
        <f t="shared" si="22"/>
        <v/>
      </c>
      <c r="M47" t="str" cm="1">
        <f t="array" ref="M47">_xlfn.XLOOKUP(A47,J$14:J246,B$14:B246,"")</f>
        <v/>
      </c>
      <c r="N47" t="str" cm="1">
        <f t="array" ref="N47">_xlfn.XLOOKUP(A47,J$14:J246,C$14:C246,"")</f>
        <v/>
      </c>
      <c r="O47" t="str" cm="1">
        <f t="array" ref="O47">_xlfn.XLOOKUP(A47,J$14:J246,E$14:E246,"")</f>
        <v/>
      </c>
      <c r="P47" t="str" cm="1">
        <f t="array" ref="P47">_xlfn.XLOOKUP(A47,J$14:J246,G$14:G246,"")</f>
        <v/>
      </c>
      <c r="Q47" t="str" cm="1">
        <f t="array" ref="Q47">_xlfn.XLOOKUP(A47,J$14:J246,F$14:F246,"")</f>
        <v/>
      </c>
      <c r="R47" t="str" cm="1">
        <f t="array" ref="R47">_xlfn.XLOOKUP(A47,J$14:J246,I$14:I246,"")</f>
        <v/>
      </c>
      <c r="S47" t="str" cm="1">
        <f t="array" ref="S47">_xlfn.XLOOKUP(A47,J$14:J246,H$14:H246,"")</f>
        <v/>
      </c>
      <c r="T47" t="str" cm="1">
        <f t="array" ref="T47">VLOOKUP(ROW(34:34),L$14:S$163,8)</f>
        <v/>
      </c>
      <c r="U47" t="str" cm="1">
        <f t="array" ref="U47">VLOOKUP(ROW(34:34),L$14:M$163,2)</f>
        <v/>
      </c>
      <c r="V47" t="str" cm="1">
        <f t="array" ref="V47">VLOOKUP(ROW(34:34),L$14:O$163,4)</f>
        <v/>
      </c>
      <c r="W47" t="str" cm="1">
        <f t="array" ref="W47">VLOOKUP(ROW(34:34),L$14:Q$163,6)</f>
        <v/>
      </c>
      <c r="X47" cm="1">
        <f t="array" ref="X47">IFERROR(VLOOKUP(ROW(34:34),L$14:P$213,5)+0,0)</f>
        <v>0</v>
      </c>
      <c r="Y47" t="str" cm="1">
        <f t="array" ref="Y47">VLOOKUP(ROW(34:34),L$14:R$163,7)</f>
        <v/>
      </c>
      <c r="Z47">
        <f>IF(Y47&lt;-2,X47+MAX(Z$14:Z46),0)</f>
        <v>0</v>
      </c>
      <c r="AA47">
        <f>IFERROR(IF(AND(SUM(AA48:AA$214)+X47&lt;=Z$10,W47&lt;=Z$12,Z47=0),X47,0),0)</f>
        <v>0</v>
      </c>
      <c r="AB47">
        <f>IFERROR(IF(AND(W47&lt;=Z$12+10,AB$12-X47&gt;=0,SUM(Z47:AA47)=0,SUM(AB$14:AB46)+X47&lt;AB$12),X47,0),0)</f>
        <v>0</v>
      </c>
      <c r="AD47">
        <f>IF(AND(Y47=-2,SUM(Z47:AB47)=0),X47+MAX(AD$14:AD46),0)</f>
        <v>0</v>
      </c>
      <c r="AE47">
        <f>IFERROR(IF(AND(SUM(AE48:AE$214)+X47&lt;=AD$10,W47&lt;=AD$12,SUM(Z47:AD47)=0),X47,0),0)</f>
        <v>0</v>
      </c>
      <c r="AF47">
        <f>IFERROR(IF(AND(W47&lt;=AD$12+10,AF$12-X47&gt;=0,SUM(Z47:AE47)=0,SUM(AF$14:AF46)+X47&lt;AF$12),X47,0),0)</f>
        <v>0</v>
      </c>
      <c r="AG47">
        <f t="shared" si="42"/>
        <v>0</v>
      </c>
      <c r="AI47">
        <f t="shared" si="43"/>
        <v>0</v>
      </c>
      <c r="AJ47" s="493">
        <f t="shared" si="17"/>
        <v>0</v>
      </c>
      <c r="AK47">
        <f>IF(AJ47=0,0,IF(AJ46=0,MAX(AK$13:AK46)+1,IF(W47&lt;&gt;W46,MAX(AK$14:AK46)+1,IF(ROUNDDOWN(AJ47-0.01,0)=ROUNDDOWN(AJ46-0.01,0),AK46,AK46+1))))</f>
        <v>0</v>
      </c>
      <c r="AL47">
        <f t="shared" si="18"/>
        <v>0</v>
      </c>
      <c r="AM47">
        <f t="shared" si="19"/>
        <v>0</v>
      </c>
      <c r="AN47">
        <f>IF(AM47&gt;AN$12,IF(AK47=AK46,AN46,MAX(AN$13:AN46)+1),0)</f>
        <v>0</v>
      </c>
      <c r="AP47">
        <f t="shared" si="44"/>
        <v>0</v>
      </c>
      <c r="AQ47">
        <f>IF(AP47&gt;0,IF(MAX(AQ48:AQ$214)+AP47&gt;ROUNDUP(MAX(AQ48:AQ$214),0),ROUNDUP(MAX(AQ48:AQ$214),0)+AP47,MAX(AQ48:AQ$214)+AP47),0)</f>
        <v>0</v>
      </c>
      <c r="AR47">
        <f t="shared" si="12"/>
        <v>0</v>
      </c>
      <c r="AS47">
        <f t="shared" si="45"/>
        <v>0</v>
      </c>
      <c r="AT47">
        <f t="shared" si="46"/>
        <v>10</v>
      </c>
      <c r="AV47">
        <v>5</v>
      </c>
      <c r="AW47">
        <f t="shared" ref="AW47:AW72" si="47">IF(AND(AV47&gt;=BN$112,AV47&lt;BN$113),1,IF(AV47&lt;=AV$2,-1,0))</f>
        <v>0</v>
      </c>
      <c r="AX47">
        <f t="shared" si="38"/>
        <v>0</v>
      </c>
      <c r="AY47" s="496">
        <f>IF(AND(AX47=AX$42,SUM(AY$43:AY46)=0,AW47=AZ$42,AX$42&lt;&gt;0),AV47,)</f>
        <v>0</v>
      </c>
      <c r="AZ47">
        <f>IF(AND(SUM(AZ$43:AZ46)=0,SUM($AY47:AY47)=0,$AX47&lt;=AY$78,$AX47&gt;0,$AW47&gt;-1),$AV47,0)</f>
        <v>0</v>
      </c>
      <c r="BA47">
        <f>IF(AND(SUM(BA$43:BA46)=0,SUM($AY47:AZ47)=0,$AX47&lt;=AZ$78,$AX47&gt;0,$AW47&gt;-1),$AV47,0)</f>
        <v>0</v>
      </c>
      <c r="BB47">
        <f>IF(AND(SUM(BB$43:BB46)=0,SUM($AY47:BA47)=0,$AX47&lt;=BA$78,$AX47&gt;0,$AW47&gt;-1),$AV47,0)</f>
        <v>0</v>
      </c>
      <c r="BC47">
        <f>IF(AND(SUM(BC$43:BC46)=0,SUM($AY47:BB47)=0,$AX47&lt;=BB$78,$AX47&gt;0,$AW47&gt;-1),$AV47,0)</f>
        <v>0</v>
      </c>
      <c r="BD47">
        <f>IF(AND(SUM(BD$43:BD46)=0,SUM($AY47:BC47)=0,$AX47&lt;=BC$78,$AX47&gt;0,$AW47&gt;-1),$AV47,0)</f>
        <v>0</v>
      </c>
      <c r="BE47">
        <f>IF(AND(SUM(BE$43:BE46)=0,SUM($AY47:BD47)=0,$AX47&lt;=BD$78,$AX47&gt;0,$AW47&gt;-1),$AV47,0)</f>
        <v>0</v>
      </c>
      <c r="BF47">
        <f>IF(AND(SUM(BF$43:BF46)=0,SUM($AY47:BE47)=0,$AX47&lt;=BE$78,$AX47&gt;0,$AW47&gt;-1),$AV47,0)</f>
        <v>0</v>
      </c>
      <c r="BG47">
        <f t="shared" si="39"/>
        <v>0</v>
      </c>
      <c r="BH47" s="494">
        <f t="shared" si="40"/>
        <v>0</v>
      </c>
      <c r="BI47">
        <f t="shared" si="41"/>
        <v>0</v>
      </c>
      <c r="BJ47">
        <v>56</v>
      </c>
      <c r="BK47">
        <f t="shared" si="35"/>
        <v>0</v>
      </c>
      <c r="BL47">
        <f t="shared" si="36"/>
        <v>0</v>
      </c>
      <c r="BM47">
        <f t="shared" si="37"/>
        <v>0</v>
      </c>
      <c r="BN47" s="493">
        <f t="shared" si="15"/>
        <v>0</v>
      </c>
    </row>
    <row r="48" spans="1:66" x14ac:dyDescent="0.25">
      <c r="A48">
        <v>35</v>
      </c>
      <c r="B48" t="str">
        <f>_xlfn.XLOOKUP(A48,Order!R$12:R$859,Order!C$12:C$859,"")</f>
        <v/>
      </c>
      <c r="C48" t="str">
        <f>_xlfn.XLOOKUP(A48,Order!R$12:R$859,Order!S$12:S$859,"")</f>
        <v/>
      </c>
      <c r="D48" t="str">
        <f>_xlfn.XLOOKUP(A48,Order!R$12:R$859,Order!B$12:B$859,"")</f>
        <v/>
      </c>
      <c r="E48" t="str">
        <f>_xlfn.XLOOKUP(A48,Order!R$12:R$859,Order!P$12:P$859,"")</f>
        <v/>
      </c>
      <c r="F48" t="str">
        <f>_xlfn.XLOOKUP(A48,Order!R$12:R$859,Order!T$12:T$859,"")</f>
        <v/>
      </c>
      <c r="G48" t="str">
        <f>_xlfn.XLOOKUP(A48,Order!R$12:R$859,Order!U$12:U$859,"")</f>
        <v/>
      </c>
      <c r="H48" t="str">
        <f>_xlfn.XLOOKUP(A48,Order!R$12:R$859,Order!B$12:B$859,"")</f>
        <v/>
      </c>
      <c r="I48" t="str">
        <f>_xlfn.XLOOKUP(A48,Order!R$12:R$859,Order!V$12:V$859,"")</f>
        <v/>
      </c>
      <c r="J48" t="str">
        <f>IFERROR(RANK(F48,F$14:F$213,1)+COUNTIF(F$14:F48,F48)-1,"")</f>
        <v/>
      </c>
      <c r="L48" t="str">
        <f t="shared" si="22"/>
        <v/>
      </c>
      <c r="M48" t="str" cm="1">
        <f t="array" ref="M48">_xlfn.XLOOKUP(A48,J$14:J247,B$14:B247,"")</f>
        <v/>
      </c>
      <c r="N48" t="str" cm="1">
        <f t="array" ref="N48">_xlfn.XLOOKUP(A48,J$14:J247,C$14:C247,"")</f>
        <v/>
      </c>
      <c r="O48" t="str" cm="1">
        <f t="array" ref="O48">_xlfn.XLOOKUP(A48,J$14:J247,E$14:E247,"")</f>
        <v/>
      </c>
      <c r="P48" t="str" cm="1">
        <f t="array" ref="P48">_xlfn.XLOOKUP(A48,J$14:J247,G$14:G247,"")</f>
        <v/>
      </c>
      <c r="Q48" t="str" cm="1">
        <f t="array" ref="Q48">_xlfn.XLOOKUP(A48,J$14:J247,F$14:F247,"")</f>
        <v/>
      </c>
      <c r="R48" t="str" cm="1">
        <f t="array" ref="R48">_xlfn.XLOOKUP(A48,J$14:J247,I$14:I247,"")</f>
        <v/>
      </c>
      <c r="S48" t="str" cm="1">
        <f t="array" ref="S48">_xlfn.XLOOKUP(A48,J$14:J247,H$14:H247,"")</f>
        <v/>
      </c>
      <c r="T48" t="str" cm="1">
        <f t="array" ref="T48">VLOOKUP(ROW(35:35),L$14:S$163,8)</f>
        <v/>
      </c>
      <c r="U48" t="str" cm="1">
        <f t="array" ref="U48">VLOOKUP(ROW(35:35),L$14:M$163,2)</f>
        <v/>
      </c>
      <c r="V48" t="str" cm="1">
        <f t="array" ref="V48">VLOOKUP(ROW(35:35),L$14:O$163,4)</f>
        <v/>
      </c>
      <c r="W48" t="str" cm="1">
        <f t="array" ref="W48">VLOOKUP(ROW(35:35),L$14:Q$163,6)</f>
        <v/>
      </c>
      <c r="X48" cm="1">
        <f t="array" ref="X48">IFERROR(VLOOKUP(ROW(35:35),L$14:P$213,5)+0,0)</f>
        <v>0</v>
      </c>
      <c r="Y48" t="str" cm="1">
        <f t="array" ref="Y48">VLOOKUP(ROW(35:35),L$14:R$163,7)</f>
        <v/>
      </c>
      <c r="Z48">
        <f>IF(Y48&lt;-2,X48+MAX(Z$14:Z47),0)</f>
        <v>0</v>
      </c>
      <c r="AA48">
        <f>IFERROR(IF(AND(SUM(AA49:AA$214)+X48&lt;=Z$10,W48&lt;=Z$12,Z48=0),X48,0),0)</f>
        <v>0</v>
      </c>
      <c r="AB48">
        <f>IFERROR(IF(AND(W48&lt;=Z$12+10,AB$12-X48&gt;=0,SUM(Z48:AA48)=0,SUM(AB$14:AB47)+X48&lt;AB$12),X48,0),0)</f>
        <v>0</v>
      </c>
      <c r="AD48">
        <f>IF(AND(Y48=-2,SUM(Z48:AB48)=0),X48+MAX(AD$14:AD47),0)</f>
        <v>0</v>
      </c>
      <c r="AE48">
        <f>IFERROR(IF(AND(SUM(AE49:AE$214)+X48&lt;=AD$10,W48&lt;=AD$12,SUM(Z48:AD48)=0),X48,0),0)</f>
        <v>0</v>
      </c>
      <c r="AF48">
        <f>IFERROR(IF(AND(W48&lt;=AD$12+10,AF$12-X48&gt;=0,SUM(Z48:AE48)=0,SUM(AF$14:AF47)+X48&lt;AF$12),X48,0),0)</f>
        <v>0</v>
      </c>
      <c r="AG48">
        <f t="shared" si="42"/>
        <v>0</v>
      </c>
      <c r="AI48">
        <f t="shared" si="43"/>
        <v>0</v>
      </c>
      <c r="AJ48" s="493">
        <f t="shared" si="17"/>
        <v>0</v>
      </c>
      <c r="AK48">
        <f>IF(AJ48=0,0,IF(AJ47=0,MAX(AK$13:AK47)+1,IF(W48&lt;&gt;W47,MAX(AK$14:AK47)+1,IF(ROUNDDOWN(AJ48-0.01,0)=ROUNDDOWN(AJ47-0.01,0),AK47,AK47+1))))</f>
        <v>0</v>
      </c>
      <c r="AL48">
        <f t="shared" si="18"/>
        <v>0</v>
      </c>
      <c r="AM48">
        <f t="shared" si="19"/>
        <v>0</v>
      </c>
      <c r="AN48">
        <f>IF(AM48&gt;AN$12,IF(AK48=AK47,AN47,MAX(AN$13:AN47)+1),0)</f>
        <v>0</v>
      </c>
      <c r="AP48">
        <f t="shared" si="44"/>
        <v>0</v>
      </c>
      <c r="AQ48">
        <f>IF(AP48&gt;0,IF(MAX(AQ49:AQ$214)+AP48&gt;ROUNDUP(MAX(AQ49:AQ$214),0),ROUNDUP(MAX(AQ49:AQ$214),0)+AP48,MAX(AQ49:AQ$214)+AP48),0)</f>
        <v>0</v>
      </c>
      <c r="AR48">
        <f t="shared" si="12"/>
        <v>0</v>
      </c>
      <c r="AS48">
        <f t="shared" si="45"/>
        <v>0</v>
      </c>
      <c r="AT48">
        <f t="shared" si="46"/>
        <v>10</v>
      </c>
      <c r="AV48">
        <v>6</v>
      </c>
      <c r="AW48">
        <f t="shared" si="47"/>
        <v>0</v>
      </c>
      <c r="AX48">
        <f t="shared" si="38"/>
        <v>0</v>
      </c>
      <c r="AY48" s="496">
        <f>IF(AND(AX48=AX$42,SUM(AY$43:AY47)=0,AW48=AZ$42,AX$42&lt;&gt;0),AV48,)</f>
        <v>0</v>
      </c>
      <c r="AZ48">
        <f>IF(AND(SUM(AZ$43:AZ47)=0,SUM($AY48:AY48)=0,$AX48&lt;=AY$78,$AX48&gt;0,$AW48&gt;-1),$AV48,0)</f>
        <v>0</v>
      </c>
      <c r="BA48">
        <f>IF(AND(SUM(BA$43:BA47)=0,SUM($AY48:AZ48)=0,$AX48&lt;=AZ$78,$AX48&gt;0,$AW48&gt;-1),$AV48,0)</f>
        <v>0</v>
      </c>
      <c r="BB48">
        <f>IF(AND(SUM(BB$43:BB47)=0,SUM($AY48:BA48)=0,$AX48&lt;=BA$78,$AX48&gt;0,$AW48&gt;-1),$AV48,0)</f>
        <v>0</v>
      </c>
      <c r="BC48">
        <f>IF(AND(SUM(BC$43:BC47)=0,SUM($AY48:BB48)=0,$AX48&lt;=BB$78,$AX48&gt;0,$AW48&gt;-1),$AV48,0)</f>
        <v>0</v>
      </c>
      <c r="BD48">
        <f>IF(AND(SUM(BD$43:BD47)=0,SUM($AY48:BC48)=0,$AX48&lt;=BC$78,$AX48&gt;0,$AW48&gt;-1),$AV48,0)</f>
        <v>0</v>
      </c>
      <c r="BE48">
        <f>IF(AND(SUM(BE$43:BE47)=0,SUM($AY48:BD48)=0,$AX48&lt;=BD$78,$AX48&gt;0,$AW48&gt;-1),$AV48,0)</f>
        <v>0</v>
      </c>
      <c r="BF48">
        <f>IF(AND(SUM(BF$43:BF47)=0,SUM($AY48:BE48)=0,$AX48&lt;=BE$78,$AX48&gt;0,$AW48&gt;-1),$AV48,0)</f>
        <v>0</v>
      </c>
      <c r="BG48">
        <f t="shared" si="39"/>
        <v>0</v>
      </c>
      <c r="BH48" s="494">
        <f t="shared" si="40"/>
        <v>0</v>
      </c>
      <c r="BI48">
        <f t="shared" si="41"/>
        <v>0</v>
      </c>
      <c r="BJ48">
        <v>57</v>
      </c>
      <c r="BK48">
        <f t="shared" si="35"/>
        <v>0</v>
      </c>
      <c r="BL48">
        <f t="shared" si="36"/>
        <v>0</v>
      </c>
      <c r="BM48">
        <f t="shared" si="37"/>
        <v>0</v>
      </c>
      <c r="BN48" s="493">
        <f t="shared" si="15"/>
        <v>0</v>
      </c>
    </row>
    <row r="49" spans="1:65" x14ac:dyDescent="0.25">
      <c r="A49">
        <v>36</v>
      </c>
      <c r="B49" t="str">
        <f>_xlfn.XLOOKUP(A49,Order!R$12:R$859,Order!C$12:C$859,"")</f>
        <v/>
      </c>
      <c r="C49" t="str">
        <f>_xlfn.XLOOKUP(A49,Order!R$12:R$859,Order!S$12:S$859,"")</f>
        <v/>
      </c>
      <c r="D49" t="str">
        <f>_xlfn.XLOOKUP(A49,Order!R$12:R$859,Order!B$12:B$859,"")</f>
        <v/>
      </c>
      <c r="E49" t="str">
        <f>_xlfn.XLOOKUP(A49,Order!R$12:R$859,Order!P$12:P$859,"")</f>
        <v/>
      </c>
      <c r="F49" t="str">
        <f>_xlfn.XLOOKUP(A49,Order!R$12:R$859,Order!T$12:T$859,"")</f>
        <v/>
      </c>
      <c r="G49" t="str">
        <f>_xlfn.XLOOKUP(A49,Order!R$12:R$859,Order!U$12:U$859,"")</f>
        <v/>
      </c>
      <c r="H49" t="str">
        <f>_xlfn.XLOOKUP(A49,Order!R$12:R$859,Order!B$12:B$859,"")</f>
        <v/>
      </c>
      <c r="I49" t="str">
        <f>_xlfn.XLOOKUP(A49,Order!R$12:R$859,Order!V$12:V$859,"")</f>
        <v/>
      </c>
      <c r="J49" t="str">
        <f>IFERROR(RANK(F49,F$14:F$213,1)+COUNTIF(F$14:F49,F49)-1,"")</f>
        <v/>
      </c>
      <c r="L49" t="str">
        <f t="shared" si="22"/>
        <v/>
      </c>
      <c r="M49" t="str" cm="1">
        <f t="array" ref="M49">_xlfn.XLOOKUP(A49,J$14:J248,B$14:B248,"")</f>
        <v/>
      </c>
      <c r="N49" t="str" cm="1">
        <f t="array" ref="N49">_xlfn.XLOOKUP(A49,J$14:J248,C$14:C248,"")</f>
        <v/>
      </c>
      <c r="O49" t="str" cm="1">
        <f t="array" ref="O49">_xlfn.XLOOKUP(A49,J$14:J248,E$14:E248,"")</f>
        <v/>
      </c>
      <c r="P49" t="str" cm="1">
        <f t="array" ref="P49">_xlfn.XLOOKUP(A49,J$14:J248,G$14:G248,"")</f>
        <v/>
      </c>
      <c r="Q49" t="str" cm="1">
        <f t="array" ref="Q49">_xlfn.XLOOKUP(A49,J$14:J248,F$14:F248,"")</f>
        <v/>
      </c>
      <c r="R49" t="str" cm="1">
        <f t="array" ref="R49">_xlfn.XLOOKUP(A49,J$14:J248,I$14:I248,"")</f>
        <v/>
      </c>
      <c r="S49" t="str" cm="1">
        <f t="array" ref="S49">_xlfn.XLOOKUP(A49,J$14:J248,H$14:H248,"")</f>
        <v/>
      </c>
      <c r="T49" t="str" cm="1">
        <f t="array" ref="T49">VLOOKUP(ROW(36:36),L$14:S$163,8)</f>
        <v/>
      </c>
      <c r="U49" t="str" cm="1">
        <f t="array" ref="U49">VLOOKUP(ROW(36:36),L$14:M$163,2)</f>
        <v/>
      </c>
      <c r="V49" t="str" cm="1">
        <f t="array" ref="V49">VLOOKUP(ROW(36:36),L$14:O$163,4)</f>
        <v/>
      </c>
      <c r="W49" t="str" cm="1">
        <f t="array" ref="W49">VLOOKUP(ROW(36:36),L$14:Q$163,6)</f>
        <v/>
      </c>
      <c r="X49" cm="1">
        <f t="array" ref="X49">IFERROR(VLOOKUP(ROW(36:36),L$14:P$213,5)+0,0)</f>
        <v>0</v>
      </c>
      <c r="Y49" t="str" cm="1">
        <f t="array" ref="Y49">VLOOKUP(ROW(36:36),L$14:R$163,7)</f>
        <v/>
      </c>
      <c r="Z49">
        <f>IF(Y49&lt;-2,X49+MAX(Z$14:Z48),0)</f>
        <v>0</v>
      </c>
      <c r="AA49">
        <f>IFERROR(IF(AND(SUM(AA50:AA$214)+X49&lt;=Z$10,W49&lt;=Z$12,Z49=0),X49,0),0)</f>
        <v>0</v>
      </c>
      <c r="AB49">
        <f>IFERROR(IF(AND(W49&lt;=Z$12+10,AB$12-X49&gt;=0,SUM(Z49:AA49)=0,SUM(AB$14:AB48)+X49&lt;AB$12),X49,0),0)</f>
        <v>0</v>
      </c>
      <c r="AD49">
        <f>IF(AND(Y49=-2,SUM(Z49:AB49)=0),X49+MAX(AD$14:AD48),0)</f>
        <v>0</v>
      </c>
      <c r="AE49">
        <f>IFERROR(IF(AND(SUM(AE50:AE$214)+X49&lt;=AD$10,W49&lt;=AD$12,SUM(Z49:AD49)=0),X49,0),0)</f>
        <v>0</v>
      </c>
      <c r="AF49">
        <f>IFERROR(IF(AND(W49&lt;=AD$12+10,AF$12-X49&gt;=0,SUM(Z49:AE49)=0,SUM(AF$14:AF48)+X49&lt;AF$12),X49,0),0)</f>
        <v>0</v>
      </c>
      <c r="AG49">
        <f t="shared" si="42"/>
        <v>0</v>
      </c>
      <c r="AI49">
        <f t="shared" si="43"/>
        <v>0</v>
      </c>
      <c r="AJ49" s="493">
        <f t="shared" si="17"/>
        <v>0</v>
      </c>
      <c r="AK49">
        <f>IF(AJ49=0,0,IF(AJ48=0,MAX(AK$13:AK48)+1,IF(W49&lt;&gt;W48,MAX(AK$14:AK48)+1,IF(ROUNDDOWN(AJ49-0.01,0)=ROUNDDOWN(AJ48-0.01,0),AK48,AK48+1))))</f>
        <v>0</v>
      </c>
      <c r="AL49">
        <f t="shared" si="18"/>
        <v>0</v>
      </c>
      <c r="AM49">
        <f t="shared" si="19"/>
        <v>0</v>
      </c>
      <c r="AN49">
        <f>IF(AM49&gt;AN$12,IF(AK49=AK48,AN48,MAX(AN$13:AN48)+1),0)</f>
        <v>0</v>
      </c>
      <c r="AP49">
        <f t="shared" si="44"/>
        <v>0</v>
      </c>
      <c r="AQ49">
        <f>IF(AP49&gt;0,IF(MAX(AQ50:AQ$214)+AP49&gt;ROUNDUP(MAX(AQ50:AQ$214),0),ROUNDUP(MAX(AQ50:AQ$214),0)+AP49,MAX(AQ50:AQ$214)+AP49),0)</f>
        <v>0</v>
      </c>
      <c r="AR49">
        <f t="shared" si="12"/>
        <v>0</v>
      </c>
      <c r="AS49">
        <f t="shared" si="45"/>
        <v>0</v>
      </c>
      <c r="AT49">
        <f t="shared" si="46"/>
        <v>10</v>
      </c>
      <c r="AV49">
        <v>7</v>
      </c>
      <c r="AW49">
        <f t="shared" si="47"/>
        <v>0</v>
      </c>
      <c r="AX49">
        <f t="shared" si="38"/>
        <v>0</v>
      </c>
      <c r="AY49" s="496">
        <f>IF(AND(AX49=AX$42,SUM(AY$43:AY48)=0,AW49=AZ$42,AX$42&lt;&gt;0),AV49,)</f>
        <v>0</v>
      </c>
      <c r="AZ49">
        <f>IF(AND(SUM(AZ$43:AZ48)=0,SUM($AY49:AY49)=0,$AX49&lt;=AY$78,$AX49&gt;0,$AW49&gt;-1),$AV49,0)</f>
        <v>0</v>
      </c>
      <c r="BA49">
        <f>IF(AND(SUM(BA$43:BA48)=0,SUM($AY49:AZ49)=0,$AX49&lt;=AZ$78,$AX49&gt;0,$AW49&gt;-1),$AV49,0)</f>
        <v>0</v>
      </c>
      <c r="BB49">
        <f>IF(AND(SUM(BB$43:BB48)=0,SUM($AY49:BA49)=0,$AX49&lt;=BA$78,$AX49&gt;0,$AW49&gt;-1),$AV49,0)</f>
        <v>0</v>
      </c>
      <c r="BC49">
        <f>IF(AND(SUM(BC$43:BC48)=0,SUM($AY49:BB49)=0,$AX49&lt;=BB$78,$AX49&gt;0,$AW49&gt;-1),$AV49,0)</f>
        <v>0</v>
      </c>
      <c r="BD49">
        <f>IF(AND(SUM(BD$43:BD48)=0,SUM($AY49:BC49)=0,$AX49&lt;=BC$78,$AX49&gt;0,$AW49&gt;-1),$AV49,0)</f>
        <v>0</v>
      </c>
      <c r="BE49">
        <f>IF(AND(SUM(BE$43:BE48)=0,SUM($AY49:BD49)=0,$AX49&lt;=BD$78,$AX49&gt;0,$AW49&gt;-1),$AV49,0)</f>
        <v>0</v>
      </c>
      <c r="BF49">
        <f>IF(AND(SUM(BF$43:BF48)=0,SUM($AY49:BE49)=0,$AX49&lt;=BE$78,$AX49&gt;0,$AW49&gt;-1),$AV49,0)</f>
        <v>0</v>
      </c>
      <c r="BG49">
        <f t="shared" si="39"/>
        <v>0</v>
      </c>
      <c r="BH49" s="494">
        <f t="shared" si="40"/>
        <v>0</v>
      </c>
      <c r="BI49">
        <f t="shared" si="41"/>
        <v>0</v>
      </c>
    </row>
    <row r="50" spans="1:65" x14ac:dyDescent="0.25">
      <c r="A50">
        <v>37</v>
      </c>
      <c r="B50" t="str">
        <f>_xlfn.XLOOKUP(A50,Order!R$12:R$859,Order!C$12:C$859,"")</f>
        <v/>
      </c>
      <c r="C50" t="str">
        <f>_xlfn.XLOOKUP(A50,Order!R$12:R$859,Order!S$12:S$859,"")</f>
        <v/>
      </c>
      <c r="D50" t="str">
        <f>_xlfn.XLOOKUP(A50,Order!R$12:R$859,Order!B$12:B$859,"")</f>
        <v/>
      </c>
      <c r="E50" t="str">
        <f>_xlfn.XLOOKUP(A50,Order!R$12:R$859,Order!P$12:P$859,"")</f>
        <v/>
      </c>
      <c r="F50" t="str">
        <f>_xlfn.XLOOKUP(A50,Order!R$12:R$859,Order!T$12:T$859,"")</f>
        <v/>
      </c>
      <c r="G50" t="str">
        <f>_xlfn.XLOOKUP(A50,Order!R$12:R$859,Order!U$12:U$859,"")</f>
        <v/>
      </c>
      <c r="H50" t="str">
        <f>_xlfn.XLOOKUP(A50,Order!R$12:R$859,Order!B$12:B$859,"")</f>
        <v/>
      </c>
      <c r="I50" t="str">
        <f>_xlfn.XLOOKUP(A50,Order!R$12:R$859,Order!V$12:V$859,"")</f>
        <v/>
      </c>
      <c r="J50" t="str">
        <f>IFERROR(RANK(F50,F$14:F$213,1)+COUNTIF(F$14:F50,F50)-1,"")</f>
        <v/>
      </c>
      <c r="L50" t="str">
        <f t="shared" si="22"/>
        <v/>
      </c>
      <c r="M50" t="str" cm="1">
        <f t="array" ref="M50">_xlfn.XLOOKUP(A50,J$14:J249,B$14:B249,"")</f>
        <v/>
      </c>
      <c r="N50" t="str" cm="1">
        <f t="array" ref="N50">_xlfn.XLOOKUP(A50,J$14:J249,C$14:C249,"")</f>
        <v/>
      </c>
      <c r="O50" t="str" cm="1">
        <f t="array" ref="O50">_xlfn.XLOOKUP(A50,J$14:J249,E$14:E249,"")</f>
        <v/>
      </c>
      <c r="P50" t="str" cm="1">
        <f t="array" ref="P50">_xlfn.XLOOKUP(A50,J$14:J249,G$14:G249,"")</f>
        <v/>
      </c>
      <c r="Q50" t="str" cm="1">
        <f t="array" ref="Q50">_xlfn.XLOOKUP(A50,J$14:J249,F$14:F249,"")</f>
        <v/>
      </c>
      <c r="R50" t="str" cm="1">
        <f t="array" ref="R50">_xlfn.XLOOKUP(A50,J$14:J249,I$14:I249,"")</f>
        <v/>
      </c>
      <c r="S50" t="str" cm="1">
        <f t="array" ref="S50">_xlfn.XLOOKUP(A50,J$14:J249,H$14:H249,"")</f>
        <v/>
      </c>
      <c r="T50" t="str" cm="1">
        <f t="array" ref="T50">VLOOKUP(ROW(37:37),L$14:S$163,8)</f>
        <v/>
      </c>
      <c r="U50" t="str" cm="1">
        <f t="array" ref="U50">VLOOKUP(ROW(37:37),L$14:M$163,2)</f>
        <v/>
      </c>
      <c r="V50" t="str" cm="1">
        <f t="array" ref="V50">VLOOKUP(ROW(37:37),L$14:O$163,4)</f>
        <v/>
      </c>
      <c r="W50" t="str" cm="1">
        <f t="array" ref="W50">VLOOKUP(ROW(37:37),L$14:Q$163,6)</f>
        <v/>
      </c>
      <c r="X50" cm="1">
        <f t="array" ref="X50">IFERROR(VLOOKUP(ROW(37:37),L$14:P$213,5)+0,0)</f>
        <v>0</v>
      </c>
      <c r="Y50" t="str" cm="1">
        <f t="array" ref="Y50">VLOOKUP(ROW(37:37),L$14:R$163,7)</f>
        <v/>
      </c>
      <c r="Z50">
        <f>IF(Y50&lt;-2,X50+MAX(Z$14:Z49),0)</f>
        <v>0</v>
      </c>
      <c r="AA50">
        <f>IFERROR(IF(AND(SUM(AA51:AA$214)+X50&lt;=Z$10,W50&lt;=Z$12,Z50=0),X50,0),0)</f>
        <v>0</v>
      </c>
      <c r="AB50">
        <f>IFERROR(IF(AND(W50&lt;=Z$12+10,AB$12-X50&gt;=0,SUM(Z50:AA50)=0,SUM(AB$14:AB49)+X50&lt;AB$12),X50,0),0)</f>
        <v>0</v>
      </c>
      <c r="AD50">
        <f>IF(AND(Y50=-2,SUM(Z50:AB50)=0),X50+MAX(AD$14:AD49),0)</f>
        <v>0</v>
      </c>
      <c r="AE50">
        <f>IFERROR(IF(AND(SUM(AE51:AE$214)+X50&lt;=AD$10,W50&lt;=AD$12,SUM(Z50:AD50)=0),X50,0),0)</f>
        <v>0</v>
      </c>
      <c r="AF50">
        <f>IFERROR(IF(AND(W50&lt;=AD$12+10,AF$12-X50&gt;=0,SUM(Z50:AE50)=0,SUM(AF$14:AF49)+X50&lt;AF$12),X50,0),0)</f>
        <v>0</v>
      </c>
      <c r="AG50">
        <f t="shared" si="42"/>
        <v>0</v>
      </c>
      <c r="AI50">
        <f t="shared" si="43"/>
        <v>0</v>
      </c>
      <c r="AJ50" s="493">
        <f t="shared" si="17"/>
        <v>0</v>
      </c>
      <c r="AK50">
        <f>IF(AJ50=0,0,IF(AJ49=0,MAX(AK$13:AK49)+1,IF(W50&lt;&gt;W49,MAX(AK$14:AK49)+1,IF(ROUNDDOWN(AJ50-0.01,0)=ROUNDDOWN(AJ49-0.01,0),AK49,AK49+1))))</f>
        <v>0</v>
      </c>
      <c r="AL50">
        <f t="shared" si="18"/>
        <v>0</v>
      </c>
      <c r="AM50">
        <f t="shared" si="19"/>
        <v>0</v>
      </c>
      <c r="AN50">
        <f>IF(AM50&gt;AN$12,IF(AK50=AK49,AN49,MAX(AN$13:AN49)+1),0)</f>
        <v>0</v>
      </c>
      <c r="AP50">
        <f t="shared" si="44"/>
        <v>0</v>
      </c>
      <c r="AQ50">
        <f>IF(AP50&gt;0,IF(MAX(AQ51:AQ$214)+AP50&gt;ROUNDUP(MAX(AQ51:AQ$214),0),ROUNDUP(MAX(AQ51:AQ$214),0)+AP50,MAX(AQ51:AQ$214)+AP50),0)</f>
        <v>0</v>
      </c>
      <c r="AR50">
        <f t="shared" si="12"/>
        <v>0</v>
      </c>
      <c r="AS50">
        <f t="shared" si="45"/>
        <v>0</v>
      </c>
      <c r="AT50">
        <f t="shared" si="46"/>
        <v>10</v>
      </c>
      <c r="AV50">
        <v>8</v>
      </c>
      <c r="AW50">
        <f t="shared" si="47"/>
        <v>0</v>
      </c>
      <c r="AX50">
        <f t="shared" si="38"/>
        <v>0</v>
      </c>
      <c r="AY50" s="496">
        <f>IF(AND(AX50=AX$42,SUM(AY$43:AY49)=0,AW50=AZ$42,AX$42&lt;&gt;0),AV50,)</f>
        <v>0</v>
      </c>
      <c r="AZ50">
        <f>IF(AND(SUM(AZ$43:AZ49)=0,SUM($AY50:AY50)=0,$AX50&lt;=AY$78,$AX50&gt;0,$AW50&gt;-1),$AV50,0)</f>
        <v>0</v>
      </c>
      <c r="BA50">
        <f>IF(AND(SUM(BA$43:BA49)=0,SUM($AY50:AZ50)=0,$AX50&lt;=AZ$78,$AX50&gt;0,$AW50&gt;-1),$AV50,0)</f>
        <v>0</v>
      </c>
      <c r="BB50">
        <f>IF(AND(SUM(BB$43:BB49)=0,SUM($AY50:BA50)=0,$AX50&lt;=BA$78,$AX50&gt;0,$AW50&gt;-1),$AV50,0)</f>
        <v>0</v>
      </c>
      <c r="BC50">
        <f>IF(AND(SUM(BC$43:BC49)=0,SUM($AY50:BB50)=0,$AX50&lt;=BB$78,$AX50&gt;0,$AW50&gt;-1),$AV50,0)</f>
        <v>0</v>
      </c>
      <c r="BD50">
        <f>IF(AND(SUM(BD$43:BD49)=0,SUM($AY50:BC50)=0,$AX50&lt;=BC$78,$AX50&gt;0,$AW50&gt;-1),$AV50,0)</f>
        <v>0</v>
      </c>
      <c r="BE50">
        <f>IF(AND(SUM(BE$43:BE49)=0,SUM($AY50:BD50)=0,$AX50&lt;=BD$78,$AX50&gt;0,$AW50&gt;-1),$AV50,0)</f>
        <v>0</v>
      </c>
      <c r="BF50">
        <f>IF(AND(SUM(BF$43:BF49)=0,SUM($AY50:BE50)=0,$AX50&lt;=BE$78,$AX50&gt;0,$AW50&gt;-1),$AV50,0)</f>
        <v>0</v>
      </c>
      <c r="BG50">
        <f t="shared" si="39"/>
        <v>0</v>
      </c>
      <c r="BH50" s="494">
        <f t="shared" si="40"/>
        <v>0</v>
      </c>
      <c r="BI50">
        <f t="shared" si="41"/>
        <v>0</v>
      </c>
    </row>
    <row r="51" spans="1:65" x14ac:dyDescent="0.25">
      <c r="A51">
        <v>38</v>
      </c>
      <c r="B51" t="str">
        <f>_xlfn.XLOOKUP(A51,Order!R$12:R$859,Order!C$12:C$859,"")</f>
        <v/>
      </c>
      <c r="C51" t="str">
        <f>_xlfn.XLOOKUP(A51,Order!R$12:R$859,Order!S$12:S$859,"")</f>
        <v/>
      </c>
      <c r="D51" t="str">
        <f>_xlfn.XLOOKUP(A51,Order!R$12:R$859,Order!B$12:B$859,"")</f>
        <v/>
      </c>
      <c r="E51" t="str">
        <f>_xlfn.XLOOKUP(A51,Order!R$12:R$859,Order!P$12:P$859,"")</f>
        <v/>
      </c>
      <c r="F51" t="str">
        <f>_xlfn.XLOOKUP(A51,Order!R$12:R$859,Order!T$12:T$859,"")</f>
        <v/>
      </c>
      <c r="G51" t="str">
        <f>_xlfn.XLOOKUP(A51,Order!R$12:R$859,Order!U$12:U$859,"")</f>
        <v/>
      </c>
      <c r="H51" t="str">
        <f>_xlfn.XLOOKUP(A51,Order!R$12:R$859,Order!B$12:B$859,"")</f>
        <v/>
      </c>
      <c r="I51" t="str">
        <f>_xlfn.XLOOKUP(A51,Order!R$12:R$859,Order!V$12:V$859,"")</f>
        <v/>
      </c>
      <c r="J51" t="str">
        <f>IFERROR(RANK(F51,F$14:F$213,1)+COUNTIF(F$14:F51,F51)-1,"")</f>
        <v/>
      </c>
      <c r="L51" t="str">
        <f t="shared" si="22"/>
        <v/>
      </c>
      <c r="M51" t="str" cm="1">
        <f t="array" ref="M51">_xlfn.XLOOKUP(A51,J$14:J250,B$14:B250,"")</f>
        <v/>
      </c>
      <c r="N51" t="str" cm="1">
        <f t="array" ref="N51">_xlfn.XLOOKUP(A51,J$14:J250,C$14:C250,"")</f>
        <v/>
      </c>
      <c r="O51" t="str" cm="1">
        <f t="array" ref="O51">_xlfn.XLOOKUP(A51,J$14:J250,E$14:E250,"")</f>
        <v/>
      </c>
      <c r="P51" t="str" cm="1">
        <f t="array" ref="P51">_xlfn.XLOOKUP(A51,J$14:J250,G$14:G250,"")</f>
        <v/>
      </c>
      <c r="Q51" t="str" cm="1">
        <f t="array" ref="Q51">_xlfn.XLOOKUP(A51,J$14:J250,F$14:F250,"")</f>
        <v/>
      </c>
      <c r="R51" t="str" cm="1">
        <f t="array" ref="R51">_xlfn.XLOOKUP(A51,J$14:J250,I$14:I250,"")</f>
        <v/>
      </c>
      <c r="S51" t="str" cm="1">
        <f t="array" ref="S51">_xlfn.XLOOKUP(A51,J$14:J250,H$14:H250,"")</f>
        <v/>
      </c>
      <c r="T51" t="str" cm="1">
        <f t="array" ref="T51">VLOOKUP(ROW(38:38),L$14:S$163,8)</f>
        <v/>
      </c>
      <c r="U51" t="str" cm="1">
        <f t="array" ref="U51">VLOOKUP(ROW(38:38),L$14:M$163,2)</f>
        <v/>
      </c>
      <c r="V51" t="str" cm="1">
        <f t="array" ref="V51">VLOOKUP(ROW(38:38),L$14:O$163,4)</f>
        <v/>
      </c>
      <c r="W51" t="str" cm="1">
        <f t="array" ref="W51">VLOOKUP(ROW(38:38),L$14:Q$163,6)</f>
        <v/>
      </c>
      <c r="X51" cm="1">
        <f t="array" ref="X51">IFERROR(VLOOKUP(ROW(38:38),L$14:P$213,5)+0,0)</f>
        <v>0</v>
      </c>
      <c r="Y51" t="str" cm="1">
        <f t="array" ref="Y51">VLOOKUP(ROW(38:38),L$14:R$163,7)</f>
        <v/>
      </c>
      <c r="Z51">
        <f>IF(Y51&lt;-2,X51+MAX(Z$14:Z50),0)</f>
        <v>0</v>
      </c>
      <c r="AA51">
        <f>IFERROR(IF(AND(SUM(AA52:AA$214)+X51&lt;=Z$10,W51&lt;=Z$12,Z51=0),X51,0),0)</f>
        <v>0</v>
      </c>
      <c r="AB51">
        <f>IFERROR(IF(AND(W51&lt;=Z$12+10,AB$12-X51&gt;=0,SUM(Z51:AA51)=0,SUM(AB$14:AB50)+X51&lt;AB$12),X51,0),0)</f>
        <v>0</v>
      </c>
      <c r="AD51">
        <f>IF(AND(Y51=-2,SUM(Z51:AB51)=0),X51+MAX(AD$14:AD50),0)</f>
        <v>0</v>
      </c>
      <c r="AE51">
        <f>IFERROR(IF(AND(SUM(AE52:AE$214)+X51&lt;=AD$10,W51&lt;=AD$12,SUM(Z51:AD51)=0),X51,0),0)</f>
        <v>0</v>
      </c>
      <c r="AF51">
        <f>IFERROR(IF(AND(W51&lt;=AD$12+10,AF$12-X51&gt;=0,SUM(Z51:AE51)=0,SUM(AF$14:AF50)+X51&lt;AF$12),X51,0),0)</f>
        <v>0</v>
      </c>
      <c r="AG51">
        <f t="shared" si="42"/>
        <v>0</v>
      </c>
      <c r="AI51">
        <f t="shared" si="43"/>
        <v>0</v>
      </c>
      <c r="AJ51" s="493">
        <f t="shared" si="17"/>
        <v>0</v>
      </c>
      <c r="AK51">
        <f>IF(AJ51=0,0,IF(AJ50=0,MAX(AK$13:AK50)+1,IF(W51&lt;&gt;W50,MAX(AK$14:AK50)+1,IF(ROUNDDOWN(AJ51-0.01,0)=ROUNDDOWN(AJ50-0.01,0),AK50,AK50+1))))</f>
        <v>0</v>
      </c>
      <c r="AL51">
        <f t="shared" si="18"/>
        <v>0</v>
      </c>
      <c r="AM51">
        <f t="shared" si="19"/>
        <v>0</v>
      </c>
      <c r="AN51">
        <f>IF(AM51&gt;AN$12,IF(AK51=AK50,AN50,MAX(AN$13:AN50)+1),0)</f>
        <v>0</v>
      </c>
      <c r="AP51">
        <f t="shared" si="44"/>
        <v>0</v>
      </c>
      <c r="AQ51">
        <f>IF(AP51&gt;0,IF(MAX(AQ52:AQ$214)+AP51&gt;ROUNDUP(MAX(AQ52:AQ$214),0),ROUNDUP(MAX(AQ52:AQ$214),0)+AP51,MAX(AQ52:AQ$214)+AP51),0)</f>
        <v>0</v>
      </c>
      <c r="AR51">
        <f t="shared" si="12"/>
        <v>0</v>
      </c>
      <c r="AS51">
        <f t="shared" si="45"/>
        <v>0</v>
      </c>
      <c r="AT51">
        <f t="shared" si="46"/>
        <v>10</v>
      </c>
      <c r="AV51">
        <v>9</v>
      </c>
      <c r="AW51">
        <f t="shared" si="47"/>
        <v>0</v>
      </c>
      <c r="AX51">
        <f t="shared" si="38"/>
        <v>0</v>
      </c>
      <c r="AY51" s="496">
        <f>IF(AND(AX51=AX$42,SUM(AY$43:AY50)=0,AW51=AZ$42,AX$42&lt;&gt;0),AV51,)</f>
        <v>0</v>
      </c>
      <c r="AZ51">
        <f>IF(AND(SUM(AZ$43:AZ50)=0,SUM($AY51:AY51)=0,$AX51&lt;=AY$78,$AX51&gt;0,$AW51&gt;-1),$AV51,0)</f>
        <v>0</v>
      </c>
      <c r="BA51">
        <f>IF(AND(SUM(BA$43:BA50)=0,SUM($AY51:AZ51)=0,$AX51&lt;=AZ$78,$AX51&gt;0,$AW51&gt;-1),$AV51,0)</f>
        <v>0</v>
      </c>
      <c r="BB51">
        <f>IF(AND(SUM(BB$43:BB50)=0,SUM($AY51:BA51)=0,$AX51&lt;=BA$78,$AX51&gt;0,$AW51&gt;-1),$AV51,0)</f>
        <v>0</v>
      </c>
      <c r="BC51">
        <f>IF(AND(SUM(BC$43:BC50)=0,SUM($AY51:BB51)=0,$AX51&lt;=BB$78,$AX51&gt;0,$AW51&gt;-1),$AV51,0)</f>
        <v>0</v>
      </c>
      <c r="BD51">
        <f>IF(AND(SUM(BD$43:BD50)=0,SUM($AY51:BC51)=0,$AX51&lt;=BC$78,$AX51&gt;0,$AW51&gt;-1),$AV51,0)</f>
        <v>0</v>
      </c>
      <c r="BE51">
        <f>IF(AND(SUM(BE$43:BE50)=0,SUM($AY51:BD51)=0,$AX51&lt;=BD$78,$AX51&gt;0,$AW51&gt;-1),$AV51,0)</f>
        <v>0</v>
      </c>
      <c r="BF51">
        <f>IF(AND(SUM(BF$43:BF50)=0,SUM($AY51:BE51)=0,$AX51&lt;=BE$78,$AX51&gt;0,$AW51&gt;-1),$AV51,0)</f>
        <v>0</v>
      </c>
      <c r="BG51">
        <f t="shared" si="39"/>
        <v>0</v>
      </c>
      <c r="BH51" s="494">
        <f t="shared" si="40"/>
        <v>0</v>
      </c>
      <c r="BI51">
        <f t="shared" si="41"/>
        <v>0</v>
      </c>
    </row>
    <row r="52" spans="1:65" x14ac:dyDescent="0.25">
      <c r="A52">
        <v>39</v>
      </c>
      <c r="B52" t="str">
        <f>_xlfn.XLOOKUP(A52,Order!R$12:R$859,Order!C$12:C$859,"")</f>
        <v/>
      </c>
      <c r="C52" t="str">
        <f>_xlfn.XLOOKUP(A52,Order!R$12:R$859,Order!S$12:S$859,"")</f>
        <v/>
      </c>
      <c r="D52" t="str">
        <f>_xlfn.XLOOKUP(A52,Order!R$12:R$859,Order!B$12:B$859,"")</f>
        <v/>
      </c>
      <c r="E52" t="str">
        <f>_xlfn.XLOOKUP(A52,Order!R$12:R$859,Order!P$12:P$859,"")</f>
        <v/>
      </c>
      <c r="F52" t="str">
        <f>_xlfn.XLOOKUP(A52,Order!R$12:R$859,Order!T$12:T$859,"")</f>
        <v/>
      </c>
      <c r="G52" t="str">
        <f>_xlfn.XLOOKUP(A52,Order!R$12:R$859,Order!U$12:U$859,"")</f>
        <v/>
      </c>
      <c r="H52" t="str">
        <f>_xlfn.XLOOKUP(A52,Order!R$12:R$859,Order!B$12:B$859,"")</f>
        <v/>
      </c>
      <c r="I52" t="str">
        <f>_xlfn.XLOOKUP(A52,Order!R$12:R$859,Order!V$12:V$859,"")</f>
        <v/>
      </c>
      <c r="J52" t="str">
        <f>IFERROR(RANK(F52,F$14:F$213,1)+COUNTIF(F$14:F52,F52)-1,"")</f>
        <v/>
      </c>
      <c r="L52" t="str">
        <f t="shared" si="22"/>
        <v/>
      </c>
      <c r="M52" t="str" cm="1">
        <f t="array" ref="M52">_xlfn.XLOOKUP(A52,J$14:J251,B$14:B251,"")</f>
        <v/>
      </c>
      <c r="N52" t="str" cm="1">
        <f t="array" ref="N52">_xlfn.XLOOKUP(A52,J$14:J251,C$14:C251,"")</f>
        <v/>
      </c>
      <c r="O52" t="str" cm="1">
        <f t="array" ref="O52">_xlfn.XLOOKUP(A52,J$14:J251,E$14:E251,"")</f>
        <v/>
      </c>
      <c r="P52" t="str" cm="1">
        <f t="array" ref="P52">_xlfn.XLOOKUP(A52,J$14:J251,G$14:G251,"")</f>
        <v/>
      </c>
      <c r="Q52" t="str" cm="1">
        <f t="array" ref="Q52">_xlfn.XLOOKUP(A52,J$14:J251,F$14:F251,"")</f>
        <v/>
      </c>
      <c r="R52" t="str" cm="1">
        <f t="array" ref="R52">_xlfn.XLOOKUP(A52,J$14:J251,I$14:I251,"")</f>
        <v/>
      </c>
      <c r="S52" t="str" cm="1">
        <f t="array" ref="S52">_xlfn.XLOOKUP(A52,J$14:J251,H$14:H251,"")</f>
        <v/>
      </c>
      <c r="T52" t="str" cm="1">
        <f t="array" ref="T52">VLOOKUP(ROW(39:39),L$14:S$163,8)</f>
        <v/>
      </c>
      <c r="U52" t="str" cm="1">
        <f t="array" ref="U52">VLOOKUP(ROW(39:39),L$14:M$163,2)</f>
        <v/>
      </c>
      <c r="V52" t="str" cm="1">
        <f t="array" ref="V52">VLOOKUP(ROW(39:39),L$14:O$163,4)</f>
        <v/>
      </c>
      <c r="W52" t="str" cm="1">
        <f t="array" ref="W52">VLOOKUP(ROW(39:39),L$14:Q$163,6)</f>
        <v/>
      </c>
      <c r="X52" cm="1">
        <f t="array" ref="X52">IFERROR(VLOOKUP(ROW(39:39),L$14:P$213,5)+0,0)</f>
        <v>0</v>
      </c>
      <c r="Y52" t="str" cm="1">
        <f t="array" ref="Y52">VLOOKUP(ROW(39:39),L$14:R$163,7)</f>
        <v/>
      </c>
      <c r="Z52">
        <f>IF(Y52&lt;-2,X52+MAX(Z$14:Z51),0)</f>
        <v>0</v>
      </c>
      <c r="AA52">
        <f>IFERROR(IF(AND(SUM(AA53:AA$214)+X52&lt;=Z$10,W52&lt;=Z$12,Z52=0),X52,0),0)</f>
        <v>0</v>
      </c>
      <c r="AB52">
        <f>IFERROR(IF(AND(W52&lt;=Z$12+10,AB$12-X52&gt;=0,SUM(Z52:AA52)=0,SUM(AB$14:AB51)+X52&lt;AB$12),X52,0),0)</f>
        <v>0</v>
      </c>
      <c r="AD52">
        <f>IF(AND(Y52=-2,SUM(Z52:AB52)=0),X52+MAX(AD$14:AD51),0)</f>
        <v>0</v>
      </c>
      <c r="AE52">
        <f>IFERROR(IF(AND(SUM(AE53:AE$214)+X52&lt;=AD$10,W52&lt;=AD$12,SUM(Z52:AD52)=0),X52,0),0)</f>
        <v>0</v>
      </c>
      <c r="AF52">
        <f>IFERROR(IF(AND(W52&lt;=AD$12+10,AF$12-X52&gt;=0,SUM(Z52:AE52)=0,SUM(AF$14:AF51)+X52&lt;AF$12),X52,0),0)</f>
        <v>0</v>
      </c>
      <c r="AG52">
        <f t="shared" si="42"/>
        <v>0</v>
      </c>
      <c r="AI52">
        <f t="shared" si="43"/>
        <v>0</v>
      </c>
      <c r="AJ52" s="493">
        <f t="shared" si="17"/>
        <v>0</v>
      </c>
      <c r="AK52">
        <f>IF(AJ52=0,0,IF(AJ51=0,MAX(AK$13:AK51)+1,IF(W52&lt;&gt;W51,MAX(AK$14:AK51)+1,IF(ROUNDDOWN(AJ52-0.01,0)=ROUNDDOWN(AJ51-0.01,0),AK51,AK51+1))))</f>
        <v>0</v>
      </c>
      <c r="AL52">
        <f t="shared" si="18"/>
        <v>0</v>
      </c>
      <c r="AM52">
        <f t="shared" si="19"/>
        <v>0</v>
      </c>
      <c r="AN52">
        <f>IF(AM52&gt;AN$12,IF(AK52=AK51,AN51,MAX(AN$13:AN51)+1),0)</f>
        <v>0</v>
      </c>
      <c r="AP52">
        <f t="shared" si="44"/>
        <v>0</v>
      </c>
      <c r="AQ52">
        <f>IF(AP52&gt;0,IF(MAX(AQ53:AQ$214)+AP52&gt;ROUNDUP(MAX(AQ53:AQ$214),0),ROUNDUP(MAX(AQ53:AQ$214),0)+AP52,MAX(AQ53:AQ$214)+AP52),0)</f>
        <v>0</v>
      </c>
      <c r="AR52">
        <f t="shared" si="12"/>
        <v>0</v>
      </c>
      <c r="AS52">
        <f t="shared" si="45"/>
        <v>0</v>
      </c>
      <c r="AT52">
        <f t="shared" si="46"/>
        <v>10</v>
      </c>
      <c r="AV52">
        <v>10</v>
      </c>
      <c r="AW52">
        <f t="shared" si="47"/>
        <v>0</v>
      </c>
      <c r="AX52">
        <f t="shared" si="38"/>
        <v>0</v>
      </c>
      <c r="AY52" s="496">
        <f>IF(AND(AX52=AX$42,SUM(AY$43:AY51)=0,AW52=AZ$42,AX$42&lt;&gt;0),AV52,)</f>
        <v>0</v>
      </c>
      <c r="AZ52">
        <f>IF(AND(SUM(AZ$43:AZ51)=0,SUM($AY52:AY52)=0,$AX52&lt;=AY$78,$AX52&gt;0,$AW52&gt;-1),$AV52,0)</f>
        <v>0</v>
      </c>
      <c r="BA52">
        <f>IF(AND(SUM(BA$43:BA51)=0,SUM($AY52:AZ52)=0,$AX52&lt;=AZ$78,$AX52&gt;0,$AW52&gt;-1),$AV52,0)</f>
        <v>0</v>
      </c>
      <c r="BB52">
        <f>IF(AND(SUM(BB$43:BB51)=0,SUM($AY52:BA52)=0,$AX52&lt;=BA$78,$AX52&gt;0,$AW52&gt;-1),$AV52,0)</f>
        <v>0</v>
      </c>
      <c r="BC52">
        <f>IF(AND(SUM(BC$43:BC51)=0,SUM($AY52:BB52)=0,$AX52&lt;=BB$78,$AX52&gt;0,$AW52&gt;-1),$AV52,0)</f>
        <v>0</v>
      </c>
      <c r="BD52">
        <f>IF(AND(SUM(BD$43:BD51)=0,SUM($AY52:BC52)=0,$AX52&lt;=BC$78,$AX52&gt;0,$AW52&gt;-1),$AV52,0)</f>
        <v>0</v>
      </c>
      <c r="BE52">
        <f>IF(AND(SUM(BE$43:BE51)=0,SUM($AY52:BD52)=0,$AX52&lt;=BD$78,$AX52&gt;0,$AW52&gt;-1),$AV52,0)</f>
        <v>0</v>
      </c>
      <c r="BF52">
        <f>IF(AND(SUM(BF$43:BF51)=0,SUM($AY52:BE52)=0,$AX52&lt;=BE$78,$AX52&gt;0,$AW52&gt;-1),$AV52,0)</f>
        <v>0</v>
      </c>
      <c r="BG52">
        <f t="shared" si="39"/>
        <v>0</v>
      </c>
      <c r="BH52" s="494">
        <f t="shared" si="40"/>
        <v>0</v>
      </c>
      <c r="BI52">
        <f t="shared" si="41"/>
        <v>0</v>
      </c>
    </row>
    <row r="53" spans="1:65" x14ac:dyDescent="0.25">
      <c r="A53">
        <v>40</v>
      </c>
      <c r="B53" t="str">
        <f>_xlfn.XLOOKUP(A53,Order!R$12:R$859,Order!C$12:C$859,"")</f>
        <v/>
      </c>
      <c r="C53" t="str">
        <f>_xlfn.XLOOKUP(A53,Order!R$12:R$859,Order!S$12:S$859,"")</f>
        <v/>
      </c>
      <c r="D53" t="str">
        <f>_xlfn.XLOOKUP(A53,Order!R$12:R$859,Order!B$12:B$859,"")</f>
        <v/>
      </c>
      <c r="E53" t="str">
        <f>_xlfn.XLOOKUP(A53,Order!R$12:R$859,Order!P$12:P$859,"")</f>
        <v/>
      </c>
      <c r="F53" t="str">
        <f>_xlfn.XLOOKUP(A53,Order!R$12:R$859,Order!T$12:T$859,"")</f>
        <v/>
      </c>
      <c r="G53" t="str">
        <f>_xlfn.XLOOKUP(A53,Order!R$12:R$859,Order!U$12:U$859,"")</f>
        <v/>
      </c>
      <c r="H53" t="str">
        <f>_xlfn.XLOOKUP(A53,Order!R$12:R$859,Order!B$12:B$859,"")</f>
        <v/>
      </c>
      <c r="I53" t="str">
        <f>_xlfn.XLOOKUP(A53,Order!R$12:R$859,Order!V$12:V$859,"")</f>
        <v/>
      </c>
      <c r="J53" t="str">
        <f>IFERROR(RANK(F53,F$14:F$213,1)+COUNTIF(F$14:F53,F53)-1,"")</f>
        <v/>
      </c>
      <c r="L53" t="str">
        <f t="shared" si="22"/>
        <v/>
      </c>
      <c r="M53" t="str" cm="1">
        <f t="array" ref="M53">_xlfn.XLOOKUP(A53,J$14:J252,B$14:B252,"")</f>
        <v/>
      </c>
      <c r="N53" t="str" cm="1">
        <f t="array" ref="N53">_xlfn.XLOOKUP(A53,J$14:J252,C$14:C252,"")</f>
        <v/>
      </c>
      <c r="O53" t="str" cm="1">
        <f t="array" ref="O53">_xlfn.XLOOKUP(A53,J$14:J252,E$14:E252,"")</f>
        <v/>
      </c>
      <c r="P53" t="str" cm="1">
        <f t="array" ref="P53">_xlfn.XLOOKUP(A53,J$14:J252,G$14:G252,"")</f>
        <v/>
      </c>
      <c r="Q53" t="str" cm="1">
        <f t="array" ref="Q53">_xlfn.XLOOKUP(A53,J$14:J252,F$14:F252,"")</f>
        <v/>
      </c>
      <c r="R53" t="str" cm="1">
        <f t="array" ref="R53">_xlfn.XLOOKUP(A53,J$14:J252,I$14:I252,"")</f>
        <v/>
      </c>
      <c r="S53" t="str" cm="1">
        <f t="array" ref="S53">_xlfn.XLOOKUP(A53,J$14:J252,H$14:H252,"")</f>
        <v/>
      </c>
      <c r="T53" t="str" cm="1">
        <f t="array" ref="T53">VLOOKUP(ROW(40:40),L$14:S$163,8)</f>
        <v/>
      </c>
      <c r="U53" t="str" cm="1">
        <f t="array" ref="U53">VLOOKUP(ROW(40:40),L$14:M$163,2)</f>
        <v/>
      </c>
      <c r="V53" t="str" cm="1">
        <f t="array" ref="V53">VLOOKUP(ROW(40:40),L$14:O$163,4)</f>
        <v/>
      </c>
      <c r="W53" t="str" cm="1">
        <f t="array" ref="W53">VLOOKUP(ROW(40:40),L$14:Q$163,6)</f>
        <v/>
      </c>
      <c r="X53" cm="1">
        <f t="array" ref="X53">IFERROR(VLOOKUP(ROW(40:40),L$14:P$213,5)+0,0)</f>
        <v>0</v>
      </c>
      <c r="Y53" t="str" cm="1">
        <f t="array" ref="Y53">VLOOKUP(ROW(40:40),L$14:R$163,7)</f>
        <v/>
      </c>
      <c r="Z53">
        <f>IF(Y53&lt;-2,X53+MAX(Z$14:Z52),0)</f>
        <v>0</v>
      </c>
      <c r="AA53">
        <f>IFERROR(IF(AND(SUM(AA54:AA$214)+X53&lt;=Z$10,W53&lt;=Z$12,Z53=0),X53,0),0)</f>
        <v>0</v>
      </c>
      <c r="AB53">
        <f>IFERROR(IF(AND(W53&lt;=Z$12+10,AB$12-X53&gt;=0,SUM(Z53:AA53)=0,SUM(AB$14:AB52)+X53&lt;AB$12),X53,0),0)</f>
        <v>0</v>
      </c>
      <c r="AD53">
        <f>IF(AND(Y53=-2,SUM(Z53:AB53)=0),X53+MAX(AD$14:AD52),0)</f>
        <v>0</v>
      </c>
      <c r="AE53">
        <f>IFERROR(IF(AND(SUM(AE54:AE$214)+X53&lt;=AD$10,W53&lt;=AD$12,SUM(Z53:AD53)=0),X53,0),0)</f>
        <v>0</v>
      </c>
      <c r="AF53">
        <f>IFERROR(IF(AND(W53&lt;=AD$12+10,AF$12-X53&gt;=0,SUM(Z53:AE53)=0,SUM(AF$14:AF52)+X53&lt;AF$12),X53,0),0)</f>
        <v>0</v>
      </c>
      <c r="AG53">
        <f t="shared" si="42"/>
        <v>0</v>
      </c>
      <c r="AI53">
        <f t="shared" si="43"/>
        <v>0</v>
      </c>
      <c r="AJ53" s="493">
        <f t="shared" si="17"/>
        <v>0</v>
      </c>
      <c r="AK53">
        <f>IF(AJ53=0,0,IF(AJ52=0,MAX(AK$13:AK52)+1,IF(W53&lt;&gt;W52,MAX(AK$14:AK52)+1,IF(ROUNDDOWN(AJ53-0.01,0)=ROUNDDOWN(AJ52-0.01,0),AK52,AK52+1))))</f>
        <v>0</v>
      </c>
      <c r="AL53">
        <f t="shared" si="18"/>
        <v>0</v>
      </c>
      <c r="AM53">
        <f t="shared" si="19"/>
        <v>0</v>
      </c>
      <c r="AN53">
        <f>IF(AM53&gt;AN$12,IF(AK53=AK52,AN52,MAX(AN$13:AN52)+1),0)</f>
        <v>0</v>
      </c>
      <c r="AP53">
        <f t="shared" si="44"/>
        <v>0</v>
      </c>
      <c r="AQ53">
        <f>IF(AP53&gt;0,IF(MAX(AQ54:AQ$214)+AP53&gt;ROUNDUP(MAX(AQ54:AQ$214),0),ROUNDUP(MAX(AQ54:AQ$214),0)+AP53,MAX(AQ54:AQ$214)+AP53),0)</f>
        <v>0</v>
      </c>
      <c r="AR53">
        <f t="shared" si="12"/>
        <v>0</v>
      </c>
      <c r="AS53">
        <f t="shared" si="45"/>
        <v>0</v>
      </c>
      <c r="AT53">
        <f>_xlfn.XLOOKUP(AR53,BK$4:BK$48,BJ$4:BJ$48,0)</f>
        <v>10</v>
      </c>
      <c r="AV53">
        <v>11</v>
      </c>
      <c r="AW53">
        <f t="shared" si="47"/>
        <v>0</v>
      </c>
      <c r="AX53">
        <f t="shared" si="38"/>
        <v>0</v>
      </c>
      <c r="AY53" s="496">
        <f>IF(AND(AX53=AX$42,SUM(AY$43:AY52)=0,AW53=AZ$42,AX$42&lt;&gt;0),AV53,)</f>
        <v>0</v>
      </c>
      <c r="AZ53">
        <f>IF(AND(SUM(AZ$43:AZ52)=0,SUM($AY53:AY53)=0,$AX53&lt;=AY$78,$AX53&gt;0,$AW53&gt;-1),$AV53,0)</f>
        <v>0</v>
      </c>
      <c r="BA53">
        <f>IF(AND(SUM(BA$43:BA52)=0,SUM($AY53:AZ53)=0,$AX53&lt;=AZ$78,$AX53&gt;0,$AW53&gt;-1),$AV53,0)</f>
        <v>0</v>
      </c>
      <c r="BB53">
        <f>IF(AND(SUM(BB$43:BB52)=0,SUM($AY53:BA53)=0,$AX53&lt;=BA$78,$AX53&gt;0,$AW53&gt;-1),$AV53,0)</f>
        <v>0</v>
      </c>
      <c r="BC53">
        <f>IF(AND(SUM(BC$43:BC52)=0,SUM($AY53:BB53)=0,$AX53&lt;=BB$78,$AX53&gt;0,$AW53&gt;-1),$AV53,0)</f>
        <v>0</v>
      </c>
      <c r="BD53">
        <f>IF(AND(SUM(BD$43:BD52)=0,SUM($AY53:BC53)=0,$AX53&lt;=BC$78,$AX53&gt;0,$AW53&gt;-1),$AV53,0)</f>
        <v>0</v>
      </c>
      <c r="BE53">
        <f>IF(AND(SUM(BE$43:BE52)=0,SUM($AY53:BD53)=0,$AX53&lt;=BD$78,$AX53&gt;0,$AW53&gt;-1),$AV53,0)</f>
        <v>0</v>
      </c>
      <c r="BF53">
        <f>IF(AND(SUM(BF$43:BF52)=0,SUM($AY53:BE53)=0,$AX53&lt;=BE$78,$AX53&gt;0,$AW53&gt;-1),$AV53,0)</f>
        <v>0</v>
      </c>
      <c r="BG53">
        <f t="shared" si="39"/>
        <v>0</v>
      </c>
      <c r="BH53" s="494">
        <f t="shared" si="40"/>
        <v>0</v>
      </c>
      <c r="BI53">
        <f t="shared" si="41"/>
        <v>0</v>
      </c>
      <c r="BJ53" t="s">
        <v>1087</v>
      </c>
      <c r="BK53" t="s">
        <v>1</v>
      </c>
      <c r="BL53" t="s">
        <v>1168</v>
      </c>
    </row>
    <row r="54" spans="1:65" x14ac:dyDescent="0.25">
      <c r="A54">
        <v>41</v>
      </c>
      <c r="B54" t="str">
        <f>_xlfn.XLOOKUP(A54,Order!R$12:R$859,Order!C$12:C$859,"")</f>
        <v/>
      </c>
      <c r="C54" t="str">
        <f>_xlfn.XLOOKUP(A54,Order!R$12:R$859,Order!S$12:S$859,"")</f>
        <v/>
      </c>
      <c r="D54" t="str">
        <f>_xlfn.XLOOKUP(A54,Order!R$12:R$859,Order!B$12:B$859,"")</f>
        <v/>
      </c>
      <c r="E54" t="str">
        <f>_xlfn.XLOOKUP(A54,Order!R$12:R$859,Order!P$12:P$859,"")</f>
        <v/>
      </c>
      <c r="F54" t="str">
        <f>_xlfn.XLOOKUP(A54,Order!R$12:R$859,Order!T$12:T$859,"")</f>
        <v/>
      </c>
      <c r="G54" t="str">
        <f>_xlfn.XLOOKUP(A54,Order!R$12:R$859,Order!U$12:U$859,"")</f>
        <v/>
      </c>
      <c r="H54" t="str">
        <f>_xlfn.XLOOKUP(A54,Order!R$12:R$859,Order!B$12:B$859,"")</f>
        <v/>
      </c>
      <c r="I54" t="str">
        <f>_xlfn.XLOOKUP(A54,Order!R$12:R$859,Order!V$12:V$859,"")</f>
        <v/>
      </c>
      <c r="J54" t="str">
        <f>IFERROR(RANK(F54,F$14:F$213,1)+COUNTIF(F$14:F54,F54)-1,"")</f>
        <v/>
      </c>
      <c r="L54" t="str">
        <f t="shared" si="22"/>
        <v/>
      </c>
      <c r="M54" t="str" cm="1">
        <f t="array" ref="M54">_xlfn.XLOOKUP(A54,J$14:J253,B$14:B253,"")</f>
        <v/>
      </c>
      <c r="N54" t="str" cm="1">
        <f t="array" ref="N54">_xlfn.XLOOKUP(A54,J$14:J253,C$14:C253,"")</f>
        <v/>
      </c>
      <c r="O54" t="str" cm="1">
        <f t="array" ref="O54">_xlfn.XLOOKUP(A54,J$14:J253,E$14:E253,"")</f>
        <v/>
      </c>
      <c r="P54" t="str" cm="1">
        <f t="array" ref="P54">_xlfn.XLOOKUP(A54,J$14:J253,G$14:G253,"")</f>
        <v/>
      </c>
      <c r="Q54" t="str" cm="1">
        <f t="array" ref="Q54">_xlfn.XLOOKUP(A54,J$14:J253,F$14:F253,"")</f>
        <v/>
      </c>
      <c r="R54" t="str" cm="1">
        <f t="array" ref="R54">_xlfn.XLOOKUP(A54,J$14:J253,I$14:I253,"")</f>
        <v/>
      </c>
      <c r="S54" t="str" cm="1">
        <f t="array" ref="S54">_xlfn.XLOOKUP(A54,J$14:J253,H$14:H253,"")</f>
        <v/>
      </c>
      <c r="T54" t="str" cm="1">
        <f t="array" ref="T54">VLOOKUP(ROW(41:41),L$14:S$163,8)</f>
        <v/>
      </c>
      <c r="U54" t="str" cm="1">
        <f t="array" ref="U54">VLOOKUP(ROW(41:41),L$14:M$163,2)</f>
        <v/>
      </c>
      <c r="V54" t="str" cm="1">
        <f t="array" ref="V54">VLOOKUP(ROW(41:41),L$14:O$163,4)</f>
        <v/>
      </c>
      <c r="W54" t="str" cm="1">
        <f t="array" ref="W54">VLOOKUP(ROW(41:41),L$14:Q$163,6)</f>
        <v/>
      </c>
      <c r="X54" cm="1">
        <f t="array" ref="X54">IFERROR(VLOOKUP(ROW(41:41),L$14:P$213,5)+0,0)</f>
        <v>0</v>
      </c>
      <c r="Y54" t="str" cm="1">
        <f t="array" ref="Y54">VLOOKUP(ROW(41:41),L$14:R$163,7)</f>
        <v/>
      </c>
      <c r="Z54">
        <f>IF(Y54&lt;-2,X54+MAX(Z$14:Z53),0)</f>
        <v>0</v>
      </c>
      <c r="AA54">
        <f>IFERROR(IF(AND(SUM(AA55:AA$214)+X54&lt;=Z$10,W54&lt;=Z$12,Z54=0),X54,0),0)</f>
        <v>0</v>
      </c>
      <c r="AB54">
        <f>IFERROR(IF(AND(W54&lt;=Z$12+10,AB$12-X54&gt;=0,SUM(Z54:AA54)=0,SUM(AB$14:AB53)+X54&lt;AB$12),X54,0),0)</f>
        <v>0</v>
      </c>
      <c r="AD54">
        <f>IF(AND(Y54=-2,SUM(Z54:AB54)=0),X54+MAX(AD$14:AD53),0)</f>
        <v>0</v>
      </c>
      <c r="AE54">
        <f>IFERROR(IF(AND(SUM(AE55:AE$214)+X54&lt;=AD$10,W54&lt;=AD$12,SUM(Z54:AD54)=0),X54,0),0)</f>
        <v>0</v>
      </c>
      <c r="AF54">
        <f>IFERROR(IF(AND(W54&lt;=AD$12+10,AF$12-X54&gt;=0,SUM(Z54:AE54)=0,SUM(AF$14:AF53)+X54&lt;AF$12),X54,0),0)</f>
        <v>0</v>
      </c>
      <c r="AG54">
        <f t="shared" si="42"/>
        <v>0</v>
      </c>
      <c r="AI54">
        <f t="shared" si="43"/>
        <v>0</v>
      </c>
      <c r="AJ54" s="493">
        <f t="shared" si="17"/>
        <v>0</v>
      </c>
      <c r="AK54">
        <f>IF(AJ54=0,0,IF(AJ53=0,MAX(AK$13:AK53)+1,IF(W54&lt;&gt;W53,MAX(AK$14:AK53)+1,IF(ROUNDDOWN(AJ54-0.01,0)=ROUNDDOWN(AJ53-0.01,0),AK53,AK53+1))))</f>
        <v>0</v>
      </c>
      <c r="AL54">
        <f t="shared" si="18"/>
        <v>0</v>
      </c>
      <c r="AM54">
        <f t="shared" si="19"/>
        <v>0</v>
      </c>
      <c r="AN54">
        <f>IF(AM54&gt;AN$12,IF(AK54=AK53,AN53,MAX(AN$13:AN53)+1),0)</f>
        <v>0</v>
      </c>
      <c r="AP54">
        <f t="shared" si="44"/>
        <v>0</v>
      </c>
      <c r="AQ54">
        <f>IF(AP54&gt;0,IF(MAX(AQ55:AQ$214)+AP54&gt;ROUNDUP(MAX(AQ55:AQ$214),0),ROUNDUP(MAX(AQ55:AQ$214),0)+AP54,MAX(AQ55:AQ$214)+AP54),0)</f>
        <v>0</v>
      </c>
      <c r="AR54">
        <f t="shared" si="12"/>
        <v>0</v>
      </c>
      <c r="AS54">
        <f t="shared" si="45"/>
        <v>0</v>
      </c>
      <c r="AT54">
        <f t="shared" si="46"/>
        <v>10</v>
      </c>
      <c r="AV54">
        <v>12</v>
      </c>
      <c r="AW54">
        <f t="shared" si="47"/>
        <v>0</v>
      </c>
      <c r="AX54">
        <f t="shared" si="38"/>
        <v>0</v>
      </c>
      <c r="AY54" s="496">
        <f>IF(AND(AX54=AX$42,SUM(AY$43:AY53)=0,AW54=AZ$42,AX$42&lt;&gt;0),AV54,)</f>
        <v>0</v>
      </c>
      <c r="AZ54">
        <f>IF(AND(SUM(AZ$43:AZ53)=0,SUM($AY54:AY54)=0,$AX54&lt;=AY$78,$AX54&gt;0,$AW54&gt;-1),$AV54,0)</f>
        <v>0</v>
      </c>
      <c r="BA54">
        <f>IF(AND(SUM(BA$43:BA53)=0,SUM($AY54:AZ54)=0,$AX54&lt;=AZ$78,$AX54&gt;0,$AW54&gt;-1),$AV54,0)</f>
        <v>0</v>
      </c>
      <c r="BB54">
        <f>IF(AND(SUM(BB$43:BB53)=0,SUM($AY54:BA54)=0,$AX54&lt;=BA$78,$AX54&gt;0,$AW54&gt;-1),$AV54,0)</f>
        <v>0</v>
      </c>
      <c r="BC54">
        <f>IF(AND(SUM(BC$43:BC53)=0,SUM($AY54:BB54)=0,$AX54&lt;=BB$78,$AX54&gt;0,$AW54&gt;-1),$AV54,0)</f>
        <v>0</v>
      </c>
      <c r="BD54">
        <f>IF(AND(SUM(BD$43:BD53)=0,SUM($AY54:BC54)=0,$AX54&lt;=BC$78,$AX54&gt;0,$AW54&gt;-1),$AV54,0)</f>
        <v>0</v>
      </c>
      <c r="BE54">
        <f>IF(AND(SUM(BE$43:BE53)=0,SUM($AY54:BD54)=0,$AX54&lt;=BD$78,$AX54&gt;0,$AW54&gt;-1),$AV54,0)</f>
        <v>0</v>
      </c>
      <c r="BF54">
        <f>IF(AND(SUM(BF$43:BF53)=0,SUM($AY54:BE54)=0,$AX54&lt;=BE$78,$AX54&gt;0,$AW54&gt;-1),$AV54,0)</f>
        <v>0</v>
      </c>
      <c r="BG54">
        <f t="shared" si="39"/>
        <v>0</v>
      </c>
      <c r="BH54" s="494">
        <f t="shared" si="40"/>
        <v>0</v>
      </c>
      <c r="BI54">
        <f t="shared" si="41"/>
        <v>0</v>
      </c>
      <c r="BJ54">
        <v>1</v>
      </c>
      <c r="BK54">
        <f>_xlfn.XLOOKUP(BJ54,AR$14:AR$213,AS$14:AS$213,0)</f>
        <v>0</v>
      </c>
      <c r="BL54">
        <f>IF(BJ54&lt;=BL$106,1,IF(BJ54&lt;=BL$106+BL$107,2,0))</f>
        <v>0</v>
      </c>
      <c r="BM54" s="517"/>
    </row>
    <row r="55" spans="1:65" x14ac:dyDescent="0.25">
      <c r="A55">
        <v>42</v>
      </c>
      <c r="B55" t="str">
        <f>_xlfn.XLOOKUP(A55,Order!R$12:R$859,Order!C$12:C$859,"")</f>
        <v/>
      </c>
      <c r="C55" t="str">
        <f>_xlfn.XLOOKUP(A55,Order!R$12:R$859,Order!S$12:S$859,"")</f>
        <v/>
      </c>
      <c r="D55" t="str">
        <f>_xlfn.XLOOKUP(A55,Order!R$12:R$859,Order!B$12:B$859,"")</f>
        <v/>
      </c>
      <c r="E55" t="str">
        <f>_xlfn.XLOOKUP(A55,Order!R$12:R$859,Order!P$12:P$859,"")</f>
        <v/>
      </c>
      <c r="F55" t="str">
        <f>_xlfn.XLOOKUP(A55,Order!R$12:R$859,Order!T$12:T$859,"")</f>
        <v/>
      </c>
      <c r="G55" t="str">
        <f>_xlfn.XLOOKUP(A55,Order!R$12:R$859,Order!U$12:U$859,"")</f>
        <v/>
      </c>
      <c r="H55" t="str">
        <f>_xlfn.XLOOKUP(A55,Order!R$12:R$859,Order!B$12:B$859,"")</f>
        <v/>
      </c>
      <c r="I55" t="str">
        <f>_xlfn.XLOOKUP(A55,Order!R$12:R$859,Order!V$12:V$859,"")</f>
        <v/>
      </c>
      <c r="J55" t="str">
        <f>IFERROR(RANK(F55,F$14:F$213,1)+COUNTIF(F$14:F55,F55)-1,"")</f>
        <v/>
      </c>
      <c r="L55" t="str">
        <f t="shared" si="22"/>
        <v/>
      </c>
      <c r="M55" t="str" cm="1">
        <f t="array" ref="M55">_xlfn.XLOOKUP(A55,J$14:J254,B$14:B254,"")</f>
        <v/>
      </c>
      <c r="N55" t="str" cm="1">
        <f t="array" ref="N55">_xlfn.XLOOKUP(A55,J$14:J254,C$14:C254,"")</f>
        <v/>
      </c>
      <c r="O55" t="str" cm="1">
        <f t="array" ref="O55">_xlfn.XLOOKUP(A55,J$14:J254,E$14:E254,"")</f>
        <v/>
      </c>
      <c r="P55" t="str" cm="1">
        <f t="array" ref="P55">_xlfn.XLOOKUP(A55,J$14:J254,G$14:G254,"")</f>
        <v/>
      </c>
      <c r="Q55" t="str" cm="1">
        <f t="array" ref="Q55">_xlfn.XLOOKUP(A55,J$14:J254,F$14:F254,"")</f>
        <v/>
      </c>
      <c r="R55" t="str" cm="1">
        <f t="array" ref="R55">_xlfn.XLOOKUP(A55,J$14:J254,I$14:I254,"")</f>
        <v/>
      </c>
      <c r="S55" t="str" cm="1">
        <f t="array" ref="S55">_xlfn.XLOOKUP(A55,J$14:J254,H$14:H254,"")</f>
        <v/>
      </c>
      <c r="T55" t="str" cm="1">
        <f t="array" ref="T55">VLOOKUP(ROW(42:42),L$14:S$163,8)</f>
        <v/>
      </c>
      <c r="U55" t="str" cm="1">
        <f t="array" ref="U55">VLOOKUP(ROW(42:42),L$14:M$163,2)</f>
        <v/>
      </c>
      <c r="V55" t="str" cm="1">
        <f t="array" ref="V55">VLOOKUP(ROW(42:42),L$14:O$163,4)</f>
        <v/>
      </c>
      <c r="W55" t="str" cm="1">
        <f t="array" ref="W55">VLOOKUP(ROW(42:42),L$14:Q$163,6)</f>
        <v/>
      </c>
      <c r="X55" cm="1">
        <f t="array" ref="X55">IFERROR(VLOOKUP(ROW(42:42),L$14:P$213,5)+0,0)</f>
        <v>0</v>
      </c>
      <c r="Y55" t="str" cm="1">
        <f t="array" ref="Y55">VLOOKUP(ROW(42:42),L$14:R$163,7)</f>
        <v/>
      </c>
      <c r="Z55">
        <f>IF(Y55&lt;-2,X55+MAX(Z$14:Z54),0)</f>
        <v>0</v>
      </c>
      <c r="AA55">
        <f>IFERROR(IF(AND(SUM(AA56:AA$214)+X55&lt;=Z$10,W55&lt;=Z$12,Z55=0),X55,0),0)</f>
        <v>0</v>
      </c>
      <c r="AB55">
        <f>IFERROR(IF(AND(W55&lt;=Z$12+10,AB$12-X55&gt;=0,SUM(Z55:AA55)=0,SUM(AB$14:AB54)+X55&lt;AB$12),X55,0),0)</f>
        <v>0</v>
      </c>
      <c r="AD55">
        <f>IF(AND(Y55=-2,SUM(Z55:AB55)=0),X55+MAX(AD$14:AD54),0)</f>
        <v>0</v>
      </c>
      <c r="AE55">
        <f>IFERROR(IF(AND(SUM(AE56:AE$214)+X55&lt;=AD$10,W55&lt;=AD$12,SUM(Z55:AD55)=0),X55,0),0)</f>
        <v>0</v>
      </c>
      <c r="AF55">
        <f>IFERROR(IF(AND(W55&lt;=AD$12+10,AF$12-X55&gt;=0,SUM(Z55:AE55)=0,SUM(AF$14:AF54)+X55&lt;AF$12),X55,0),0)</f>
        <v>0</v>
      </c>
      <c r="AG55">
        <f t="shared" si="42"/>
        <v>0</v>
      </c>
      <c r="AI55">
        <f t="shared" si="43"/>
        <v>0</v>
      </c>
      <c r="AJ55" s="493">
        <f t="shared" si="17"/>
        <v>0</v>
      </c>
      <c r="AK55">
        <f>IF(AJ55=0,0,IF(AJ54=0,MAX(AK$13:AK54)+1,IF(W55&lt;&gt;W54,MAX(AK$14:AK54)+1,IF(ROUNDDOWN(AJ55-0.01,0)=ROUNDDOWN(AJ54-0.01,0),AK54,AK54+1))))</f>
        <v>0</v>
      </c>
      <c r="AL55">
        <f t="shared" si="18"/>
        <v>0</v>
      </c>
      <c r="AM55">
        <f t="shared" si="19"/>
        <v>0</v>
      </c>
      <c r="AN55">
        <f>IF(AM55&gt;AN$12,IF(AK55=AK54,AN54,MAX(AN$13:AN54)+1),0)</f>
        <v>0</v>
      </c>
      <c r="AP55">
        <f t="shared" si="44"/>
        <v>0</v>
      </c>
      <c r="AQ55">
        <f>IF(AP55&gt;0,IF(MAX(AQ56:AQ$214)+AP55&gt;ROUNDUP(MAX(AQ56:AQ$214),0),ROUNDUP(MAX(AQ56:AQ$214),0)+AP55,MAX(AQ56:AQ$214)+AP55),0)</f>
        <v>0</v>
      </c>
      <c r="AR55">
        <f t="shared" si="12"/>
        <v>0</v>
      </c>
      <c r="AS55">
        <f t="shared" si="45"/>
        <v>0</v>
      </c>
      <c r="AT55">
        <f t="shared" si="46"/>
        <v>10</v>
      </c>
      <c r="AV55">
        <v>13</v>
      </c>
      <c r="AW55">
        <f t="shared" si="47"/>
        <v>0</v>
      </c>
      <c r="AX55">
        <f t="shared" si="38"/>
        <v>0</v>
      </c>
      <c r="AY55" s="496">
        <f>IF(AND(AX55=AX$42,SUM(AY$43:AY54)=0,AW55=AZ$42,AX$42&lt;&gt;0),AV55,)</f>
        <v>0</v>
      </c>
      <c r="AZ55">
        <f>IF(AND(SUM(AZ$43:AZ54)=0,SUM($AY55:AY55)=0,$AX55&lt;=AY$78,$AX55&gt;0,$AW55&gt;-1),$AV55,0)</f>
        <v>0</v>
      </c>
      <c r="BA55">
        <f>IF(AND(SUM(BA$43:BA54)=0,SUM($AY55:AZ55)=0,$AX55&lt;=AZ$78,$AX55&gt;0,$AW55&gt;-1),$AV55,0)</f>
        <v>0</v>
      </c>
      <c r="BB55">
        <f>IF(AND(SUM(BB$43:BB54)=0,SUM($AY55:BA55)=0,$AX55&lt;=BA$78,$AX55&gt;0,$AW55&gt;-1),$AV55,0)</f>
        <v>0</v>
      </c>
      <c r="BC55">
        <f>IF(AND(SUM(BC$43:BC54)=0,SUM($AY55:BB55)=0,$AX55&lt;=BB$78,$AX55&gt;0,$AW55&gt;-1),$AV55,0)</f>
        <v>0</v>
      </c>
      <c r="BD55">
        <f>IF(AND(SUM(BD$43:BD54)=0,SUM($AY55:BC55)=0,$AX55&lt;=BC$78,$AX55&gt;0,$AW55&gt;-1),$AV55,0)</f>
        <v>0</v>
      </c>
      <c r="BE55">
        <f>IF(AND(SUM(BE$43:BE54)=0,SUM($AY55:BD55)=0,$AX55&lt;=BD$78,$AX55&gt;0,$AW55&gt;-1),$AV55,0)</f>
        <v>0</v>
      </c>
      <c r="BF55">
        <f>IF(AND(SUM(BF$43:BF54)=0,SUM($AY55:BE55)=0,$AX55&lt;=BE$78,$AX55&gt;0,$AW55&gt;-1),$AV55,0)</f>
        <v>0</v>
      </c>
      <c r="BG55">
        <f t="shared" si="39"/>
        <v>0</v>
      </c>
      <c r="BH55" s="494">
        <f t="shared" si="40"/>
        <v>0</v>
      </c>
      <c r="BI55">
        <f t="shared" si="41"/>
        <v>0</v>
      </c>
      <c r="BJ55">
        <v>2</v>
      </c>
      <c r="BK55">
        <f>_xlfn.XLOOKUP(BJ55,AR$14:AR$213,AS$14:AS$213,0)</f>
        <v>0</v>
      </c>
      <c r="BL55">
        <f t="shared" ref="BL55:BL93" si="48">IF(BJ55&lt;=BL$106,1,IF(BJ55&lt;=BL$106+BL$107,2,0))</f>
        <v>0</v>
      </c>
      <c r="BM55" s="517"/>
    </row>
    <row r="56" spans="1:65" x14ac:dyDescent="0.25">
      <c r="A56">
        <v>43</v>
      </c>
      <c r="B56" t="str">
        <f>_xlfn.XLOOKUP(A56,Order!R$12:R$859,Order!C$12:C$859,"")</f>
        <v/>
      </c>
      <c r="C56" t="str">
        <f>_xlfn.XLOOKUP(A56,Order!R$12:R$859,Order!S$12:S$859,"")</f>
        <v/>
      </c>
      <c r="D56" t="str">
        <f>_xlfn.XLOOKUP(A56,Order!R$12:R$859,Order!B$12:B$859,"")</f>
        <v/>
      </c>
      <c r="E56" t="str">
        <f>_xlfn.XLOOKUP(A56,Order!R$12:R$859,Order!P$12:P$859,"")</f>
        <v/>
      </c>
      <c r="F56" t="str">
        <f>_xlfn.XLOOKUP(A56,Order!R$12:R$859,Order!T$12:T$859,"")</f>
        <v/>
      </c>
      <c r="G56" t="str">
        <f>_xlfn.XLOOKUP(A56,Order!R$12:R$859,Order!U$12:U$859,"")</f>
        <v/>
      </c>
      <c r="H56" t="str">
        <f>_xlfn.XLOOKUP(A56,Order!R$12:R$859,Order!B$12:B$859,"")</f>
        <v/>
      </c>
      <c r="I56" t="str">
        <f>_xlfn.XLOOKUP(A56,Order!R$12:R$859,Order!V$12:V$859,"")</f>
        <v/>
      </c>
      <c r="J56" t="str">
        <f>IFERROR(RANK(F56,F$14:F$213,1)+COUNTIF(F$14:F56,F56)-1,"")</f>
        <v/>
      </c>
      <c r="L56" t="str">
        <f t="shared" si="22"/>
        <v/>
      </c>
      <c r="M56" t="str" cm="1">
        <f t="array" ref="M56">_xlfn.XLOOKUP(A56,J$14:J255,B$14:B255,"")</f>
        <v/>
      </c>
      <c r="N56" t="str" cm="1">
        <f t="array" ref="N56">_xlfn.XLOOKUP(A56,J$14:J255,C$14:C255,"")</f>
        <v/>
      </c>
      <c r="O56" t="str" cm="1">
        <f t="array" ref="O56">_xlfn.XLOOKUP(A56,J$14:J255,E$14:E255,"")</f>
        <v/>
      </c>
      <c r="P56" t="str" cm="1">
        <f t="array" ref="P56">_xlfn.XLOOKUP(A56,J$14:J255,G$14:G255,"")</f>
        <v/>
      </c>
      <c r="Q56" t="str" cm="1">
        <f t="array" ref="Q56">_xlfn.XLOOKUP(A56,J$14:J255,F$14:F255,"")</f>
        <v/>
      </c>
      <c r="R56" t="str" cm="1">
        <f t="array" ref="R56">_xlfn.XLOOKUP(A56,J$14:J255,I$14:I255,"")</f>
        <v/>
      </c>
      <c r="S56" t="str" cm="1">
        <f t="array" ref="S56">_xlfn.XLOOKUP(A56,J$14:J255,H$14:H255,"")</f>
        <v/>
      </c>
      <c r="T56" t="str" cm="1">
        <f t="array" ref="T56">VLOOKUP(ROW(43:43),L$14:S$163,8)</f>
        <v/>
      </c>
      <c r="U56" t="str" cm="1">
        <f t="array" ref="U56">VLOOKUP(ROW(43:43),L$14:M$163,2)</f>
        <v/>
      </c>
      <c r="V56" t="str" cm="1">
        <f t="array" ref="V56">VLOOKUP(ROW(43:43),L$14:O$163,4)</f>
        <v/>
      </c>
      <c r="W56" t="str" cm="1">
        <f t="array" ref="W56">VLOOKUP(ROW(43:43),L$14:Q$163,6)</f>
        <v/>
      </c>
      <c r="X56" cm="1">
        <f t="array" ref="X56">IFERROR(VLOOKUP(ROW(43:43),L$14:P$213,5)+0,0)</f>
        <v>0</v>
      </c>
      <c r="Y56" t="str" cm="1">
        <f t="array" ref="Y56">VLOOKUP(ROW(43:43),L$14:R$163,7)</f>
        <v/>
      </c>
      <c r="Z56">
        <f>IF(Y56&lt;-2,X56+MAX(Z$14:Z55),0)</f>
        <v>0</v>
      </c>
      <c r="AA56">
        <f>IFERROR(IF(AND(SUM(AA57:AA$214)+X56&lt;=Z$10,W56&lt;=Z$12,Z56=0),X56,0),0)</f>
        <v>0</v>
      </c>
      <c r="AB56">
        <f>IFERROR(IF(AND(W56&lt;=Z$12+10,AB$12-X56&gt;=0,SUM(Z56:AA56)=0,SUM(AB$14:AB55)+X56&lt;AB$12),X56,0),0)</f>
        <v>0</v>
      </c>
      <c r="AD56">
        <f>IF(AND(Y56=-2,SUM(Z56:AB56)=0),X56+MAX(AD$14:AD55),0)</f>
        <v>0</v>
      </c>
      <c r="AE56">
        <f>IFERROR(IF(AND(SUM(AE57:AE$214)+X56&lt;=AD$10,W56&lt;=AD$12,SUM(Z56:AD56)=0),X56,0),0)</f>
        <v>0</v>
      </c>
      <c r="AF56">
        <f>IFERROR(IF(AND(W56&lt;=AD$12+10,AF$12-X56&gt;=0,SUM(Z56:AE56)=0,SUM(AF$14:AF55)+X56&lt;AF$12),X56,0),0)</f>
        <v>0</v>
      </c>
      <c r="AG56">
        <f t="shared" si="42"/>
        <v>0</v>
      </c>
      <c r="AI56">
        <f t="shared" si="43"/>
        <v>0</v>
      </c>
      <c r="AJ56" s="493">
        <f t="shared" si="17"/>
        <v>0</v>
      </c>
      <c r="AK56">
        <f>IF(AJ56=0,0,IF(AJ55=0,MAX(AK$13:AK55)+1,IF(W56&lt;&gt;W55,MAX(AK$14:AK55)+1,IF(ROUNDDOWN(AJ56-0.01,0)=ROUNDDOWN(AJ55-0.01,0),AK55,AK55+1))))</f>
        <v>0</v>
      </c>
      <c r="AL56">
        <f t="shared" si="18"/>
        <v>0</v>
      </c>
      <c r="AM56">
        <f t="shared" si="19"/>
        <v>0</v>
      </c>
      <c r="AN56">
        <f>IF(AM56&gt;AN$12,IF(AK56=AK55,AN55,MAX(AN$13:AN55)+1),0)</f>
        <v>0</v>
      </c>
      <c r="AP56">
        <f t="shared" si="44"/>
        <v>0</v>
      </c>
      <c r="AQ56">
        <f>IF(AP56&gt;0,IF(MAX(AQ57:AQ$214)+AP56&gt;ROUNDUP(MAX(AQ57:AQ$214),0),ROUNDUP(MAX(AQ57:AQ$214),0)+AP56,MAX(AQ57:AQ$214)+AP56),0)</f>
        <v>0</v>
      </c>
      <c r="AR56">
        <f t="shared" si="12"/>
        <v>0</v>
      </c>
      <c r="AS56">
        <f t="shared" si="45"/>
        <v>0</v>
      </c>
      <c r="AT56">
        <f t="shared" si="46"/>
        <v>10</v>
      </c>
      <c r="AV56">
        <v>14</v>
      </c>
      <c r="AW56">
        <f t="shared" si="47"/>
        <v>0</v>
      </c>
      <c r="AX56">
        <f t="shared" si="38"/>
        <v>0</v>
      </c>
      <c r="AY56" s="496">
        <f>IF(AND(AX56=AX$42,SUM(AY$43:AY55)=0,AW56=AZ$42,AX$42&lt;&gt;0),AV56,)</f>
        <v>0</v>
      </c>
      <c r="AZ56">
        <f>IF(AND(SUM(AZ$43:AZ55)=0,SUM($AY56:AY56)=0,$AX56&lt;=AY$78,$AX56&gt;0,$AW56&gt;-1),$AV56,0)</f>
        <v>0</v>
      </c>
      <c r="BA56">
        <f>IF(AND(SUM(BA$43:BA55)=0,SUM($AY56:AZ56)=0,$AX56&lt;=AZ$78,$AX56&gt;0,$AW56&gt;-1),$AV56,0)</f>
        <v>0</v>
      </c>
      <c r="BB56">
        <f>IF(AND(SUM(BB$43:BB55)=0,SUM($AY56:BA56)=0,$AX56&lt;=BA$78,$AX56&gt;0,$AW56&gt;-1),$AV56,0)</f>
        <v>0</v>
      </c>
      <c r="BC56">
        <f>IF(AND(SUM(BC$43:BC55)=0,SUM($AY56:BB56)=0,$AX56&lt;=BB$78,$AX56&gt;0,$AW56&gt;-1),$AV56,0)</f>
        <v>0</v>
      </c>
      <c r="BD56">
        <f>IF(AND(SUM(BD$43:BD55)=0,SUM($AY56:BC56)=0,$AX56&lt;=BC$78,$AX56&gt;0,$AW56&gt;-1),$AV56,0)</f>
        <v>0</v>
      </c>
      <c r="BE56">
        <f>IF(AND(SUM(BE$43:BE55)=0,SUM($AY56:BD56)=0,$AX56&lt;=BD$78,$AX56&gt;0,$AW56&gt;-1),$AV56,0)</f>
        <v>0</v>
      </c>
      <c r="BF56">
        <f>IF(AND(SUM(BF$43:BF55)=0,SUM($AY56:BE56)=0,$AX56&lt;=BE$78,$AX56&gt;0,$AW56&gt;-1),$AV56,0)</f>
        <v>0</v>
      </c>
      <c r="BG56">
        <f t="shared" si="39"/>
        <v>0</v>
      </c>
      <c r="BH56" s="494">
        <f t="shared" si="40"/>
        <v>0</v>
      </c>
      <c r="BI56">
        <f t="shared" si="41"/>
        <v>0</v>
      </c>
      <c r="BJ56">
        <v>3</v>
      </c>
      <c r="BK56">
        <f t="shared" ref="BK56:BK93" si="49">_xlfn.SINGLE(_xlfn.XLOOKUP(BJ56,AR$14:AR$213,AS$14:AS$213,0))</f>
        <v>0</v>
      </c>
      <c r="BL56">
        <f t="shared" si="48"/>
        <v>0</v>
      </c>
      <c r="BM56" s="517"/>
    </row>
    <row r="57" spans="1:65" x14ac:dyDescent="0.25">
      <c r="A57">
        <v>44</v>
      </c>
      <c r="B57" t="str">
        <f>_xlfn.XLOOKUP(A57,Order!R$12:R$859,Order!C$12:C$859,"")</f>
        <v/>
      </c>
      <c r="C57" t="str">
        <f>_xlfn.XLOOKUP(A57,Order!R$12:R$859,Order!S$12:S$859,"")</f>
        <v/>
      </c>
      <c r="D57" t="str">
        <f>_xlfn.XLOOKUP(A57,Order!R$12:R$859,Order!B$12:B$859,"")</f>
        <v/>
      </c>
      <c r="E57" t="str">
        <f>_xlfn.XLOOKUP(A57,Order!R$12:R$859,Order!P$12:P$859,"")</f>
        <v/>
      </c>
      <c r="F57" t="str">
        <f>_xlfn.XLOOKUP(A57,Order!R$12:R$859,Order!T$12:T$859,"")</f>
        <v/>
      </c>
      <c r="G57" t="str">
        <f>_xlfn.XLOOKUP(A57,Order!R$12:R$859,Order!U$12:U$859,"")</f>
        <v/>
      </c>
      <c r="H57" t="str">
        <f>_xlfn.XLOOKUP(A57,Order!R$12:R$859,Order!B$12:B$859,"")</f>
        <v/>
      </c>
      <c r="I57" t="str">
        <f>_xlfn.XLOOKUP(A57,Order!R$12:R$859,Order!V$12:V$859,"")</f>
        <v/>
      </c>
      <c r="J57" t="str">
        <f>IFERROR(RANK(F57,F$14:F$213,1)+COUNTIF(F$14:F57,F57)-1,"")</f>
        <v/>
      </c>
      <c r="L57" t="str">
        <f t="shared" si="22"/>
        <v/>
      </c>
      <c r="M57" t="str" cm="1">
        <f t="array" ref="M57">_xlfn.XLOOKUP(A57,J$14:J256,B$14:B256,"")</f>
        <v/>
      </c>
      <c r="N57" t="str" cm="1">
        <f t="array" ref="N57">_xlfn.XLOOKUP(A57,J$14:J256,C$14:C256,"")</f>
        <v/>
      </c>
      <c r="O57" t="str" cm="1">
        <f t="array" ref="O57">_xlfn.XLOOKUP(A57,J$14:J256,E$14:E256,"")</f>
        <v/>
      </c>
      <c r="P57" t="str" cm="1">
        <f t="array" ref="P57">_xlfn.XLOOKUP(A57,J$14:J256,G$14:G256,"")</f>
        <v/>
      </c>
      <c r="Q57" t="str" cm="1">
        <f t="array" ref="Q57">_xlfn.XLOOKUP(A57,J$14:J256,F$14:F256,"")</f>
        <v/>
      </c>
      <c r="R57" t="str" cm="1">
        <f t="array" ref="R57">_xlfn.XLOOKUP(A57,J$14:J256,I$14:I256,"")</f>
        <v/>
      </c>
      <c r="S57" t="str" cm="1">
        <f t="array" ref="S57">_xlfn.XLOOKUP(A57,J$14:J256,H$14:H256,"")</f>
        <v/>
      </c>
      <c r="T57" t="str" cm="1">
        <f t="array" ref="T57">VLOOKUP(ROW(44:44),L$14:S$163,8)</f>
        <v/>
      </c>
      <c r="U57" t="str" cm="1">
        <f t="array" ref="U57">VLOOKUP(ROW(44:44),L$14:M$163,2)</f>
        <v/>
      </c>
      <c r="V57" t="str" cm="1">
        <f t="array" ref="V57">VLOOKUP(ROW(44:44),L$14:O$163,4)</f>
        <v/>
      </c>
      <c r="W57" t="str" cm="1">
        <f t="array" ref="W57">VLOOKUP(ROW(44:44),L$14:Q$163,6)</f>
        <v/>
      </c>
      <c r="X57" cm="1">
        <f t="array" ref="X57">IFERROR(VLOOKUP(ROW(44:44),L$14:P$213,5)+0,0)</f>
        <v>0</v>
      </c>
      <c r="Y57" t="str" cm="1">
        <f t="array" ref="Y57">VLOOKUP(ROW(44:44),L$14:R$163,7)</f>
        <v/>
      </c>
      <c r="Z57">
        <f>IF(Y57&lt;-2,X57+MAX(Z$14:Z56),0)</f>
        <v>0</v>
      </c>
      <c r="AA57">
        <f>IFERROR(IF(AND(SUM(AA58:AA$214)+X57&lt;=Z$10,W57&lt;=Z$12,Z57=0),X57,0),0)</f>
        <v>0</v>
      </c>
      <c r="AB57">
        <f>IFERROR(IF(AND(W57&lt;=Z$12+10,AB$12-X57&gt;=0,SUM(Z57:AA57)=0,SUM(AB$14:AB56)+X57&lt;AB$12),X57,0),0)</f>
        <v>0</v>
      </c>
      <c r="AD57">
        <f>IF(AND(Y57=-2,SUM(Z57:AB57)=0),X57+MAX(AD$14:AD56),0)</f>
        <v>0</v>
      </c>
      <c r="AE57">
        <f>IFERROR(IF(AND(SUM(AE58:AE$214)+X57&lt;=AD$10,W57&lt;=AD$12,SUM(Z57:AD57)=0),X57,0),0)</f>
        <v>0</v>
      </c>
      <c r="AF57">
        <f>IFERROR(IF(AND(W57&lt;=AD$12+10,AF$12-X57&gt;=0,SUM(Z57:AE57)=0,SUM(AF$14:AF56)+X57&lt;AF$12),X57,0),0)</f>
        <v>0</v>
      </c>
      <c r="AG57">
        <f t="shared" si="42"/>
        <v>0</v>
      </c>
      <c r="AI57">
        <f t="shared" si="43"/>
        <v>0</v>
      </c>
      <c r="AJ57" s="493">
        <f t="shared" si="17"/>
        <v>0</v>
      </c>
      <c r="AK57">
        <f>IF(AJ57=0,0,IF(AJ56=0,MAX(AK$13:AK56)+1,IF(W57&lt;&gt;W56,MAX(AK$14:AK56)+1,IF(ROUNDDOWN(AJ57-0.01,0)=ROUNDDOWN(AJ56-0.01,0),AK56,AK56+1))))</f>
        <v>0</v>
      </c>
      <c r="AL57">
        <f t="shared" si="18"/>
        <v>0</v>
      </c>
      <c r="AM57">
        <f t="shared" si="19"/>
        <v>0</v>
      </c>
      <c r="AN57">
        <f>IF(AM57&gt;AN$12,IF(AK57=AK56,AN56,MAX(AN$13:AN56)+1),0)</f>
        <v>0</v>
      </c>
      <c r="AP57">
        <f t="shared" si="44"/>
        <v>0</v>
      </c>
      <c r="AQ57">
        <f>IF(AP57&gt;0,IF(MAX(AQ58:AQ$214)+AP57&gt;ROUNDUP(MAX(AQ58:AQ$214),0),ROUNDUP(MAX(AQ58:AQ$214),0)+AP57,MAX(AQ58:AQ$214)+AP57),0)</f>
        <v>0</v>
      </c>
      <c r="AR57">
        <f t="shared" si="12"/>
        <v>0</v>
      </c>
      <c r="AS57">
        <f t="shared" si="45"/>
        <v>0</v>
      </c>
      <c r="AT57">
        <f t="shared" si="46"/>
        <v>10</v>
      </c>
      <c r="AV57">
        <v>15</v>
      </c>
      <c r="AW57">
        <f t="shared" si="47"/>
        <v>0</v>
      </c>
      <c r="AX57">
        <f t="shared" si="38"/>
        <v>0</v>
      </c>
      <c r="AY57" s="496">
        <f>IF(AND(AX57=AX$42,SUM(AY$43:AY56)=0,AW57=AZ$42,AX$42&lt;&gt;0),AV57,)</f>
        <v>0</v>
      </c>
      <c r="AZ57">
        <f>IF(AND(SUM(AZ$43:AZ56)=0,SUM($AY57:AY57)=0,$AX57&lt;=AY$78,$AX57&gt;0,$AW57&gt;-1),$AV57,0)</f>
        <v>0</v>
      </c>
      <c r="BA57">
        <f>IF(AND(SUM(BA$43:BA56)=0,SUM($AY57:AZ57)=0,$AX57&lt;=AZ$78,$AX57&gt;0,$AW57&gt;-1),$AV57,0)</f>
        <v>0</v>
      </c>
      <c r="BB57">
        <f>IF(AND(SUM(BB$43:BB56)=0,SUM($AY57:BA57)=0,$AX57&lt;=BA$78,$AX57&gt;0,$AW57&gt;-1),$AV57,0)</f>
        <v>0</v>
      </c>
      <c r="BC57">
        <f>IF(AND(SUM(BC$43:BC56)=0,SUM($AY57:BB57)=0,$AX57&lt;=BB$78,$AX57&gt;0,$AW57&gt;-1),$AV57,0)</f>
        <v>0</v>
      </c>
      <c r="BD57">
        <f>IF(AND(SUM(BD$43:BD56)=0,SUM($AY57:BC57)=0,$AX57&lt;=BC$78,$AX57&gt;0,$AW57&gt;-1),$AV57,0)</f>
        <v>0</v>
      </c>
      <c r="BE57">
        <f>IF(AND(SUM(BE$43:BE56)=0,SUM($AY57:BD57)=0,$AX57&lt;=BD$78,$AX57&gt;0,$AW57&gt;-1),$AV57,0)</f>
        <v>0</v>
      </c>
      <c r="BF57">
        <f>IF(AND(SUM(BF$43:BF56)=0,SUM($AY57:BE57)=0,$AX57&lt;=BE$78,$AX57&gt;0,$AW57&gt;-1),$AV57,0)</f>
        <v>0</v>
      </c>
      <c r="BG57">
        <f t="shared" si="39"/>
        <v>0</v>
      </c>
      <c r="BH57" s="494">
        <f t="shared" si="40"/>
        <v>0</v>
      </c>
      <c r="BI57">
        <f t="shared" si="41"/>
        <v>0</v>
      </c>
      <c r="BJ57">
        <v>4</v>
      </c>
      <c r="BK57">
        <f>_xlfn.XLOOKUP(BJ57,AR$14:AR$213,AS$14:AS$213,0)</f>
        <v>0</v>
      </c>
      <c r="BL57">
        <f t="shared" si="48"/>
        <v>0</v>
      </c>
      <c r="BM57" s="517"/>
    </row>
    <row r="58" spans="1:65" x14ac:dyDescent="0.25">
      <c r="A58">
        <v>45</v>
      </c>
      <c r="B58" t="str">
        <f>_xlfn.XLOOKUP(A58,Order!R$12:R$859,Order!C$12:C$859,"")</f>
        <v/>
      </c>
      <c r="C58" t="str">
        <f>_xlfn.XLOOKUP(A58,Order!R$12:R$859,Order!S$12:S$859,"")</f>
        <v/>
      </c>
      <c r="D58" t="str">
        <f>_xlfn.XLOOKUP(A58,Order!R$12:R$859,Order!B$12:B$859,"")</f>
        <v/>
      </c>
      <c r="E58" t="str">
        <f>_xlfn.XLOOKUP(A58,Order!R$12:R$859,Order!P$12:P$859,"")</f>
        <v/>
      </c>
      <c r="F58" t="str">
        <f>_xlfn.XLOOKUP(A58,Order!R$12:R$859,Order!T$12:T$859,"")</f>
        <v/>
      </c>
      <c r="G58" t="str">
        <f>_xlfn.XLOOKUP(A58,Order!R$12:R$859,Order!U$12:U$859,"")</f>
        <v/>
      </c>
      <c r="H58" t="str">
        <f>_xlfn.XLOOKUP(A58,Order!R$12:R$859,Order!B$12:B$859,"")</f>
        <v/>
      </c>
      <c r="I58" t="str">
        <f>_xlfn.XLOOKUP(A58,Order!R$12:R$859,Order!V$12:V$859,"")</f>
        <v/>
      </c>
      <c r="J58" t="str">
        <f>IFERROR(RANK(F58,F$14:F$213,1)+COUNTIF(F$14:F58,F58)-1,"")</f>
        <v/>
      </c>
      <c r="L58" t="str">
        <f t="shared" si="22"/>
        <v/>
      </c>
      <c r="M58" t="str" cm="1">
        <f t="array" ref="M58">_xlfn.XLOOKUP(A58,J$14:J257,B$14:B257,"")</f>
        <v/>
      </c>
      <c r="N58" t="str" cm="1">
        <f t="array" ref="N58">_xlfn.XLOOKUP(A58,J$14:J257,C$14:C257,"")</f>
        <v/>
      </c>
      <c r="O58" t="str" cm="1">
        <f t="array" ref="O58">_xlfn.XLOOKUP(A58,J$14:J257,E$14:E257,"")</f>
        <v/>
      </c>
      <c r="P58" t="str" cm="1">
        <f t="array" ref="P58">_xlfn.XLOOKUP(A58,J$14:J257,G$14:G257,"")</f>
        <v/>
      </c>
      <c r="Q58" t="str" cm="1">
        <f t="array" ref="Q58">_xlfn.XLOOKUP(A58,J$14:J257,F$14:F257,"")</f>
        <v/>
      </c>
      <c r="R58" t="str" cm="1">
        <f t="array" ref="R58">_xlfn.XLOOKUP(A58,J$14:J257,I$14:I257,"")</f>
        <v/>
      </c>
      <c r="S58" t="str" cm="1">
        <f t="array" ref="S58">_xlfn.XLOOKUP(A58,J$14:J257,H$14:H257,"")</f>
        <v/>
      </c>
      <c r="T58" t="str" cm="1">
        <f t="array" ref="T58">VLOOKUP(ROW(45:45),L$14:S$163,8)</f>
        <v/>
      </c>
      <c r="U58" t="str" cm="1">
        <f t="array" ref="U58">VLOOKUP(ROW(45:45),L$14:M$163,2)</f>
        <v/>
      </c>
      <c r="V58" t="str" cm="1">
        <f t="array" ref="V58">VLOOKUP(ROW(45:45),L$14:O$163,4)</f>
        <v/>
      </c>
      <c r="W58" t="str" cm="1">
        <f t="array" ref="W58">VLOOKUP(ROW(45:45),L$14:Q$163,6)</f>
        <v/>
      </c>
      <c r="X58" cm="1">
        <f t="array" ref="X58">IFERROR(VLOOKUP(ROW(45:45),L$14:P$213,5)+0,0)</f>
        <v>0</v>
      </c>
      <c r="Y58" t="str" cm="1">
        <f t="array" ref="Y58">VLOOKUP(ROW(45:45),L$14:R$163,7)</f>
        <v/>
      </c>
      <c r="Z58">
        <f>IF(Y58&lt;-2,X58+MAX(Z$14:Z57),0)</f>
        <v>0</v>
      </c>
      <c r="AA58">
        <f>IFERROR(IF(AND(SUM(AA59:AA$214)+X58&lt;=Z$10,W58&lt;=Z$12,Z58=0),X58,0),0)</f>
        <v>0</v>
      </c>
      <c r="AB58">
        <f>IFERROR(IF(AND(W58&lt;=Z$12+10,AB$12-X58&gt;=0,SUM(Z58:AA58)=0,SUM(AB$14:AB57)+X58&lt;AB$12),X58,0),0)</f>
        <v>0</v>
      </c>
      <c r="AD58">
        <f>IF(AND(Y58=-2,SUM(Z58:AB58)=0),X58+MAX(AD$14:AD57),0)</f>
        <v>0</v>
      </c>
      <c r="AE58">
        <f>IFERROR(IF(AND(SUM(AE59:AE$214)+X58&lt;=AD$10,W58&lt;=AD$12,SUM(Z58:AD58)=0),X58,0),0)</f>
        <v>0</v>
      </c>
      <c r="AF58">
        <f>IFERROR(IF(AND(W58&lt;=AD$12+10,AF$12-X58&gt;=0,SUM(Z58:AE58)=0,SUM(AF$14:AF57)+X58&lt;AF$12),X58,0),0)</f>
        <v>0</v>
      </c>
      <c r="AG58">
        <f t="shared" si="42"/>
        <v>0</v>
      </c>
      <c r="AI58">
        <f t="shared" si="43"/>
        <v>0</v>
      </c>
      <c r="AJ58" s="493">
        <f t="shared" si="17"/>
        <v>0</v>
      </c>
      <c r="AK58">
        <f>IF(AJ58=0,0,IF(AJ57=0,MAX(AK$13:AK57)+1,IF(W58&lt;&gt;W57,MAX(AK$14:AK57)+1,IF(ROUNDDOWN(AJ58-0.01,0)=ROUNDDOWN(AJ57-0.01,0),AK57,AK57+1))))</f>
        <v>0</v>
      </c>
      <c r="AL58">
        <f t="shared" si="18"/>
        <v>0</v>
      </c>
      <c r="AM58">
        <f t="shared" si="19"/>
        <v>0</v>
      </c>
      <c r="AN58">
        <f>IF(AM58&gt;AN$12,IF(AK58=AK57,AN57,MAX(AN$13:AN57)+1),0)</f>
        <v>0</v>
      </c>
      <c r="AP58">
        <f t="shared" si="44"/>
        <v>0</v>
      </c>
      <c r="AQ58">
        <f>IF(AP58&gt;0,IF(MAX(AQ59:AQ$214)+AP58&gt;ROUNDUP(MAX(AQ59:AQ$214),0),ROUNDUP(MAX(AQ59:AQ$214),0)+AP58,MAX(AQ59:AQ$214)+AP58),0)</f>
        <v>0</v>
      </c>
      <c r="AR58">
        <f t="shared" si="12"/>
        <v>0</v>
      </c>
      <c r="AS58">
        <f t="shared" si="45"/>
        <v>0</v>
      </c>
      <c r="AT58">
        <f t="shared" si="46"/>
        <v>10</v>
      </c>
      <c r="AV58">
        <v>16</v>
      </c>
      <c r="AW58">
        <f t="shared" si="47"/>
        <v>0</v>
      </c>
      <c r="AX58">
        <f t="shared" si="38"/>
        <v>0</v>
      </c>
      <c r="AY58" s="496">
        <f>IF(AND(AX58=AX$42,SUM(AY$43:AY57)=0,AW58=AZ$42,AX$42&lt;&gt;0),AV58,)</f>
        <v>0</v>
      </c>
      <c r="AZ58">
        <f>IF(AND(SUM(AZ$43:AZ57)=0,SUM($AY58:AY58)=0,$AX58&lt;=AY$78,$AX58&gt;0,$AW58&gt;-1),$AV58,0)</f>
        <v>0</v>
      </c>
      <c r="BA58">
        <f>IF(AND(SUM(BA$43:BA57)=0,SUM($AY58:AZ58)=0,$AX58&lt;=AZ$78,$AX58&gt;0,$AW58&gt;-1),$AV58,0)</f>
        <v>0</v>
      </c>
      <c r="BB58">
        <f>IF(AND(SUM(BB$43:BB57)=0,SUM($AY58:BA58)=0,$AX58&lt;=BA$78,$AX58&gt;0,$AW58&gt;-1),$AV58,0)</f>
        <v>0</v>
      </c>
      <c r="BC58">
        <f>IF(AND(SUM(BC$43:BC57)=0,SUM($AY58:BB58)=0,$AX58&lt;=BB$78,$AX58&gt;0,$AW58&gt;-1),$AV58,0)</f>
        <v>0</v>
      </c>
      <c r="BD58">
        <f>IF(AND(SUM(BD$43:BD57)=0,SUM($AY58:BC58)=0,$AX58&lt;=BC$78,$AX58&gt;0,$AW58&gt;-1),$AV58,0)</f>
        <v>0</v>
      </c>
      <c r="BE58">
        <f>IF(AND(SUM(BE$43:BE57)=0,SUM($AY58:BD58)=0,$AX58&lt;=BD$78,$AX58&gt;0,$AW58&gt;-1),$AV58,0)</f>
        <v>0</v>
      </c>
      <c r="BF58">
        <f>IF(AND(SUM(BF$43:BF57)=0,SUM($AY58:BE58)=0,$AX58&lt;=BE$78,$AX58&gt;0,$AW58&gt;-1),$AV58,0)</f>
        <v>0</v>
      </c>
      <c r="BG58">
        <f t="shared" si="39"/>
        <v>0</v>
      </c>
      <c r="BH58" s="494">
        <f t="shared" si="40"/>
        <v>0</v>
      </c>
      <c r="BI58">
        <f t="shared" si="41"/>
        <v>0</v>
      </c>
      <c r="BJ58">
        <v>5</v>
      </c>
      <c r="BK58">
        <f>_xlfn.XLOOKUP(BJ58,AR$14:AR$213,AS$14:AS$213,0)</f>
        <v>0</v>
      </c>
      <c r="BL58">
        <f t="shared" si="48"/>
        <v>0</v>
      </c>
      <c r="BM58" s="517"/>
    </row>
    <row r="59" spans="1:65" x14ac:dyDescent="0.25">
      <c r="A59">
        <v>46</v>
      </c>
      <c r="B59" t="str">
        <f>_xlfn.XLOOKUP(A59,Order!R$12:R$859,Order!C$12:C$859,"")</f>
        <v/>
      </c>
      <c r="C59" t="str">
        <f>_xlfn.XLOOKUP(A59,Order!R$12:R$859,Order!S$12:S$859,"")</f>
        <v/>
      </c>
      <c r="D59" t="str">
        <f>_xlfn.XLOOKUP(A59,Order!R$12:R$859,Order!B$12:B$859,"")</f>
        <v/>
      </c>
      <c r="E59" t="str">
        <f>_xlfn.XLOOKUP(A59,Order!R$12:R$859,Order!P$12:P$859,"")</f>
        <v/>
      </c>
      <c r="F59" t="str">
        <f>_xlfn.XLOOKUP(A59,Order!R$12:R$859,Order!T$12:T$859,"")</f>
        <v/>
      </c>
      <c r="G59" t="str">
        <f>_xlfn.XLOOKUP(A59,Order!R$12:R$859,Order!U$12:U$859,"")</f>
        <v/>
      </c>
      <c r="H59" t="str">
        <f>_xlfn.XLOOKUP(A59,Order!R$12:R$859,Order!B$12:B$859,"")</f>
        <v/>
      </c>
      <c r="I59" t="str">
        <f>_xlfn.XLOOKUP(A59,Order!R$12:R$859,Order!V$12:V$859,"")</f>
        <v/>
      </c>
      <c r="J59" t="str">
        <f>IFERROR(RANK(F59,F$14:F$213,1)+COUNTIF(F$14:F59,F59)-1,"")</f>
        <v/>
      </c>
      <c r="L59" t="str">
        <f t="shared" si="22"/>
        <v/>
      </c>
      <c r="M59" t="str" cm="1">
        <f t="array" ref="M59">_xlfn.XLOOKUP(A59,J$14:J258,B$14:B258,"")</f>
        <v/>
      </c>
      <c r="N59" t="str" cm="1">
        <f t="array" ref="N59">_xlfn.XLOOKUP(A59,J$14:J258,C$14:C258,"")</f>
        <v/>
      </c>
      <c r="O59" t="str" cm="1">
        <f t="array" ref="O59">_xlfn.XLOOKUP(A59,J$14:J258,E$14:E258,"")</f>
        <v/>
      </c>
      <c r="P59" t="str" cm="1">
        <f t="array" ref="P59">_xlfn.XLOOKUP(A59,J$14:J258,G$14:G258,"")</f>
        <v/>
      </c>
      <c r="Q59" t="str" cm="1">
        <f t="array" ref="Q59">_xlfn.XLOOKUP(A59,J$14:J258,F$14:F258,"")</f>
        <v/>
      </c>
      <c r="R59" t="str" cm="1">
        <f t="array" ref="R59">_xlfn.XLOOKUP(A59,J$14:J258,I$14:I258,"")</f>
        <v/>
      </c>
      <c r="S59" t="str" cm="1">
        <f t="array" ref="S59">_xlfn.XLOOKUP(A59,J$14:J258,H$14:H258,"")</f>
        <v/>
      </c>
      <c r="T59" t="str" cm="1">
        <f t="array" ref="T59">VLOOKUP(ROW(46:46),L$14:S$163,8)</f>
        <v/>
      </c>
      <c r="U59" t="str" cm="1">
        <f t="array" ref="U59">VLOOKUP(ROW(46:46),L$14:M$163,2)</f>
        <v/>
      </c>
      <c r="V59" t="str" cm="1">
        <f t="array" ref="V59">VLOOKUP(ROW(46:46),L$14:O$163,4)</f>
        <v/>
      </c>
      <c r="W59" t="str" cm="1">
        <f t="array" ref="W59">VLOOKUP(ROW(46:46),L$14:Q$163,6)</f>
        <v/>
      </c>
      <c r="X59" cm="1">
        <f t="array" ref="X59">IFERROR(VLOOKUP(ROW(46:46),L$14:P$213,5)+0,0)</f>
        <v>0</v>
      </c>
      <c r="Y59" t="str" cm="1">
        <f t="array" ref="Y59">VLOOKUP(ROW(46:46),L$14:R$163,7)</f>
        <v/>
      </c>
      <c r="Z59">
        <f>IF(Y59&lt;-2,X59+MAX(Z$14:Z58),0)</f>
        <v>0</v>
      </c>
      <c r="AA59">
        <f>IFERROR(IF(AND(SUM(AA60:AA$214)+X59&lt;=Z$10,W59&lt;=Z$12,Z59=0),X59,0),0)</f>
        <v>0</v>
      </c>
      <c r="AB59">
        <f>IFERROR(IF(AND(W59&lt;=Z$12+10,AB$12-X59&gt;=0,SUM(Z59:AA59)=0,SUM(AB$14:AB58)+X59&lt;AB$12),X59,0),0)</f>
        <v>0</v>
      </c>
      <c r="AD59">
        <f>IF(AND(Y59=-2,SUM(Z59:AB59)=0),X59+MAX(AD$14:AD58),0)</f>
        <v>0</v>
      </c>
      <c r="AE59">
        <f>IFERROR(IF(AND(SUM(AE60:AE$214)+X59&lt;=AD$10,W59&lt;=AD$12,SUM(Z59:AD59)=0),X59,0),0)</f>
        <v>0</v>
      </c>
      <c r="AF59">
        <f>IFERROR(IF(AND(W59&lt;=AD$12+10,AF$12-X59&gt;=0,SUM(Z59:AE59)=0,SUM(AF$14:AF58)+X59&lt;AF$12),X59,0),0)</f>
        <v>0</v>
      </c>
      <c r="AG59">
        <f t="shared" si="42"/>
        <v>0</v>
      </c>
      <c r="AI59">
        <f t="shared" si="43"/>
        <v>0</v>
      </c>
      <c r="AJ59" s="493">
        <f t="shared" si="17"/>
        <v>0</v>
      </c>
      <c r="AK59">
        <f>IF(AJ59=0,0,IF(AJ58=0,MAX(AK$13:AK58)+1,IF(W59&lt;&gt;W58,MAX(AK$14:AK58)+1,IF(ROUNDDOWN(AJ59-0.01,0)=ROUNDDOWN(AJ58-0.01,0),AK58,AK58+1))))</f>
        <v>0</v>
      </c>
      <c r="AL59">
        <f t="shared" si="18"/>
        <v>0</v>
      </c>
      <c r="AM59">
        <f t="shared" si="19"/>
        <v>0</v>
      </c>
      <c r="AN59">
        <f>IF(AM59&gt;AN$12,IF(AK59=AK58,AN58,MAX(AN$13:AN58)+1),0)</f>
        <v>0</v>
      </c>
      <c r="AP59">
        <f t="shared" si="44"/>
        <v>0</v>
      </c>
      <c r="AQ59">
        <f>IF(AP59&gt;0,IF(MAX(AQ60:AQ$214)+AP59&gt;ROUNDUP(MAX(AQ60:AQ$214),0),ROUNDUP(MAX(AQ60:AQ$214),0)+AP59,MAX(AQ60:AQ$214)+AP59),0)</f>
        <v>0</v>
      </c>
      <c r="AR59">
        <f t="shared" si="12"/>
        <v>0</v>
      </c>
      <c r="AS59">
        <f t="shared" si="45"/>
        <v>0</v>
      </c>
      <c r="AT59">
        <f t="shared" si="46"/>
        <v>10</v>
      </c>
      <c r="AV59">
        <v>17</v>
      </c>
      <c r="AW59">
        <f t="shared" si="47"/>
        <v>0</v>
      </c>
      <c r="AX59">
        <f t="shared" si="38"/>
        <v>0</v>
      </c>
      <c r="AY59" s="496">
        <f>IF(AND(AX59=AX$42,SUM(AY$43:AY58)=0,AW59=AZ$42,AX$42&lt;&gt;0),AV59,)</f>
        <v>0</v>
      </c>
      <c r="AZ59">
        <f>IF(AND(SUM(AZ$43:AZ58)=0,SUM($AY59:AY59)=0,$AX59&lt;=AY$78,$AX59&gt;0,$AW59&gt;-1),$AV59,0)</f>
        <v>0</v>
      </c>
      <c r="BA59">
        <f>IF(AND(SUM(BA$43:BA58)=0,SUM($AY59:AZ59)=0,$AX59&lt;=AZ$78,$AX59&gt;0,$AW59&gt;-1),$AV59,0)</f>
        <v>0</v>
      </c>
      <c r="BB59">
        <f>IF(AND(SUM(BB$43:BB58)=0,SUM($AY59:BA59)=0,$AX59&lt;=BA$78,$AX59&gt;0,$AW59&gt;-1),$AV59,0)</f>
        <v>0</v>
      </c>
      <c r="BC59">
        <f>IF(AND(SUM(BC$43:BC58)=0,SUM($AY59:BB59)=0,$AX59&lt;=BB$78,$AX59&gt;0,$AW59&gt;-1),$AV59,0)</f>
        <v>0</v>
      </c>
      <c r="BD59">
        <f>IF(AND(SUM(BD$43:BD58)=0,SUM($AY59:BC59)=0,$AX59&lt;=BC$78,$AX59&gt;0,$AW59&gt;-1),$AV59,0)</f>
        <v>0</v>
      </c>
      <c r="BE59">
        <f>IF(AND(SUM(BE$43:BE58)=0,SUM($AY59:BD59)=0,$AX59&lt;=BD$78,$AX59&gt;0,$AW59&gt;-1),$AV59,0)</f>
        <v>0</v>
      </c>
      <c r="BF59">
        <f>IF(AND(SUM(BF$43:BF58)=0,SUM($AY59:BE59)=0,$AX59&lt;=BE$78,$AX59&gt;0,$AW59&gt;-1),$AV59,0)</f>
        <v>0</v>
      </c>
      <c r="BG59">
        <f t="shared" si="39"/>
        <v>0</v>
      </c>
      <c r="BH59" s="494">
        <f t="shared" si="40"/>
        <v>0</v>
      </c>
      <c r="BI59">
        <f t="shared" si="41"/>
        <v>0</v>
      </c>
      <c r="BJ59">
        <v>6</v>
      </c>
      <c r="BK59">
        <f t="shared" si="49"/>
        <v>0</v>
      </c>
      <c r="BL59">
        <f t="shared" si="48"/>
        <v>0</v>
      </c>
      <c r="BM59" s="517"/>
    </row>
    <row r="60" spans="1:65" x14ac:dyDescent="0.25">
      <c r="A60">
        <v>47</v>
      </c>
      <c r="B60" t="str">
        <f>_xlfn.XLOOKUP(A60,Order!R$12:R$859,Order!C$12:C$859,"")</f>
        <v/>
      </c>
      <c r="C60" t="str">
        <f>_xlfn.XLOOKUP(A60,Order!R$12:R$859,Order!S$12:S$859,"")</f>
        <v/>
      </c>
      <c r="D60" t="str">
        <f>_xlfn.XLOOKUP(A60,Order!R$12:R$859,Order!B$12:B$859,"")</f>
        <v/>
      </c>
      <c r="E60" t="str">
        <f>_xlfn.XLOOKUP(A60,Order!R$12:R$859,Order!P$12:P$859,"")</f>
        <v/>
      </c>
      <c r="F60" t="str">
        <f>_xlfn.XLOOKUP(A60,Order!R$12:R$859,Order!T$12:T$859,"")</f>
        <v/>
      </c>
      <c r="G60" t="str">
        <f>_xlfn.XLOOKUP(A60,Order!R$12:R$859,Order!U$12:U$859,"")</f>
        <v/>
      </c>
      <c r="H60" t="str">
        <f>_xlfn.XLOOKUP(A60,Order!R$12:R$859,Order!B$12:B$859,"")</f>
        <v/>
      </c>
      <c r="I60" t="str">
        <f>_xlfn.XLOOKUP(A60,Order!R$12:R$859,Order!V$12:V$859,"")</f>
        <v/>
      </c>
      <c r="J60" t="str">
        <f>IFERROR(RANK(F60,F$14:F$213,1)+COUNTIF(F$14:F60,F60)-1,"")</f>
        <v/>
      </c>
      <c r="L60" t="str">
        <f t="shared" si="22"/>
        <v/>
      </c>
      <c r="M60" t="str" cm="1">
        <f t="array" ref="M60">_xlfn.XLOOKUP(A60,J$14:J259,B$14:B259,"")</f>
        <v/>
      </c>
      <c r="N60" t="str" cm="1">
        <f t="array" ref="N60">_xlfn.XLOOKUP(A60,J$14:J259,C$14:C259,"")</f>
        <v/>
      </c>
      <c r="O60" t="str" cm="1">
        <f t="array" ref="O60">_xlfn.XLOOKUP(A60,J$14:J259,E$14:E259,"")</f>
        <v/>
      </c>
      <c r="P60" t="str" cm="1">
        <f t="array" ref="P60">_xlfn.XLOOKUP(A60,J$14:J259,G$14:G259,"")</f>
        <v/>
      </c>
      <c r="Q60" t="str" cm="1">
        <f t="array" ref="Q60">_xlfn.XLOOKUP(A60,J$14:J259,F$14:F259,"")</f>
        <v/>
      </c>
      <c r="R60" t="str" cm="1">
        <f t="array" ref="R60">_xlfn.XLOOKUP(A60,J$14:J259,I$14:I259,"")</f>
        <v/>
      </c>
      <c r="S60" t="str" cm="1">
        <f t="array" ref="S60">_xlfn.XLOOKUP(A60,J$14:J259,H$14:H259,"")</f>
        <v/>
      </c>
      <c r="T60" t="str" cm="1">
        <f t="array" ref="T60">VLOOKUP(ROW(47:47),L$14:S$163,8)</f>
        <v/>
      </c>
      <c r="U60" t="str" cm="1">
        <f t="array" ref="U60">VLOOKUP(ROW(47:47),L$14:M$163,2)</f>
        <v/>
      </c>
      <c r="V60" t="str" cm="1">
        <f t="array" ref="V60">VLOOKUP(ROW(47:47),L$14:O$163,4)</f>
        <v/>
      </c>
      <c r="W60" t="str" cm="1">
        <f t="array" ref="W60">VLOOKUP(ROW(47:47),L$14:Q$163,6)</f>
        <v/>
      </c>
      <c r="X60" cm="1">
        <f t="array" ref="X60">IFERROR(VLOOKUP(ROW(47:47),L$14:P$213,5)+0,0)</f>
        <v>0</v>
      </c>
      <c r="Y60" t="str" cm="1">
        <f t="array" ref="Y60">VLOOKUP(ROW(47:47),L$14:R$163,7)</f>
        <v/>
      </c>
      <c r="Z60">
        <f>IF(Y60&lt;-2,X60+MAX(Z$14:Z59),0)</f>
        <v>0</v>
      </c>
      <c r="AA60">
        <f>IFERROR(IF(AND(SUM(AA61:AA$214)+X60&lt;=Z$10,W60&lt;=Z$12,Z60=0),X60,0),0)</f>
        <v>0</v>
      </c>
      <c r="AB60">
        <f>IFERROR(IF(AND(W60&lt;=Z$12+10,AB$12-X60&gt;=0,SUM(Z60:AA60)=0,SUM(AB$14:AB59)+X60&lt;AB$12),X60,0),0)</f>
        <v>0</v>
      </c>
      <c r="AD60">
        <f>IF(AND(Y60=-2,SUM(Z60:AB60)=0),X60+MAX(AD$14:AD59),0)</f>
        <v>0</v>
      </c>
      <c r="AE60">
        <f>IFERROR(IF(AND(SUM(AE61:AE$214)+X60&lt;=AD$10,W60&lt;=AD$12,SUM(Z60:AD60)=0),X60,0),0)</f>
        <v>0</v>
      </c>
      <c r="AF60">
        <f>IFERROR(IF(AND(W60&lt;=AD$12+10,AF$12-X60&gt;=0,SUM(Z60:AE60)=0,SUM(AF$14:AF59)+X60&lt;AF$12),X60,0),0)</f>
        <v>0</v>
      </c>
      <c r="AG60">
        <f t="shared" si="42"/>
        <v>0</v>
      </c>
      <c r="AI60">
        <f t="shared" si="43"/>
        <v>0</v>
      </c>
      <c r="AJ60" s="493">
        <f t="shared" si="17"/>
        <v>0</v>
      </c>
      <c r="AK60">
        <f>IF(AJ60=0,0,IF(AJ59=0,MAX(AK$13:AK59)+1,IF(W60&lt;&gt;W59,MAX(AK$14:AK59)+1,IF(ROUNDDOWN(AJ60-0.01,0)=ROUNDDOWN(AJ59-0.01,0),AK59,AK59+1))))</f>
        <v>0</v>
      </c>
      <c r="AL60">
        <f t="shared" si="18"/>
        <v>0</v>
      </c>
      <c r="AM60">
        <f t="shared" si="19"/>
        <v>0</v>
      </c>
      <c r="AN60">
        <f>IF(AM60&gt;AN$12,IF(AK60=AK59,AN59,MAX(AN$13:AN59)+1),0)</f>
        <v>0</v>
      </c>
      <c r="AP60">
        <f t="shared" si="44"/>
        <v>0</v>
      </c>
      <c r="AQ60">
        <f>IF(AP60&gt;0,IF(MAX(AQ61:AQ$214)+AP60&gt;ROUNDUP(MAX(AQ61:AQ$214),0),ROUNDUP(MAX(AQ61:AQ$214),0)+AP60,MAX(AQ61:AQ$214)+AP60),0)</f>
        <v>0</v>
      </c>
      <c r="AR60">
        <f t="shared" si="12"/>
        <v>0</v>
      </c>
      <c r="AS60">
        <f t="shared" si="45"/>
        <v>0</v>
      </c>
      <c r="AT60">
        <f t="shared" si="46"/>
        <v>10</v>
      </c>
      <c r="AV60">
        <v>18</v>
      </c>
      <c r="AW60">
        <f t="shared" si="47"/>
        <v>0</v>
      </c>
      <c r="AX60">
        <f t="shared" si="38"/>
        <v>0</v>
      </c>
      <c r="AY60" s="496">
        <f>IF(AND(AX60=AX$42,SUM(AY$43:AY59)=0,AW60=AZ$42,AX$42&lt;&gt;0),AV60,)</f>
        <v>0</v>
      </c>
      <c r="AZ60">
        <f>IF(AND(SUM(AZ$43:AZ59)=0,SUM($AY60:AY60)=0,$AX60&lt;=AY$78,$AX60&gt;0,$AW60&gt;-1),$AV60,0)</f>
        <v>0</v>
      </c>
      <c r="BA60">
        <f>IF(AND(SUM(BA$43:BA59)=0,SUM($AY60:AZ60)=0,$AX60&lt;=AZ$78,$AX60&gt;0,$AW60&gt;-1),$AV60,0)</f>
        <v>0</v>
      </c>
      <c r="BB60">
        <f>IF(AND(SUM(BB$43:BB59)=0,SUM($AY60:BA60)=0,$AX60&lt;=BA$78,$AX60&gt;0,$AW60&gt;-1),$AV60,0)</f>
        <v>0</v>
      </c>
      <c r="BC60">
        <f>IF(AND(SUM(BC$43:BC59)=0,SUM($AY60:BB60)=0,$AX60&lt;=BB$78,$AX60&gt;0,$AW60&gt;-1),$AV60,0)</f>
        <v>0</v>
      </c>
      <c r="BD60">
        <f>IF(AND(SUM(BD$43:BD59)=0,SUM($AY60:BC60)=0,$AX60&lt;=BC$78,$AX60&gt;0,$AW60&gt;-1),$AV60,0)</f>
        <v>0</v>
      </c>
      <c r="BE60">
        <f>IF(AND(SUM(BE$43:BE59)=0,SUM($AY60:BD60)=0,$AX60&lt;=BD$78,$AX60&gt;0,$AW60&gt;-1),$AV60,0)</f>
        <v>0</v>
      </c>
      <c r="BF60">
        <f>IF(AND(SUM(BF$43:BF59)=0,SUM($AY60:BE60)=0,$AX60&lt;=BE$78,$AX60&gt;0,$AW60&gt;-1),$AV60,0)</f>
        <v>0</v>
      </c>
      <c r="BG60">
        <f t="shared" si="39"/>
        <v>0</v>
      </c>
      <c r="BH60" s="494">
        <f t="shared" si="40"/>
        <v>0</v>
      </c>
      <c r="BI60">
        <f t="shared" si="41"/>
        <v>0</v>
      </c>
      <c r="BJ60">
        <v>7</v>
      </c>
      <c r="BK60">
        <f>_xlfn.XLOOKUP(BJ60,AR$14:AR$213,AS$14:AS$213,0)</f>
        <v>0</v>
      </c>
      <c r="BL60">
        <f t="shared" si="48"/>
        <v>0</v>
      </c>
      <c r="BM60" s="517"/>
    </row>
    <row r="61" spans="1:65" x14ac:dyDescent="0.25">
      <c r="A61">
        <v>48</v>
      </c>
      <c r="B61" t="str">
        <f>_xlfn.XLOOKUP(A61,Order!R$12:R$859,Order!C$12:C$859,"")</f>
        <v/>
      </c>
      <c r="C61" t="str">
        <f>_xlfn.XLOOKUP(A61,Order!R$12:R$859,Order!S$12:S$859,"")</f>
        <v/>
      </c>
      <c r="D61" t="str">
        <f>_xlfn.XLOOKUP(A61,Order!R$12:R$859,Order!B$12:B$859,"")</f>
        <v/>
      </c>
      <c r="E61" t="str">
        <f>_xlfn.XLOOKUP(A61,Order!R$12:R$859,Order!P$12:P$859,"")</f>
        <v/>
      </c>
      <c r="F61" t="str">
        <f>_xlfn.XLOOKUP(A61,Order!R$12:R$859,Order!T$12:T$859,"")</f>
        <v/>
      </c>
      <c r="G61" t="str">
        <f>_xlfn.XLOOKUP(A61,Order!R$12:R$859,Order!U$12:U$859,"")</f>
        <v/>
      </c>
      <c r="H61" t="str">
        <f>_xlfn.XLOOKUP(A61,Order!R$12:R$859,Order!B$12:B$859,"")</f>
        <v/>
      </c>
      <c r="I61" t="str">
        <f>_xlfn.XLOOKUP(A61,Order!R$12:R$859,Order!V$12:V$859,"")</f>
        <v/>
      </c>
      <c r="J61" t="str">
        <f>IFERROR(RANK(F61,F$14:F$213,1)+COUNTIF(F$14:F61,F61)-1,"")</f>
        <v/>
      </c>
      <c r="L61" t="str">
        <f t="shared" si="22"/>
        <v/>
      </c>
      <c r="M61" t="str" cm="1">
        <f t="array" ref="M61">_xlfn.XLOOKUP(A61,J$14:J260,B$14:B260,"")</f>
        <v/>
      </c>
      <c r="N61" t="str" cm="1">
        <f t="array" ref="N61">_xlfn.XLOOKUP(A61,J$14:J260,C$14:C260,"")</f>
        <v/>
      </c>
      <c r="O61" t="str" cm="1">
        <f t="array" ref="O61">_xlfn.XLOOKUP(A61,J$14:J260,E$14:E260,"")</f>
        <v/>
      </c>
      <c r="P61" t="str" cm="1">
        <f t="array" ref="P61">_xlfn.XLOOKUP(A61,J$14:J260,G$14:G260,"")</f>
        <v/>
      </c>
      <c r="Q61" t="str" cm="1">
        <f t="array" ref="Q61">_xlfn.XLOOKUP(A61,J$14:J260,F$14:F260,"")</f>
        <v/>
      </c>
      <c r="R61" t="str" cm="1">
        <f t="array" ref="R61">_xlfn.XLOOKUP(A61,J$14:J260,I$14:I260,"")</f>
        <v/>
      </c>
      <c r="S61" t="str" cm="1">
        <f t="array" ref="S61">_xlfn.XLOOKUP(A61,J$14:J260,H$14:H260,"")</f>
        <v/>
      </c>
      <c r="T61" t="str" cm="1">
        <f t="array" ref="T61">VLOOKUP(ROW(48:48),L$14:S$163,8)</f>
        <v/>
      </c>
      <c r="U61" t="str" cm="1">
        <f t="array" ref="U61">VLOOKUP(ROW(48:48),L$14:M$163,2)</f>
        <v/>
      </c>
      <c r="V61" t="str" cm="1">
        <f t="array" ref="V61">VLOOKUP(ROW(48:48),L$14:O$163,4)</f>
        <v/>
      </c>
      <c r="W61" t="str" cm="1">
        <f t="array" ref="W61">VLOOKUP(ROW(48:48),L$14:Q$163,6)</f>
        <v/>
      </c>
      <c r="X61" cm="1">
        <f t="array" ref="X61">IFERROR(VLOOKUP(ROW(48:48),L$14:P$213,5)+0,0)</f>
        <v>0</v>
      </c>
      <c r="Y61" t="str" cm="1">
        <f t="array" ref="Y61">VLOOKUP(ROW(48:48),L$14:R$163,7)</f>
        <v/>
      </c>
      <c r="Z61">
        <f>IF(Y61&lt;-2,X61+MAX(Z$14:Z60),0)</f>
        <v>0</v>
      </c>
      <c r="AA61">
        <f>IFERROR(IF(AND(SUM(AA62:AA$214)+X61&lt;=Z$10,W61&lt;=Z$12,Z61=0),X61,0),0)</f>
        <v>0</v>
      </c>
      <c r="AB61">
        <f>IFERROR(IF(AND(W61&lt;=Z$12+10,AB$12-X61&gt;=0,SUM(Z61:AA61)=0,SUM(AB$14:AB60)+X61&lt;AB$12),X61,0),0)</f>
        <v>0</v>
      </c>
      <c r="AD61">
        <f>IF(AND(Y61=-2,SUM(Z61:AB61)=0),X61+MAX(AD$14:AD60),0)</f>
        <v>0</v>
      </c>
      <c r="AE61">
        <f>IFERROR(IF(AND(SUM(AE62:AE$214)+X61&lt;=AD$10,W61&lt;=AD$12,SUM(Z61:AD61)=0),X61,0),0)</f>
        <v>0</v>
      </c>
      <c r="AF61">
        <f>IFERROR(IF(AND(W61&lt;=AD$12+10,AF$12-X61&gt;=0,SUM(Z61:AE61)=0,SUM(AF$14:AF60)+X61&lt;AF$12),X61,0),0)</f>
        <v>0</v>
      </c>
      <c r="AG61">
        <f t="shared" si="42"/>
        <v>0</v>
      </c>
      <c r="AI61">
        <f t="shared" si="43"/>
        <v>0</v>
      </c>
      <c r="AJ61" s="493">
        <f t="shared" si="17"/>
        <v>0</v>
      </c>
      <c r="AK61">
        <f>IF(AJ61=0,0,IF(AJ60=0,MAX(AK$13:AK60)+1,IF(W61&lt;&gt;W60,MAX(AK$14:AK60)+1,IF(ROUNDDOWN(AJ61-0.01,0)=ROUNDDOWN(AJ60-0.01,0),AK60,AK60+1))))</f>
        <v>0</v>
      </c>
      <c r="AL61">
        <f t="shared" si="18"/>
        <v>0</v>
      </c>
      <c r="AM61">
        <f t="shared" si="19"/>
        <v>0</v>
      </c>
      <c r="AN61">
        <f>IF(AM61&gt;AN$12,IF(AK61=AK60,AN60,MAX(AN$13:AN60)+1),0)</f>
        <v>0</v>
      </c>
      <c r="AP61">
        <f t="shared" si="44"/>
        <v>0</v>
      </c>
      <c r="AQ61">
        <f>IF(AP61&gt;0,IF(MAX(AQ62:AQ$214)+AP61&gt;ROUNDUP(MAX(AQ62:AQ$214),0),ROUNDUP(MAX(AQ62:AQ$214),0)+AP61,MAX(AQ62:AQ$214)+AP61),0)</f>
        <v>0</v>
      </c>
      <c r="AR61">
        <f t="shared" si="12"/>
        <v>0</v>
      </c>
      <c r="AS61">
        <f t="shared" si="45"/>
        <v>0</v>
      </c>
      <c r="AT61">
        <f t="shared" si="46"/>
        <v>10</v>
      </c>
      <c r="AV61">
        <v>19</v>
      </c>
      <c r="AW61">
        <f t="shared" si="47"/>
        <v>0</v>
      </c>
      <c r="AX61">
        <f t="shared" si="38"/>
        <v>0</v>
      </c>
      <c r="AY61" s="496">
        <f>IF(AND(AX61=AX$42,SUM(AY$43:AY60)=0,AW61=AZ$42,AX$42&lt;&gt;0),AV61,)</f>
        <v>0</v>
      </c>
      <c r="AZ61">
        <f>IF(AND(SUM(AZ$43:AZ60)=0,SUM($AY61:AY61)=0,$AX61&lt;=AY$78,$AX61&gt;0,$AW61&gt;-1),$AV61,0)</f>
        <v>0</v>
      </c>
      <c r="BA61">
        <f>IF(AND(SUM(BA$43:BA60)=0,SUM($AY61:AZ61)=0,$AX61&lt;=AZ$78,$AX61&gt;0,$AW61&gt;-1),$AV61,0)</f>
        <v>0</v>
      </c>
      <c r="BB61">
        <f>IF(AND(SUM(BB$43:BB60)=0,SUM($AY61:BA61)=0,$AX61&lt;=BA$78,$AX61&gt;0,$AW61&gt;-1),$AV61,0)</f>
        <v>0</v>
      </c>
      <c r="BC61">
        <f>IF(AND(SUM(BC$43:BC60)=0,SUM($AY61:BB61)=0,$AX61&lt;=BB$78,$AX61&gt;0,$AW61&gt;-1),$AV61,0)</f>
        <v>0</v>
      </c>
      <c r="BD61">
        <f>IF(AND(SUM(BD$43:BD60)=0,SUM($AY61:BC61)=0,$AX61&lt;=BC$78,$AX61&gt;0,$AW61&gt;-1),$AV61,0)</f>
        <v>0</v>
      </c>
      <c r="BE61">
        <f>IF(AND(SUM(BE$43:BE60)=0,SUM($AY61:BD61)=0,$AX61&lt;=BD$78,$AX61&gt;0,$AW61&gt;-1),$AV61,0)</f>
        <v>0</v>
      </c>
      <c r="BF61">
        <f>IF(AND(SUM(BF$43:BF60)=0,SUM($AY61:BE61)=0,$AX61&lt;=BE$78,$AX61&gt;0,$AW61&gt;-1),$AV61,0)</f>
        <v>0</v>
      </c>
      <c r="BG61">
        <f t="shared" si="39"/>
        <v>0</v>
      </c>
      <c r="BH61" s="494">
        <f t="shared" si="40"/>
        <v>0</v>
      </c>
      <c r="BI61">
        <f>IF(AND(BG$76=AV61,BH$74&gt;0),AX61,IF(BH$75=AV61,0,BG61))+IF(AND(SUM(AZ61:BF61)=0,AW61=-1),AX61,0)</f>
        <v>0</v>
      </c>
      <c r="BJ61">
        <v>8</v>
      </c>
      <c r="BK61">
        <f t="shared" si="49"/>
        <v>0</v>
      </c>
      <c r="BL61">
        <f t="shared" si="48"/>
        <v>0</v>
      </c>
      <c r="BM61" s="517"/>
    </row>
    <row r="62" spans="1:65" x14ac:dyDescent="0.25">
      <c r="A62">
        <v>49</v>
      </c>
      <c r="B62" t="str">
        <f>_xlfn.XLOOKUP(A62,Order!R$12:R$859,Order!C$12:C$859,"")</f>
        <v/>
      </c>
      <c r="C62" t="str">
        <f>_xlfn.XLOOKUP(A62,Order!R$12:R$859,Order!S$12:S$859,"")</f>
        <v/>
      </c>
      <c r="D62" t="str">
        <f>_xlfn.XLOOKUP(A62,Order!R$12:R$859,Order!B$12:B$859,"")</f>
        <v/>
      </c>
      <c r="E62" t="str">
        <f>_xlfn.XLOOKUP(A62,Order!R$12:R$859,Order!P$12:P$859,"")</f>
        <v/>
      </c>
      <c r="F62" t="str">
        <f>_xlfn.XLOOKUP(A62,Order!R$12:R$859,Order!T$12:T$859,"")</f>
        <v/>
      </c>
      <c r="G62" t="str">
        <f>_xlfn.XLOOKUP(A62,Order!R$12:R$859,Order!U$12:U$859,"")</f>
        <v/>
      </c>
      <c r="H62" t="str">
        <f>_xlfn.XLOOKUP(A62,Order!R$12:R$859,Order!B$12:B$859,"")</f>
        <v/>
      </c>
      <c r="I62" t="str">
        <f>_xlfn.XLOOKUP(A62,Order!R$12:R$859,Order!V$12:V$859,"")</f>
        <v/>
      </c>
      <c r="J62" t="str">
        <f>IFERROR(RANK(F62,F$14:F$213,1)+COUNTIF(F$14:F62,F62)-1,"")</f>
        <v/>
      </c>
      <c r="L62" t="str">
        <f t="shared" si="22"/>
        <v/>
      </c>
      <c r="M62" t="str" cm="1">
        <f t="array" ref="M62">_xlfn.XLOOKUP(A62,J$14:J261,B$14:B261,"")</f>
        <v/>
      </c>
      <c r="N62" t="str" cm="1">
        <f t="array" ref="N62">_xlfn.XLOOKUP(A62,J$14:J261,C$14:C261,"")</f>
        <v/>
      </c>
      <c r="O62" t="str" cm="1">
        <f t="array" ref="O62">_xlfn.XLOOKUP(A62,J$14:J261,E$14:E261,"")</f>
        <v/>
      </c>
      <c r="P62" t="str" cm="1">
        <f t="array" ref="P62">_xlfn.XLOOKUP(A62,J$14:J261,G$14:G261,"")</f>
        <v/>
      </c>
      <c r="Q62" t="str" cm="1">
        <f t="array" ref="Q62">_xlfn.XLOOKUP(A62,J$14:J261,F$14:F261,"")</f>
        <v/>
      </c>
      <c r="R62" t="str" cm="1">
        <f t="array" ref="R62">_xlfn.XLOOKUP(A62,J$14:J261,I$14:I261,"")</f>
        <v/>
      </c>
      <c r="S62" t="str" cm="1">
        <f t="array" ref="S62">_xlfn.XLOOKUP(A62,J$14:J261,H$14:H261,"")</f>
        <v/>
      </c>
      <c r="T62" t="str" cm="1">
        <f t="array" ref="T62">VLOOKUP(ROW(49:49),L$14:S$163,8)</f>
        <v/>
      </c>
      <c r="U62" t="str" cm="1">
        <f t="array" ref="U62">VLOOKUP(ROW(49:49),L$14:M$163,2)</f>
        <v/>
      </c>
      <c r="V62" t="str" cm="1">
        <f t="array" ref="V62">VLOOKUP(ROW(49:49),L$14:O$163,4)</f>
        <v/>
      </c>
      <c r="W62" t="str" cm="1">
        <f t="array" ref="W62">VLOOKUP(ROW(49:49),L$14:Q$163,6)</f>
        <v/>
      </c>
      <c r="X62" cm="1">
        <f t="array" ref="X62">IFERROR(VLOOKUP(ROW(49:49),L$14:P$213,5)+0,0)</f>
        <v>0</v>
      </c>
      <c r="Y62" t="str" cm="1">
        <f t="array" ref="Y62">VLOOKUP(ROW(49:49),L$14:R$163,7)</f>
        <v/>
      </c>
      <c r="Z62">
        <f>IF(Y62&lt;-2,X62+MAX(Z$14:Z61),0)</f>
        <v>0</v>
      </c>
      <c r="AA62">
        <f>IFERROR(IF(AND(SUM(AA63:AA$214)+X62&lt;=Z$10,W62&lt;=Z$12,Z62=0),X62,0),0)</f>
        <v>0</v>
      </c>
      <c r="AB62">
        <f>IFERROR(IF(AND(W62&lt;=Z$12+10,AB$12-X62&gt;=0,SUM(Z62:AA62)=0,SUM(AB$14:AB61)+X62&lt;AB$12),X62,0),0)</f>
        <v>0</v>
      </c>
      <c r="AD62">
        <f>IF(AND(Y62=-2,SUM(Z62:AB62)=0),X62+MAX(AD$14:AD61),0)</f>
        <v>0</v>
      </c>
      <c r="AE62">
        <f>IFERROR(IF(AND(SUM(AE63:AE$214)+X62&lt;=AD$10,W62&lt;=AD$12,SUM(Z62:AD62)=0),X62,0),0)</f>
        <v>0</v>
      </c>
      <c r="AF62">
        <f>IFERROR(IF(AND(W62&lt;=AD$12+10,AF$12-X62&gt;=0,SUM(Z62:AE62)=0,SUM(AF$14:AF61)+X62&lt;AF$12),X62,0),0)</f>
        <v>0</v>
      </c>
      <c r="AG62">
        <f t="shared" si="42"/>
        <v>0</v>
      </c>
      <c r="AI62">
        <f t="shared" si="43"/>
        <v>0</v>
      </c>
      <c r="AJ62" s="493">
        <f t="shared" si="17"/>
        <v>0</v>
      </c>
      <c r="AK62">
        <f>IF(AJ62=0,0,IF(AJ61=0,MAX(AK$13:AK61)+1,IF(W62&lt;&gt;W61,MAX(AK$14:AK61)+1,IF(ROUNDDOWN(AJ62-0.01,0)=ROUNDDOWN(AJ61-0.01,0),AK61,AK61+1))))</f>
        <v>0</v>
      </c>
      <c r="AL62">
        <f t="shared" si="18"/>
        <v>0</v>
      </c>
      <c r="AM62">
        <f t="shared" si="19"/>
        <v>0</v>
      </c>
      <c r="AN62">
        <f>IF(AM62&gt;AN$12,IF(AK62=AK61,AN61,MAX(AN$13:AN61)+1),0)</f>
        <v>0</v>
      </c>
      <c r="AP62">
        <f t="shared" si="44"/>
        <v>0</v>
      </c>
      <c r="AQ62">
        <f>IF(AP62&gt;0,IF(MAX(AQ63:AQ$214)+AP62&gt;ROUNDUP(MAX(AQ63:AQ$214),0),ROUNDUP(MAX(AQ63:AQ$214),0)+AP62,MAX(AQ63:AQ$214)+AP62),0)</f>
        <v>0</v>
      </c>
      <c r="AR62">
        <f t="shared" si="12"/>
        <v>0</v>
      </c>
      <c r="AS62">
        <f t="shared" si="45"/>
        <v>0</v>
      </c>
      <c r="AT62">
        <f t="shared" si="46"/>
        <v>10</v>
      </c>
      <c r="AV62">
        <v>20</v>
      </c>
      <c r="AW62">
        <f t="shared" si="47"/>
        <v>0</v>
      </c>
      <c r="AX62">
        <f t="shared" si="38"/>
        <v>0</v>
      </c>
      <c r="AY62" s="496">
        <f>IF(AND(AX62=AX$42,SUM(AY$43:AY61)=0,AW62=AZ$42,AX$42&lt;&gt;0),AV62,)</f>
        <v>0</v>
      </c>
      <c r="AZ62">
        <f>IF(AND(SUM(AZ$43:AZ61)=0,SUM($AY62:AY62)=0,$AX62&lt;=AY$78,$AX62&gt;0,$AW62&gt;-1),$AV62,0)</f>
        <v>0</v>
      </c>
      <c r="BA62">
        <f>IF(AND(SUM(BA$43:BA61)=0,SUM($AY62:AZ62)=0,$AX62&lt;=AZ$78,$AX62&gt;0,$AW62&gt;-1),$AV62,0)</f>
        <v>0</v>
      </c>
      <c r="BB62">
        <f>IF(AND(SUM(BB$43:BB61)=0,SUM($AY62:BA62)=0,$AX62&lt;=BA$78,$AX62&gt;0,$AW62&gt;-1),$AV62,0)</f>
        <v>0</v>
      </c>
      <c r="BC62">
        <f>IF(AND(SUM(BC$43:BC61)=0,SUM($AY62:BB62)=0,$AX62&lt;=BB$78,$AX62&gt;0,$AW62&gt;-1),$AV62,0)</f>
        <v>0</v>
      </c>
      <c r="BD62">
        <f>IF(AND(SUM(BD$43:BD61)=0,SUM($AY62:BC62)=0,$AX62&lt;=BC$78,$AX62&gt;0,$AW62&gt;-1),$AV62,0)</f>
        <v>0</v>
      </c>
      <c r="BE62">
        <f>IF(AND(SUM(BE$43:BE61)=0,SUM($AY62:BD62)=0,$AX62&lt;=BD$78,$AX62&gt;0,$AW62&gt;-1),$AV62,0)</f>
        <v>0</v>
      </c>
      <c r="BF62">
        <f>IF(AND(SUM(BF$43:BF61)=0,SUM($AY62:BE62)=0,$AX62&lt;=BE$78,$AX62&gt;0,$AW62&gt;-1),$AV62,0)</f>
        <v>0</v>
      </c>
      <c r="BG62">
        <f t="shared" si="39"/>
        <v>0</v>
      </c>
      <c r="BH62" s="494">
        <f t="shared" si="40"/>
        <v>0</v>
      </c>
      <c r="BI62">
        <f t="shared" si="41"/>
        <v>0</v>
      </c>
      <c r="BJ62">
        <v>9</v>
      </c>
      <c r="BK62">
        <f t="shared" si="49"/>
        <v>0</v>
      </c>
      <c r="BL62">
        <f t="shared" si="48"/>
        <v>0</v>
      </c>
      <c r="BM62" s="517"/>
    </row>
    <row r="63" spans="1:65" x14ac:dyDescent="0.25">
      <c r="A63">
        <v>50</v>
      </c>
      <c r="B63" t="str">
        <f>_xlfn.XLOOKUP(A63,Order!R$12:R$859,Order!C$12:C$859,"")</f>
        <v/>
      </c>
      <c r="C63" t="str">
        <f>_xlfn.XLOOKUP(A63,Order!R$12:R$859,Order!S$12:S$859,"")</f>
        <v/>
      </c>
      <c r="D63" t="str">
        <f>_xlfn.XLOOKUP(A63,Order!R$12:R$859,Order!B$12:B$859,"")</f>
        <v/>
      </c>
      <c r="E63" t="str">
        <f>_xlfn.XLOOKUP(A63,Order!R$12:R$859,Order!P$12:P$859,"")</f>
        <v/>
      </c>
      <c r="F63" t="str">
        <f>_xlfn.XLOOKUP(A63,Order!R$12:R$859,Order!T$12:T$859,"")</f>
        <v/>
      </c>
      <c r="G63" t="str">
        <f>_xlfn.XLOOKUP(A63,Order!R$12:R$859,Order!U$12:U$859,"")</f>
        <v/>
      </c>
      <c r="H63" t="str">
        <f>_xlfn.XLOOKUP(A63,Order!R$12:R$859,Order!B$12:B$859,"")</f>
        <v/>
      </c>
      <c r="I63" t="str">
        <f>_xlfn.XLOOKUP(A63,Order!R$12:R$859,Order!V$12:V$859,"")</f>
        <v/>
      </c>
      <c r="J63" t="str">
        <f>IFERROR(RANK(F63,F$14:F$213,1)+COUNTIF(F$14:F63,F63)-1,"")</f>
        <v/>
      </c>
      <c r="L63" t="str">
        <f t="shared" si="22"/>
        <v/>
      </c>
      <c r="M63" t="str" cm="1">
        <f t="array" ref="M63">_xlfn.XLOOKUP(A63,J$14:J262,B$14:B262,"")</f>
        <v/>
      </c>
      <c r="N63" t="str" cm="1">
        <f t="array" ref="N63">_xlfn.XLOOKUP(A63,J$14:J262,C$14:C262,"")</f>
        <v/>
      </c>
      <c r="O63" t="str" cm="1">
        <f t="array" ref="O63">_xlfn.XLOOKUP(A63,J$14:J262,E$14:E262,"")</f>
        <v/>
      </c>
      <c r="P63" t="str" cm="1">
        <f t="array" ref="P63">_xlfn.XLOOKUP(A63,J$14:J262,G$14:G262,"")</f>
        <v/>
      </c>
      <c r="Q63" t="str" cm="1">
        <f t="array" ref="Q63">_xlfn.XLOOKUP(A63,J$14:J262,F$14:F262,"")</f>
        <v/>
      </c>
      <c r="R63" t="str" cm="1">
        <f t="array" ref="R63">_xlfn.XLOOKUP(A63,J$14:J262,I$14:I262,"")</f>
        <v/>
      </c>
      <c r="S63" t="str" cm="1">
        <f t="array" ref="S63">_xlfn.XLOOKUP(A63,J$14:J262,H$14:H262,"")</f>
        <v/>
      </c>
      <c r="T63" t="str" cm="1">
        <f t="array" ref="T63">VLOOKUP(ROW(50:50),L$14:S$163,8)</f>
        <v/>
      </c>
      <c r="U63" t="str" cm="1">
        <f t="array" ref="U63">VLOOKUP(ROW(50:50),L$14:M$163,2)</f>
        <v/>
      </c>
      <c r="V63" t="str" cm="1">
        <f t="array" ref="V63">VLOOKUP(ROW(50:50),L$14:O$163,4)</f>
        <v/>
      </c>
      <c r="W63" t="str" cm="1">
        <f t="array" ref="W63">VLOOKUP(ROW(50:50),L$14:Q$163,6)</f>
        <v/>
      </c>
      <c r="X63" cm="1">
        <f t="array" ref="X63">IFERROR(VLOOKUP(ROW(50:50),L$14:P$213,5)+0,0)</f>
        <v>0</v>
      </c>
      <c r="Y63" t="str" cm="1">
        <f t="array" ref="Y63">VLOOKUP(ROW(50:50),L$14:R$163,7)</f>
        <v/>
      </c>
      <c r="Z63">
        <f>IF(Y63&lt;-2,X63+MAX(Z$14:Z62),0)</f>
        <v>0</v>
      </c>
      <c r="AA63">
        <f>IFERROR(IF(AND(SUM(AA64:AA$214)+X63&lt;=Z$10,W63&lt;=Z$12,Z63=0),X63,0),0)</f>
        <v>0</v>
      </c>
      <c r="AB63">
        <f>IFERROR(IF(AND(W63&lt;=Z$12+10,AB$12-X63&gt;=0,SUM(Z63:AA63)=0,SUM(AB$14:AB62)+X63&lt;AB$12),X63,0),0)</f>
        <v>0</v>
      </c>
      <c r="AD63">
        <f>IF(AND(Y63=-2,SUM(Z63:AB63)=0),X63+MAX(AD$14:AD62),0)</f>
        <v>0</v>
      </c>
      <c r="AE63">
        <f>IFERROR(IF(AND(SUM(AE64:AE$214)+X63&lt;=AD$10,W63&lt;=AD$12,SUM(Z63:AD63)=0),X63,0),0)</f>
        <v>0</v>
      </c>
      <c r="AF63">
        <f>IFERROR(IF(AND(W63&lt;=AD$12+10,AF$12-X63&gt;=0,SUM(Z63:AE63)=0,SUM(AF$14:AF62)+X63&lt;AF$12),X63,0),0)</f>
        <v>0</v>
      </c>
      <c r="AG63">
        <f t="shared" si="42"/>
        <v>0</v>
      </c>
      <c r="AI63">
        <f t="shared" si="43"/>
        <v>0</v>
      </c>
      <c r="AJ63" s="493">
        <f t="shared" si="17"/>
        <v>0</v>
      </c>
      <c r="AK63">
        <f>IF(AJ63=0,0,IF(AJ62=0,MAX(AK$13:AK62)+1,IF(W63&lt;&gt;W62,MAX(AK$14:AK62)+1,IF(ROUNDDOWN(AJ63-0.01,0)=ROUNDDOWN(AJ62-0.01,0),AK62,AK62+1))))</f>
        <v>0</v>
      </c>
      <c r="AL63">
        <f t="shared" si="18"/>
        <v>0</v>
      </c>
      <c r="AM63">
        <f t="shared" si="19"/>
        <v>0</v>
      </c>
      <c r="AN63">
        <f>IF(AM63&gt;AN$12,IF(AK63=AK62,AN62,MAX(AN$13:AN62)+1),0)</f>
        <v>0</v>
      </c>
      <c r="AP63">
        <f t="shared" si="44"/>
        <v>0</v>
      </c>
      <c r="AQ63">
        <f>IF(AP63&gt;0,IF(MAX(AQ64:AQ$214)+AP63&gt;ROUNDUP(MAX(AQ64:AQ$214),0),ROUNDUP(MAX(AQ64:AQ$214),0)+AP63,MAX(AQ64:AQ$214)+AP63),0)</f>
        <v>0</v>
      </c>
      <c r="AR63">
        <f t="shared" si="12"/>
        <v>0</v>
      </c>
      <c r="AS63">
        <f t="shared" si="45"/>
        <v>0</v>
      </c>
      <c r="AT63">
        <f t="shared" si="46"/>
        <v>10</v>
      </c>
      <c r="AV63">
        <v>21</v>
      </c>
      <c r="AW63">
        <f t="shared" si="47"/>
        <v>0</v>
      </c>
      <c r="AX63">
        <f t="shared" si="38"/>
        <v>0</v>
      </c>
      <c r="AY63" s="496">
        <f>IF(AND(AX63=AX$42,SUM(AY$43:AY62)=0,AW63=AZ$42,AX$42&lt;&gt;0),AV63,)</f>
        <v>0</v>
      </c>
      <c r="AZ63">
        <f>IF(AND(SUM(AZ$43:AZ62)=0,SUM($AY63:AY63)=0,$AX63&lt;=AY$78,$AX63&gt;0,$AW63&gt;-1),$AV63,0)</f>
        <v>0</v>
      </c>
      <c r="BA63">
        <f>IF(AND(SUM(BA$43:BA62)=0,SUM($AY63:AZ63)=0,$AX63&lt;=AZ$78,$AX63&gt;0,$AW63&gt;-1),$AV63,0)</f>
        <v>0</v>
      </c>
      <c r="BB63">
        <f>IF(AND(SUM(BB$43:BB62)=0,SUM($AY63:BA63)=0,$AX63&lt;=BA$78,$AX63&gt;0,$AW63&gt;-1),$AV63,0)</f>
        <v>0</v>
      </c>
      <c r="BC63">
        <f>IF(AND(SUM(BC$43:BC62)=0,SUM($AY63:BB63)=0,$AX63&lt;=BB$78,$AX63&gt;0,$AW63&gt;-1),$AV63,0)</f>
        <v>0</v>
      </c>
      <c r="BD63">
        <f>IF(AND(SUM(BD$43:BD62)=0,SUM($AY63:BC63)=0,$AX63&lt;=BC$78,$AX63&gt;0,$AW63&gt;-1),$AV63,0)</f>
        <v>0</v>
      </c>
      <c r="BE63">
        <f>IF(AND(SUM(BE$43:BE62)=0,SUM($AY63:BD63)=0,$AX63&lt;=BD$78,$AX63&gt;0,$AW63&gt;-1),$AV63,0)</f>
        <v>0</v>
      </c>
      <c r="BF63">
        <f>IF(AND(SUM(BF$43:BF62)=0,SUM($AY63:BE63)=0,$AX63&lt;=BE$78,$AX63&gt;0,$AW63&gt;-1),$AV63,0)</f>
        <v>0</v>
      </c>
      <c r="BG63">
        <f t="shared" si="39"/>
        <v>0</v>
      </c>
      <c r="BH63" s="494">
        <f t="shared" si="40"/>
        <v>0</v>
      </c>
      <c r="BI63">
        <f t="shared" si="41"/>
        <v>0</v>
      </c>
      <c r="BJ63">
        <v>10</v>
      </c>
      <c r="BK63">
        <f t="shared" si="49"/>
        <v>0</v>
      </c>
      <c r="BL63">
        <f t="shared" si="48"/>
        <v>0</v>
      </c>
      <c r="BM63" s="517"/>
    </row>
    <row r="64" spans="1:65" x14ac:dyDescent="0.25">
      <c r="A64">
        <v>51</v>
      </c>
      <c r="B64" t="str">
        <f>_xlfn.XLOOKUP(A64,Order!R$12:R$859,Order!C$12:C$859,"")</f>
        <v/>
      </c>
      <c r="C64" t="str">
        <f>_xlfn.XLOOKUP(A64,Order!R$12:R$859,Order!S$12:S$859,"")</f>
        <v/>
      </c>
      <c r="D64" t="str">
        <f>_xlfn.XLOOKUP(A64,Order!R$12:R$859,Order!B$12:B$859,"")</f>
        <v/>
      </c>
      <c r="E64" t="str">
        <f>_xlfn.XLOOKUP(A64,Order!R$12:R$859,Order!P$12:P$859,"")</f>
        <v/>
      </c>
      <c r="F64" t="str">
        <f>_xlfn.XLOOKUP(A64,Order!R$12:R$859,Order!T$12:T$859,"")</f>
        <v/>
      </c>
      <c r="G64" t="str">
        <f>_xlfn.XLOOKUP(A64,Order!R$12:R$859,Order!U$12:U$859,"")</f>
        <v/>
      </c>
      <c r="H64" t="str">
        <f>_xlfn.XLOOKUP(A64,Order!R$12:R$859,Order!B$12:B$859,"")</f>
        <v/>
      </c>
      <c r="I64" t="str">
        <f>_xlfn.XLOOKUP(A64,Order!R$12:R$859,Order!V$12:V$859,"")</f>
        <v/>
      </c>
      <c r="J64" t="str">
        <f>IFERROR(RANK(F64,F$14:F$213,1)+COUNTIF(F$14:F64,F64)-1,"")</f>
        <v/>
      </c>
      <c r="L64" t="str">
        <f t="shared" si="22"/>
        <v/>
      </c>
      <c r="M64" t="str" cm="1">
        <f t="array" ref="M64">_xlfn.XLOOKUP(A64,J$14:J263,B$14:B263,"")</f>
        <v/>
      </c>
      <c r="N64" t="str" cm="1">
        <f t="array" ref="N64">_xlfn.XLOOKUP(A64,J$14:J263,C$14:C263,"")</f>
        <v/>
      </c>
      <c r="O64" t="str" cm="1">
        <f t="array" ref="O64">_xlfn.XLOOKUP(A64,J$14:J263,E$14:E263,"")</f>
        <v/>
      </c>
      <c r="P64" t="str" cm="1">
        <f t="array" ref="P64">_xlfn.XLOOKUP(A64,J$14:J263,G$14:G263,"")</f>
        <v/>
      </c>
      <c r="Q64" t="str" cm="1">
        <f t="array" ref="Q64">_xlfn.XLOOKUP(A64,J$14:J263,F$14:F263,"")</f>
        <v/>
      </c>
      <c r="R64" t="str" cm="1">
        <f t="array" ref="R64">_xlfn.XLOOKUP(A64,J$14:J263,I$14:I263,"")</f>
        <v/>
      </c>
      <c r="S64" t="str" cm="1">
        <f t="array" ref="S64">_xlfn.XLOOKUP(A64,J$14:J263,H$14:H263,"")</f>
        <v/>
      </c>
      <c r="T64" t="str" cm="1">
        <f t="array" ref="T64">VLOOKUP(ROW(51:51),L$14:S$163,8)</f>
        <v/>
      </c>
      <c r="U64" t="str" cm="1">
        <f t="array" ref="U64">VLOOKUP(ROW(51:51),L$14:M$163,2)</f>
        <v/>
      </c>
      <c r="V64" t="str" cm="1">
        <f t="array" ref="V64">VLOOKUP(ROW(51:51),L$14:O$163,4)</f>
        <v/>
      </c>
      <c r="W64" t="str" cm="1">
        <f t="array" ref="W64">VLOOKUP(ROW(51:51),L$14:Q$163,6)</f>
        <v/>
      </c>
      <c r="X64" cm="1">
        <f t="array" ref="X64">IFERROR(VLOOKUP(ROW(51:51),L$14:P$213,5)+0,0)</f>
        <v>0</v>
      </c>
      <c r="Y64" t="str" cm="1">
        <f t="array" ref="Y64">VLOOKUP(ROW(51:51),L$14:R$163,7)</f>
        <v/>
      </c>
      <c r="Z64">
        <f>IF(Y64&lt;-2,X64+MAX(Z$14:Z63),0)</f>
        <v>0</v>
      </c>
      <c r="AA64">
        <f>IFERROR(IF(AND(SUM(AA65:AA$214)+X64&lt;=Z$10,W64&lt;=Z$12,Z64=0),X64,0),0)</f>
        <v>0</v>
      </c>
      <c r="AB64">
        <f>IFERROR(IF(AND(W64&lt;=Z$12+10,AB$12-X64&gt;=0,SUM(Z64:AA64)=0,SUM(AB$14:AB63)+X64&lt;AB$12),X64,0),0)</f>
        <v>0</v>
      </c>
      <c r="AD64">
        <f>IF(AND(Y64=-2,SUM(Z64:AB64)=0),X64+MAX(AD$14:AD63),0)</f>
        <v>0</v>
      </c>
      <c r="AE64">
        <f>IFERROR(IF(AND(SUM(AE65:AE$214)+X64&lt;=AD$10,W64&lt;=AD$12,SUM(Z64:AD64)=0),X64,0),0)</f>
        <v>0</v>
      </c>
      <c r="AF64">
        <f>IFERROR(IF(AND(W64&lt;=AD$12+10,AF$12-X64&gt;=0,SUM(Z64:AE64)=0,SUM(AF$14:AF63)+X64&lt;AF$12),X64,0),0)</f>
        <v>0</v>
      </c>
      <c r="AG64">
        <f t="shared" si="42"/>
        <v>0</v>
      </c>
      <c r="AI64">
        <f t="shared" si="43"/>
        <v>0</v>
      </c>
      <c r="AJ64" s="493">
        <f t="shared" si="17"/>
        <v>0</v>
      </c>
      <c r="AK64">
        <f>IF(AJ64=0,0,IF(AJ63=0,MAX(AK$13:AK63)+1,IF(W64&lt;&gt;W63,MAX(AK$14:AK63)+1,IF(ROUNDDOWN(AJ64-0.01,0)=ROUNDDOWN(AJ63-0.01,0),AK63,AK63+1))))</f>
        <v>0</v>
      </c>
      <c r="AL64">
        <f t="shared" si="18"/>
        <v>0</v>
      </c>
      <c r="AM64">
        <f t="shared" si="19"/>
        <v>0</v>
      </c>
      <c r="AN64">
        <f>IF(AM64&gt;AN$12,IF(AK64=AK63,AN63,MAX(AN$13:AN63)+1),0)</f>
        <v>0</v>
      </c>
      <c r="AP64">
        <f t="shared" si="44"/>
        <v>0</v>
      </c>
      <c r="AQ64">
        <f>IF(AP64&gt;0,IF(MAX(AQ65:AQ$214)+AP64&gt;ROUNDUP(MAX(AQ65:AQ$214),0),ROUNDUP(MAX(AQ65:AQ$214),0)+AP64,MAX(AQ65:AQ$214)+AP64),0)</f>
        <v>0</v>
      </c>
      <c r="AR64">
        <f t="shared" si="12"/>
        <v>0</v>
      </c>
      <c r="AS64">
        <f t="shared" si="45"/>
        <v>0</v>
      </c>
      <c r="AT64">
        <f t="shared" si="46"/>
        <v>10</v>
      </c>
      <c r="AV64">
        <v>22</v>
      </c>
      <c r="AW64">
        <f t="shared" si="47"/>
        <v>0</v>
      </c>
      <c r="AX64">
        <f t="shared" si="38"/>
        <v>0</v>
      </c>
      <c r="AY64" s="496">
        <f>IF(AND(AX64=AX$42,SUM(AY$43:AY63)=0,AW64=AZ$42,AX$42&lt;&gt;0),AV64,)</f>
        <v>0</v>
      </c>
      <c r="AZ64">
        <f>IF(AND(SUM(AZ$43:AZ63)=0,SUM($AY64:AY64)=0,$AX64&lt;=AY$78,$AX64&gt;0,$AW64&gt;-1),$AV64,0)</f>
        <v>0</v>
      </c>
      <c r="BA64">
        <f>IF(AND(SUM(BA$43:BA63)=0,SUM($AY64:AZ64)=0,$AX64&lt;=AZ$78,$AX64&gt;0,$AW64&gt;-1),$AV64,0)</f>
        <v>0</v>
      </c>
      <c r="BB64">
        <f>IF(AND(SUM(BB$43:BB63)=0,SUM($AY64:BA64)=0,$AX64&lt;=BA$78,$AX64&gt;0,$AW64&gt;-1),$AV64,0)</f>
        <v>0</v>
      </c>
      <c r="BC64">
        <f>IF(AND(SUM(BC$43:BC63)=0,SUM($AY64:BB64)=0,$AX64&lt;=BB$78,$AX64&gt;0,$AW64&gt;-1),$AV64,0)</f>
        <v>0</v>
      </c>
      <c r="BD64">
        <f>IF(AND(SUM(BD$43:BD63)=0,SUM($AY64:BC64)=0,$AX64&lt;=BC$78,$AX64&gt;0,$AW64&gt;-1),$AV64,0)</f>
        <v>0</v>
      </c>
      <c r="BE64">
        <f>IF(AND(SUM(BE$43:BE63)=0,SUM($AY64:BD64)=0,$AX64&lt;=BD$78,$AX64&gt;0,$AW64&gt;-1),$AV64,0)</f>
        <v>0</v>
      </c>
      <c r="BF64">
        <f>IF(AND(SUM(BF$43:BF63)=0,SUM($AY64:BE64)=0,$AX64&lt;=BE$78,$AX64&gt;0,$AW64&gt;-1),$AV64,0)</f>
        <v>0</v>
      </c>
      <c r="BG64">
        <f t="shared" si="39"/>
        <v>0</v>
      </c>
      <c r="BH64" s="494">
        <f t="shared" si="40"/>
        <v>0</v>
      </c>
      <c r="BI64">
        <f t="shared" si="41"/>
        <v>0</v>
      </c>
      <c r="BJ64">
        <v>11</v>
      </c>
      <c r="BK64">
        <f t="shared" si="49"/>
        <v>0</v>
      </c>
      <c r="BL64">
        <f t="shared" si="48"/>
        <v>0</v>
      </c>
      <c r="BM64" s="517"/>
    </row>
    <row r="65" spans="1:65" x14ac:dyDescent="0.25">
      <c r="A65">
        <v>52</v>
      </c>
      <c r="B65" t="str">
        <f>_xlfn.XLOOKUP(A65,Order!R$12:R$859,Order!C$12:C$859,"")</f>
        <v/>
      </c>
      <c r="C65" t="str">
        <f>_xlfn.XLOOKUP(A65,Order!R$12:R$859,Order!S$12:S$859,"")</f>
        <v/>
      </c>
      <c r="D65" t="str">
        <f>_xlfn.XLOOKUP(A65,Order!R$12:R$859,Order!B$12:B$859,"")</f>
        <v/>
      </c>
      <c r="E65" t="str">
        <f>_xlfn.XLOOKUP(A65,Order!R$12:R$859,Order!P$12:P$859,"")</f>
        <v/>
      </c>
      <c r="F65" t="str">
        <f>_xlfn.XLOOKUP(A65,Order!R$12:R$859,Order!T$12:T$859,"")</f>
        <v/>
      </c>
      <c r="G65" t="str">
        <f>_xlfn.XLOOKUP(A65,Order!R$12:R$859,Order!U$12:U$859,"")</f>
        <v/>
      </c>
      <c r="H65" t="str">
        <f>_xlfn.XLOOKUP(A65,Order!R$12:R$859,Order!B$12:B$859,"")</f>
        <v/>
      </c>
      <c r="I65" t="str">
        <f>_xlfn.XLOOKUP(A65,Order!R$12:R$859,Order!V$12:V$859,"")</f>
        <v/>
      </c>
      <c r="J65" t="str">
        <f>IFERROR(RANK(F65,F$14:F$213,1)+COUNTIF(F$14:F65,F65)-1,"")</f>
        <v/>
      </c>
      <c r="L65" t="str">
        <f t="shared" si="22"/>
        <v/>
      </c>
      <c r="M65" t="str" cm="1">
        <f t="array" ref="M65">_xlfn.XLOOKUP(A65,J$14:J264,B$14:B264,"")</f>
        <v/>
      </c>
      <c r="N65" t="str" cm="1">
        <f t="array" ref="N65">_xlfn.XLOOKUP(A65,J$14:J264,C$14:C264,"")</f>
        <v/>
      </c>
      <c r="O65" t="str" cm="1">
        <f t="array" ref="O65">_xlfn.XLOOKUP(A65,J$14:J264,E$14:E264,"")</f>
        <v/>
      </c>
      <c r="P65" t="str" cm="1">
        <f t="array" ref="P65">_xlfn.XLOOKUP(A65,J$14:J264,G$14:G264,"")</f>
        <v/>
      </c>
      <c r="Q65" t="str" cm="1">
        <f t="array" ref="Q65">_xlfn.XLOOKUP(A65,J$14:J264,F$14:F264,"")</f>
        <v/>
      </c>
      <c r="R65" t="str" cm="1">
        <f t="array" ref="R65">_xlfn.XLOOKUP(A65,J$14:J264,I$14:I264,"")</f>
        <v/>
      </c>
      <c r="S65" t="str" cm="1">
        <f t="array" ref="S65">_xlfn.XLOOKUP(A65,J$14:J264,H$14:H264,"")</f>
        <v/>
      </c>
      <c r="T65" t="str" cm="1">
        <f t="array" ref="T65">VLOOKUP(ROW(52:52),L$14:S$163,8)</f>
        <v/>
      </c>
      <c r="U65" t="str" cm="1">
        <f t="array" ref="U65">VLOOKUP(ROW(52:52),L$14:M$163,2)</f>
        <v/>
      </c>
      <c r="V65" t="str" cm="1">
        <f t="array" ref="V65">VLOOKUP(ROW(52:52),L$14:O$163,4)</f>
        <v/>
      </c>
      <c r="W65" t="str" cm="1">
        <f t="array" ref="W65">VLOOKUP(ROW(52:52),L$14:Q$163,6)</f>
        <v/>
      </c>
      <c r="X65" cm="1">
        <f t="array" ref="X65">IFERROR(VLOOKUP(ROW(52:52),L$14:P$213,5)+0,0)</f>
        <v>0</v>
      </c>
      <c r="Y65" t="str" cm="1">
        <f t="array" ref="Y65">VLOOKUP(ROW(52:52),L$14:R$163,7)</f>
        <v/>
      </c>
      <c r="Z65">
        <f>IF(Y65&lt;-2,X65+MAX(Z$14:Z64),0)</f>
        <v>0</v>
      </c>
      <c r="AA65">
        <f>IFERROR(IF(AND(SUM(AA66:AA$214)+X65&lt;=Z$10,W65&lt;=Z$12,Z65=0),X65,0),0)</f>
        <v>0</v>
      </c>
      <c r="AB65">
        <f>IFERROR(IF(AND(W65&lt;=Z$12+10,AB$12-X65&gt;=0,SUM(Z65:AA65)=0,SUM(AB$14:AB64)+X65&lt;AB$12),X65,0),0)</f>
        <v>0</v>
      </c>
      <c r="AD65">
        <f>IF(AND(Y65=-2,SUM(Z65:AB65)=0),X65+MAX(AD$14:AD64),0)</f>
        <v>0</v>
      </c>
      <c r="AE65">
        <f>IFERROR(IF(AND(SUM(AE66:AE$214)+X65&lt;=AD$10,W65&lt;=AD$12,SUM(Z65:AD65)=0),X65,0),0)</f>
        <v>0</v>
      </c>
      <c r="AF65">
        <f>IFERROR(IF(AND(W65&lt;=AD$12+10,AF$12-X65&gt;=0,SUM(Z65:AE65)=0,SUM(AF$14:AF64)+X65&lt;AF$12),X65,0),0)</f>
        <v>0</v>
      </c>
      <c r="AG65">
        <f t="shared" si="42"/>
        <v>0</v>
      </c>
      <c r="AI65">
        <f t="shared" si="43"/>
        <v>0</v>
      </c>
      <c r="AJ65" s="493">
        <f t="shared" si="17"/>
        <v>0</v>
      </c>
      <c r="AK65">
        <f>IF(AJ65=0,0,IF(AJ64=0,MAX(AK$13:AK64)+1,IF(W65&lt;&gt;W64,MAX(AK$14:AK64)+1,IF(ROUNDDOWN(AJ65-0.01,0)=ROUNDDOWN(AJ64-0.01,0),AK64,AK64+1))))</f>
        <v>0</v>
      </c>
      <c r="AL65">
        <f t="shared" si="18"/>
        <v>0</v>
      </c>
      <c r="AM65">
        <f t="shared" si="19"/>
        <v>0</v>
      </c>
      <c r="AN65">
        <f>IF(AM65&gt;AN$12,IF(AK65=AK64,AN64,MAX(AN$13:AN64)+1),0)</f>
        <v>0</v>
      </c>
      <c r="AP65">
        <f t="shared" si="44"/>
        <v>0</v>
      </c>
      <c r="AQ65">
        <f>IF(AP65&gt;0,IF(MAX(AQ66:AQ$214)+AP65&gt;ROUNDUP(MAX(AQ66:AQ$214),0),ROUNDUP(MAX(AQ66:AQ$214),0)+AP65,MAX(AQ66:AQ$214)+AP65),0)</f>
        <v>0</v>
      </c>
      <c r="AR65">
        <f t="shared" si="12"/>
        <v>0</v>
      </c>
      <c r="AS65">
        <f t="shared" si="45"/>
        <v>0</v>
      </c>
      <c r="AT65">
        <f t="shared" si="46"/>
        <v>10</v>
      </c>
      <c r="AV65">
        <v>23</v>
      </c>
      <c r="AW65">
        <f t="shared" si="47"/>
        <v>0</v>
      </c>
      <c r="AX65">
        <f t="shared" si="38"/>
        <v>0</v>
      </c>
      <c r="AY65" s="496">
        <f>IF(AND(AX65=AX$42,SUM(AY$43:AY64)=0,AW65=AZ$42,AX$42&lt;&gt;0),AV65,)</f>
        <v>0</v>
      </c>
      <c r="AZ65">
        <f>IF(AND(SUM(AZ$43:AZ64)=0,SUM($AY65:AY65)=0,$AX65&lt;=AY$78,$AX65&gt;0,$AW65&gt;-1),$AV65,0)</f>
        <v>0</v>
      </c>
      <c r="BA65">
        <f>IF(AND(SUM(BA$43:BA64)=0,SUM($AY65:AZ65)=0,$AX65&lt;=AZ$78,$AX65&gt;0,$AW65&gt;-1),$AV65,0)</f>
        <v>0</v>
      </c>
      <c r="BB65">
        <f>IF(AND(SUM(BB$43:BB64)=0,SUM($AY65:BA65)=0,$AX65&lt;=BA$78,$AX65&gt;0,$AW65&gt;-1),$AV65,0)</f>
        <v>0</v>
      </c>
      <c r="BC65">
        <f>IF(AND(SUM(BC$43:BC64)=0,SUM($AY65:BB65)=0,$AX65&lt;=BB$78,$AX65&gt;0,$AW65&gt;-1),$AV65,0)</f>
        <v>0</v>
      </c>
      <c r="BD65">
        <f>IF(AND(SUM(BD$43:BD64)=0,SUM($AY65:BC65)=0,$AX65&lt;=BC$78,$AX65&gt;0,$AW65&gt;-1),$AV65,0)</f>
        <v>0</v>
      </c>
      <c r="BE65">
        <f>IF(AND(SUM(BE$43:BE64)=0,SUM($AY65:BD65)=0,$AX65&lt;=BD$78,$AX65&gt;0,$AW65&gt;-1),$AV65,0)</f>
        <v>0</v>
      </c>
      <c r="BF65">
        <f>IF(AND(SUM(BF$43:BF64)=0,SUM($AY65:BE65)=0,$AX65&lt;=BE$78,$AX65&gt;0,$AW65&gt;-1),$AV65,0)</f>
        <v>0</v>
      </c>
      <c r="BG65">
        <f t="shared" si="39"/>
        <v>0</v>
      </c>
      <c r="BH65" s="494">
        <f t="shared" si="40"/>
        <v>0</v>
      </c>
      <c r="BI65">
        <f t="shared" si="41"/>
        <v>0</v>
      </c>
      <c r="BJ65">
        <v>12</v>
      </c>
      <c r="BK65">
        <f t="shared" si="49"/>
        <v>0</v>
      </c>
      <c r="BL65">
        <f t="shared" si="48"/>
        <v>0</v>
      </c>
      <c r="BM65" s="517"/>
    </row>
    <row r="66" spans="1:65" x14ac:dyDescent="0.25">
      <c r="A66">
        <v>53</v>
      </c>
      <c r="B66" t="str">
        <f>_xlfn.XLOOKUP(A66,Order!R$12:R$859,Order!C$12:C$859,"")</f>
        <v/>
      </c>
      <c r="C66" t="str">
        <f>_xlfn.XLOOKUP(A66,Order!R$12:R$859,Order!S$12:S$859,"")</f>
        <v/>
      </c>
      <c r="D66" t="str">
        <f>_xlfn.XLOOKUP(A66,Order!R$12:R$859,Order!B$12:B$859,"")</f>
        <v/>
      </c>
      <c r="E66" t="str">
        <f>_xlfn.XLOOKUP(A66,Order!R$12:R$859,Order!P$12:P$859,"")</f>
        <v/>
      </c>
      <c r="F66" t="str">
        <f>_xlfn.XLOOKUP(A66,Order!R$12:R$859,Order!T$12:T$859,"")</f>
        <v/>
      </c>
      <c r="G66" t="str">
        <f>_xlfn.XLOOKUP(A66,Order!R$12:R$859,Order!U$12:U$859,"")</f>
        <v/>
      </c>
      <c r="H66" t="str">
        <f>_xlfn.XLOOKUP(A66,Order!R$12:R$859,Order!B$12:B$859,"")</f>
        <v/>
      </c>
      <c r="I66" t="str">
        <f>_xlfn.XLOOKUP(A66,Order!R$12:R$859,Order!V$12:V$859,"")</f>
        <v/>
      </c>
      <c r="J66" t="str">
        <f>IFERROR(RANK(F66,F$14:F$213,1)+COUNTIF(F$14:F66,F66)-1,"")</f>
        <v/>
      </c>
      <c r="L66" t="str">
        <f t="shared" si="22"/>
        <v/>
      </c>
      <c r="M66" t="str" cm="1">
        <f t="array" ref="M66">_xlfn.XLOOKUP(A66,J$14:J265,B$14:B265,"")</f>
        <v/>
      </c>
      <c r="N66" t="str" cm="1">
        <f t="array" ref="N66">_xlfn.XLOOKUP(A66,J$14:J265,C$14:C265,"")</f>
        <v/>
      </c>
      <c r="O66" t="str" cm="1">
        <f t="array" ref="O66">_xlfn.XLOOKUP(A66,J$14:J265,E$14:E265,"")</f>
        <v/>
      </c>
      <c r="P66" t="str" cm="1">
        <f t="array" ref="P66">_xlfn.XLOOKUP(A66,J$14:J265,G$14:G265,"")</f>
        <v/>
      </c>
      <c r="Q66" t="str" cm="1">
        <f t="array" ref="Q66">_xlfn.XLOOKUP(A66,J$14:J265,F$14:F265,"")</f>
        <v/>
      </c>
      <c r="R66" t="str" cm="1">
        <f t="array" ref="R66">_xlfn.XLOOKUP(A66,J$14:J265,I$14:I265,"")</f>
        <v/>
      </c>
      <c r="S66" t="str" cm="1">
        <f t="array" ref="S66">_xlfn.XLOOKUP(A66,J$14:J265,H$14:H265,"")</f>
        <v/>
      </c>
      <c r="T66" t="str" cm="1">
        <f t="array" ref="T66">VLOOKUP(ROW(53:53),L$14:S$163,8)</f>
        <v/>
      </c>
      <c r="U66" t="str" cm="1">
        <f t="array" ref="U66">VLOOKUP(ROW(53:53),L$14:M$163,2)</f>
        <v/>
      </c>
      <c r="V66" t="str" cm="1">
        <f t="array" ref="V66">VLOOKUP(ROW(53:53),L$14:O$163,4)</f>
        <v/>
      </c>
      <c r="W66" t="str" cm="1">
        <f t="array" ref="W66">VLOOKUP(ROW(53:53),L$14:Q$163,6)</f>
        <v/>
      </c>
      <c r="X66" cm="1">
        <f t="array" ref="X66">IFERROR(VLOOKUP(ROW(53:53),L$14:P$213,5)+0,0)</f>
        <v>0</v>
      </c>
      <c r="Y66" t="str" cm="1">
        <f t="array" ref="Y66">VLOOKUP(ROW(53:53),L$14:R$163,7)</f>
        <v/>
      </c>
      <c r="Z66">
        <f>IF(Y66&lt;-2,X66+MAX(Z$14:Z65),0)</f>
        <v>0</v>
      </c>
      <c r="AA66">
        <f>IFERROR(IF(AND(SUM(AA67:AA$214)+X66&lt;=Z$10,W66&lt;=Z$12,Z66=0),X66,0),0)</f>
        <v>0</v>
      </c>
      <c r="AB66">
        <f>IFERROR(IF(AND(W66&lt;=Z$12+10,AB$12-X66&gt;=0,SUM(Z66:AA66)=0,SUM(AB$14:AB65)+X66&lt;AB$12),X66,0),0)</f>
        <v>0</v>
      </c>
      <c r="AD66">
        <f>IF(AND(Y66=-2,SUM(Z66:AB66)=0),X66+MAX(AD$14:AD65),0)</f>
        <v>0</v>
      </c>
      <c r="AE66">
        <f>IFERROR(IF(AND(SUM(AE67:AE$214)+X66&lt;=AD$10,W66&lt;=AD$12,SUM(Z66:AD66)=0),X66,0),0)</f>
        <v>0</v>
      </c>
      <c r="AF66">
        <f>IFERROR(IF(AND(W66&lt;=AD$12+10,AF$12-X66&gt;=0,SUM(Z66:AE66)=0,SUM(AF$14:AF65)+X66&lt;AF$12),X66,0),0)</f>
        <v>0</v>
      </c>
      <c r="AG66">
        <f t="shared" si="42"/>
        <v>0</v>
      </c>
      <c r="AI66">
        <f t="shared" si="43"/>
        <v>0</v>
      </c>
      <c r="AJ66" s="493">
        <f t="shared" si="17"/>
        <v>0</v>
      </c>
      <c r="AK66">
        <f>IF(AJ66=0,0,IF(AJ65=0,MAX(AK$13:AK65)+1,IF(W66&lt;&gt;W65,MAX(AK$14:AK65)+1,IF(ROUNDDOWN(AJ66-0.01,0)=ROUNDDOWN(AJ65-0.01,0),AK65,AK65+1))))</f>
        <v>0</v>
      </c>
      <c r="AL66">
        <f t="shared" si="18"/>
        <v>0</v>
      </c>
      <c r="AM66">
        <f t="shared" si="19"/>
        <v>0</v>
      </c>
      <c r="AN66">
        <f>IF(AM66&gt;AN$12,IF(AK66=AK65,AN65,MAX(AN$13:AN65)+1),0)</f>
        <v>0</v>
      </c>
      <c r="AP66">
        <f t="shared" si="44"/>
        <v>0</v>
      </c>
      <c r="AQ66">
        <f>IF(AP66&gt;0,IF(MAX(AQ67:AQ$214)+AP66&gt;ROUNDUP(MAX(AQ67:AQ$214),0),ROUNDUP(MAX(AQ67:AQ$214),0)+AP66,MAX(AQ67:AQ$214)+AP66),0)</f>
        <v>0</v>
      </c>
      <c r="AR66">
        <f t="shared" si="12"/>
        <v>0</v>
      </c>
      <c r="AS66">
        <f t="shared" si="45"/>
        <v>0</v>
      </c>
      <c r="AT66">
        <f t="shared" si="46"/>
        <v>10</v>
      </c>
      <c r="AV66">
        <v>24</v>
      </c>
      <c r="AW66">
        <f t="shared" si="47"/>
        <v>0</v>
      </c>
      <c r="AX66">
        <f t="shared" si="38"/>
        <v>0</v>
      </c>
      <c r="AY66" s="496">
        <f>IF(AND(AX66=AX$42,SUM(AY$43:AY65)=0,AW66=AZ$42,AX$42&lt;&gt;0),AV66,)</f>
        <v>0</v>
      </c>
      <c r="AZ66">
        <f>IF(AND(SUM(AZ$43:AZ65)=0,SUM($AY66:AY66)=0,$AX66&lt;=AY$78,$AX66&gt;0,$AW66&gt;-1),$AV66,0)</f>
        <v>0</v>
      </c>
      <c r="BA66">
        <f>IF(AND(SUM(BA$43:BA65)=0,SUM($AY66:AZ66)=0,$AX66&lt;=AZ$78,$AX66&gt;0,$AW66&gt;-1),$AV66,0)</f>
        <v>0</v>
      </c>
      <c r="BB66">
        <f>IF(AND(SUM(BB$43:BB65)=0,SUM($AY66:BA66)=0,$AX66&lt;=BA$78,$AX66&gt;0,$AW66&gt;-1),$AV66,0)</f>
        <v>0</v>
      </c>
      <c r="BC66">
        <f>IF(AND(SUM(BC$43:BC65)=0,SUM($AY66:BB66)=0,$AX66&lt;=BB$78,$AX66&gt;0,$AW66&gt;-1),$AV66,0)</f>
        <v>0</v>
      </c>
      <c r="BD66">
        <f>IF(AND(SUM(BD$43:BD65)=0,SUM($AY66:BC66)=0,$AX66&lt;=BC$78,$AX66&gt;0,$AW66&gt;-1),$AV66,0)</f>
        <v>0</v>
      </c>
      <c r="BE66">
        <f>IF(AND(SUM(BE$43:BE65)=0,SUM($AY66:BD66)=0,$AX66&lt;=BD$78,$AX66&gt;0,$AW66&gt;-1),$AV66,0)</f>
        <v>0</v>
      </c>
      <c r="BF66">
        <f>IF(AND(SUM(BF$43:BF65)=0,SUM($AY66:BE66)=0,$AX66&lt;=BE$78,$AX66&gt;0,$AW66&gt;-1),$AV66,0)</f>
        <v>0</v>
      </c>
      <c r="BG66">
        <f t="shared" si="39"/>
        <v>0</v>
      </c>
      <c r="BH66" s="494">
        <f t="shared" si="40"/>
        <v>0</v>
      </c>
      <c r="BI66">
        <f t="shared" si="41"/>
        <v>0</v>
      </c>
      <c r="BJ66">
        <v>13</v>
      </c>
      <c r="BK66">
        <f t="shared" si="49"/>
        <v>0</v>
      </c>
      <c r="BL66">
        <f t="shared" si="48"/>
        <v>0</v>
      </c>
      <c r="BM66" s="517"/>
    </row>
    <row r="67" spans="1:65" x14ac:dyDescent="0.25">
      <c r="A67">
        <v>54</v>
      </c>
      <c r="B67" t="str">
        <f>_xlfn.XLOOKUP(A67,Order!R$12:R$859,Order!C$12:C$859,"")</f>
        <v/>
      </c>
      <c r="C67" t="str">
        <f>_xlfn.XLOOKUP(A67,Order!R$12:R$859,Order!S$12:S$859,"")</f>
        <v/>
      </c>
      <c r="D67" t="str">
        <f>_xlfn.XLOOKUP(A67,Order!R$12:R$859,Order!B$12:B$859,"")</f>
        <v/>
      </c>
      <c r="E67" t="str">
        <f>_xlfn.XLOOKUP(A67,Order!R$12:R$859,Order!P$12:P$859,"")</f>
        <v/>
      </c>
      <c r="F67" t="str">
        <f>_xlfn.XLOOKUP(A67,Order!R$12:R$859,Order!T$12:T$859,"")</f>
        <v/>
      </c>
      <c r="G67" t="str">
        <f>_xlfn.XLOOKUP(A67,Order!R$12:R$859,Order!U$12:U$859,"")</f>
        <v/>
      </c>
      <c r="H67" t="str">
        <f>_xlfn.XLOOKUP(A67,Order!R$12:R$859,Order!B$12:B$859,"")</f>
        <v/>
      </c>
      <c r="I67" t="str">
        <f>_xlfn.XLOOKUP(A67,Order!R$12:R$859,Order!V$12:V$859,"")</f>
        <v/>
      </c>
      <c r="J67" t="str">
        <f>IFERROR(RANK(F67,F$14:F$213,1)+COUNTIF(F$14:F67,F67)-1,"")</f>
        <v/>
      </c>
      <c r="L67" t="str">
        <f t="shared" si="22"/>
        <v/>
      </c>
      <c r="M67" t="str" cm="1">
        <f t="array" ref="M67">_xlfn.XLOOKUP(A67,J$14:J266,B$14:B266,"")</f>
        <v/>
      </c>
      <c r="N67" t="str" cm="1">
        <f t="array" ref="N67">_xlfn.XLOOKUP(A67,J$14:J266,C$14:C266,"")</f>
        <v/>
      </c>
      <c r="O67" t="str" cm="1">
        <f t="array" ref="O67">_xlfn.XLOOKUP(A67,J$14:J266,E$14:E266,"")</f>
        <v/>
      </c>
      <c r="P67" t="str" cm="1">
        <f t="array" ref="P67">_xlfn.XLOOKUP(A67,J$14:J266,G$14:G266,"")</f>
        <v/>
      </c>
      <c r="Q67" t="str" cm="1">
        <f t="array" ref="Q67">_xlfn.XLOOKUP(A67,J$14:J266,F$14:F266,"")</f>
        <v/>
      </c>
      <c r="R67" t="str" cm="1">
        <f t="array" ref="R67">_xlfn.XLOOKUP(A67,J$14:J266,I$14:I266,"")</f>
        <v/>
      </c>
      <c r="S67" t="str" cm="1">
        <f t="array" ref="S67">_xlfn.XLOOKUP(A67,J$14:J266,H$14:H266,"")</f>
        <v/>
      </c>
      <c r="T67" t="str" cm="1">
        <f t="array" ref="T67">VLOOKUP(ROW(54:54),L$14:S$163,8)</f>
        <v/>
      </c>
      <c r="U67" t="str" cm="1">
        <f t="array" ref="U67">VLOOKUP(ROW(54:54),L$14:M$163,2)</f>
        <v/>
      </c>
      <c r="V67" t="str" cm="1">
        <f t="array" ref="V67">VLOOKUP(ROW(54:54),L$14:O$163,4)</f>
        <v/>
      </c>
      <c r="W67" t="str" cm="1">
        <f t="array" ref="W67">VLOOKUP(ROW(54:54),L$14:Q$163,6)</f>
        <v/>
      </c>
      <c r="X67" cm="1">
        <f t="array" ref="X67">IFERROR(VLOOKUP(ROW(54:54),L$14:P$213,5)+0,0)</f>
        <v>0</v>
      </c>
      <c r="Y67" t="str" cm="1">
        <f t="array" ref="Y67">VLOOKUP(ROW(54:54),L$14:R$163,7)</f>
        <v/>
      </c>
      <c r="Z67">
        <f>IF(Y67&lt;-2,X67+MAX(Z$14:Z66),0)</f>
        <v>0</v>
      </c>
      <c r="AA67">
        <f>IFERROR(IF(AND(SUM(AA68:AA$214)+X67&lt;=Z$10,W67&lt;=Z$12,Z67=0),X67,0),0)</f>
        <v>0</v>
      </c>
      <c r="AB67">
        <f>IFERROR(IF(AND(W67&lt;=Z$12+10,AB$12-X67&gt;=0,SUM(Z67:AA67)=0,SUM(AB$14:AB66)+X67&lt;AB$12),X67,0),0)</f>
        <v>0</v>
      </c>
      <c r="AD67">
        <f>IF(AND(Y67=-2,SUM(Z67:AB67)=0),X67+MAX(AD$14:AD66),0)</f>
        <v>0</v>
      </c>
      <c r="AE67">
        <f>IFERROR(IF(AND(SUM(AE68:AE$214)+X67&lt;=AD$10,W67&lt;=AD$12,SUM(Z67:AD67)=0),X67,0),0)</f>
        <v>0</v>
      </c>
      <c r="AF67">
        <f>IFERROR(IF(AND(W67&lt;=AD$12+10,AF$12-X67&gt;=0,SUM(Z67:AE67)=0,SUM(AF$14:AF66)+X67&lt;AF$12),X67,0),0)</f>
        <v>0</v>
      </c>
      <c r="AG67">
        <f t="shared" si="42"/>
        <v>0</v>
      </c>
      <c r="AI67">
        <f t="shared" si="43"/>
        <v>0</v>
      </c>
      <c r="AJ67" s="493">
        <f t="shared" si="17"/>
        <v>0</v>
      </c>
      <c r="AK67">
        <f>IF(AJ67=0,0,IF(AJ66=0,MAX(AK$13:AK66)+1,IF(W67&lt;&gt;W66,MAX(AK$14:AK66)+1,IF(ROUNDDOWN(AJ67-0.01,0)=ROUNDDOWN(AJ66-0.01,0),AK66,AK66+1))))</f>
        <v>0</v>
      </c>
      <c r="AL67">
        <f t="shared" si="18"/>
        <v>0</v>
      </c>
      <c r="AM67">
        <f t="shared" si="19"/>
        <v>0</v>
      </c>
      <c r="AN67">
        <f>IF(AM67&gt;AN$12,IF(AK67=AK66,AN66,MAX(AN$13:AN66)+1),0)</f>
        <v>0</v>
      </c>
      <c r="AP67">
        <f t="shared" si="44"/>
        <v>0</v>
      </c>
      <c r="AQ67">
        <f>IF(AP67&gt;0,IF(MAX(AQ68:AQ$214)+AP67&gt;ROUNDUP(MAX(AQ68:AQ$214),0),ROUNDUP(MAX(AQ68:AQ$214),0)+AP67,MAX(AQ68:AQ$214)+AP67),0)</f>
        <v>0</v>
      </c>
      <c r="AR67">
        <f t="shared" si="12"/>
        <v>0</v>
      </c>
      <c r="AS67">
        <f t="shared" si="45"/>
        <v>0</v>
      </c>
      <c r="AT67">
        <f t="shared" si="46"/>
        <v>10</v>
      </c>
      <c r="AV67">
        <v>25</v>
      </c>
      <c r="AW67">
        <f t="shared" si="47"/>
        <v>0</v>
      </c>
      <c r="AX67">
        <f t="shared" si="38"/>
        <v>0</v>
      </c>
      <c r="AY67" s="496">
        <f>IF(AND(AX67=AX$42,SUM(AY$43:AY66)=0,AW67=AZ$42,AX$42&lt;&gt;0),AV67,)</f>
        <v>0</v>
      </c>
      <c r="AZ67">
        <f>IF(AND(SUM(AZ$43:AZ66)=0,SUM($AY67:AY67)=0,$AX67&lt;=AY$78,$AX67&gt;0,$AW67&gt;-1),$AV67,0)</f>
        <v>0</v>
      </c>
      <c r="BA67">
        <f>IF(AND(SUM(BA$43:BA66)=0,SUM($AY67:AZ67)=0,$AX67&lt;=AZ$78,$AX67&gt;0,$AW67&gt;-1),$AV67,0)</f>
        <v>0</v>
      </c>
      <c r="BB67">
        <f>IF(AND(SUM(BB$43:BB66)=0,SUM($AY67:BA67)=0,$AX67&lt;=BA$78,$AX67&gt;0,$AW67&gt;-1),$AV67,0)</f>
        <v>0</v>
      </c>
      <c r="BC67">
        <f>IF(AND(SUM(BC$43:BC66)=0,SUM($AY67:BB67)=0,$AX67&lt;=BB$78,$AX67&gt;0,$AW67&gt;-1),$AV67,0)</f>
        <v>0</v>
      </c>
      <c r="BD67">
        <f>IF(AND(SUM(BD$43:BD66)=0,SUM($AY67:BC67)=0,$AX67&lt;=BC$78,$AX67&gt;0,$AW67&gt;-1),$AV67,0)</f>
        <v>0</v>
      </c>
      <c r="BE67">
        <f>IF(AND(SUM(BE$43:BE66)=0,SUM($AY67:BD67)=0,$AX67&lt;=BD$78,$AX67&gt;0,$AW67&gt;-1),$AV67,0)</f>
        <v>0</v>
      </c>
      <c r="BF67">
        <f>IF(AND(SUM(BF$43:BF66)=0,SUM($AY67:BE67)=0,$AX67&lt;=BE$78,$AX67&gt;0,$AW67&gt;-1),$AV67,0)</f>
        <v>0</v>
      </c>
      <c r="BG67">
        <f t="shared" si="39"/>
        <v>0</v>
      </c>
      <c r="BH67" s="494">
        <f t="shared" si="40"/>
        <v>0</v>
      </c>
      <c r="BI67">
        <f t="shared" si="41"/>
        <v>0</v>
      </c>
      <c r="BJ67">
        <v>14</v>
      </c>
      <c r="BK67">
        <f t="shared" si="49"/>
        <v>0</v>
      </c>
      <c r="BL67">
        <f t="shared" si="48"/>
        <v>0</v>
      </c>
      <c r="BM67" s="517"/>
    </row>
    <row r="68" spans="1:65" x14ac:dyDescent="0.25">
      <c r="A68">
        <v>55</v>
      </c>
      <c r="B68" t="str">
        <f>_xlfn.XLOOKUP(A68,Order!R$12:R$859,Order!C$12:C$859,"")</f>
        <v/>
      </c>
      <c r="C68" t="str">
        <f>_xlfn.XLOOKUP(A68,Order!R$12:R$859,Order!S$12:S$859,"")</f>
        <v/>
      </c>
      <c r="D68" t="str">
        <f>_xlfn.XLOOKUP(A68,Order!R$12:R$859,Order!B$12:B$859,"")</f>
        <v/>
      </c>
      <c r="E68" t="str">
        <f>_xlfn.XLOOKUP(A68,Order!R$12:R$859,Order!P$12:P$859,"")</f>
        <v/>
      </c>
      <c r="F68" t="str">
        <f>_xlfn.XLOOKUP(A68,Order!R$12:R$859,Order!T$12:T$859,"")</f>
        <v/>
      </c>
      <c r="G68" t="str">
        <f>_xlfn.XLOOKUP(A68,Order!R$12:R$859,Order!U$12:U$859,"")</f>
        <v/>
      </c>
      <c r="H68" t="str">
        <f>_xlfn.XLOOKUP(A68,Order!R$12:R$859,Order!B$12:B$859,"")</f>
        <v/>
      </c>
      <c r="I68" t="str">
        <f>_xlfn.XLOOKUP(A68,Order!R$12:R$859,Order!V$12:V$859,"")</f>
        <v/>
      </c>
      <c r="J68" t="str">
        <f>IFERROR(RANK(F68,F$14:F$213,1)+COUNTIF(F$14:F68,F68)-1,"")</f>
        <v/>
      </c>
      <c r="L68" t="str">
        <f t="shared" si="22"/>
        <v/>
      </c>
      <c r="M68" t="str" cm="1">
        <f t="array" ref="M68">_xlfn.XLOOKUP(A68,J$14:J267,B$14:B267,"")</f>
        <v/>
      </c>
      <c r="N68" t="str" cm="1">
        <f t="array" ref="N68">_xlfn.XLOOKUP(A68,J$14:J267,C$14:C267,"")</f>
        <v/>
      </c>
      <c r="O68" t="str" cm="1">
        <f t="array" ref="O68">_xlfn.XLOOKUP(A68,J$14:J267,E$14:E267,"")</f>
        <v/>
      </c>
      <c r="P68" t="str" cm="1">
        <f t="array" ref="P68">_xlfn.XLOOKUP(A68,J$14:J267,G$14:G267,"")</f>
        <v/>
      </c>
      <c r="Q68" t="str" cm="1">
        <f t="array" ref="Q68">_xlfn.XLOOKUP(A68,J$14:J267,F$14:F267,"")</f>
        <v/>
      </c>
      <c r="R68" t="str" cm="1">
        <f t="array" ref="R68">_xlfn.XLOOKUP(A68,J$14:J267,I$14:I267,"")</f>
        <v/>
      </c>
      <c r="S68" t="str" cm="1">
        <f t="array" ref="S68">_xlfn.XLOOKUP(A68,J$14:J267,H$14:H267,"")</f>
        <v/>
      </c>
      <c r="T68" t="str" cm="1">
        <f t="array" ref="T68">VLOOKUP(ROW(55:55),L$14:S$163,8)</f>
        <v/>
      </c>
      <c r="U68" t="str" cm="1">
        <f t="array" ref="U68">VLOOKUP(ROW(55:55),L$14:M$163,2)</f>
        <v/>
      </c>
      <c r="V68" t="str" cm="1">
        <f t="array" ref="V68">VLOOKUP(ROW(55:55),L$14:O$163,4)</f>
        <v/>
      </c>
      <c r="W68" t="str" cm="1">
        <f t="array" ref="W68">VLOOKUP(ROW(55:55),L$14:Q$163,6)</f>
        <v/>
      </c>
      <c r="X68" cm="1">
        <f t="array" ref="X68">IFERROR(VLOOKUP(ROW(55:55),L$14:P$213,5)+0,0)</f>
        <v>0</v>
      </c>
      <c r="Y68" t="str" cm="1">
        <f t="array" ref="Y68">VLOOKUP(ROW(55:55),L$14:R$163,7)</f>
        <v/>
      </c>
      <c r="Z68">
        <f>IF(Y68&lt;-2,X68+MAX(Z$14:Z67),0)</f>
        <v>0</v>
      </c>
      <c r="AA68">
        <f>IFERROR(IF(AND(SUM(AA69:AA$214)+X68&lt;=Z$10,W68&lt;=Z$12,Z68=0),X68,0),0)</f>
        <v>0</v>
      </c>
      <c r="AB68">
        <f>IFERROR(IF(AND(W68&lt;=Z$12+10,AB$12-X68&gt;=0,SUM(Z68:AA68)=0,SUM(AB$14:AB67)+X68&lt;AB$12),X68,0),0)</f>
        <v>0</v>
      </c>
      <c r="AD68">
        <f>IF(AND(Y68=-2,SUM(Z68:AB68)=0),X68+MAX(AD$14:AD67),0)</f>
        <v>0</v>
      </c>
      <c r="AE68">
        <f>IFERROR(IF(AND(SUM(AE69:AE$214)+X68&lt;=AD$10,W68&lt;=AD$12,SUM(Z68:AD68)=0),X68,0),0)</f>
        <v>0</v>
      </c>
      <c r="AF68">
        <f>IFERROR(IF(AND(W68&lt;=AD$12+10,AF$12-X68&gt;=0,SUM(Z68:AE68)=0,SUM(AF$14:AF67)+X68&lt;AF$12),X68,0),0)</f>
        <v>0</v>
      </c>
      <c r="AG68">
        <f t="shared" si="42"/>
        <v>0</v>
      </c>
      <c r="AI68">
        <f t="shared" si="43"/>
        <v>0</v>
      </c>
      <c r="AJ68" s="493">
        <f t="shared" si="17"/>
        <v>0</v>
      </c>
      <c r="AK68">
        <f>IF(AJ68=0,0,IF(AJ67=0,MAX(AK$13:AK67)+1,IF(W68&lt;&gt;W67,MAX(AK$14:AK67)+1,IF(ROUNDDOWN(AJ68-0.01,0)=ROUNDDOWN(AJ67-0.01,0),AK67,AK67+1))))</f>
        <v>0</v>
      </c>
      <c r="AL68">
        <f t="shared" si="18"/>
        <v>0</v>
      </c>
      <c r="AM68">
        <f t="shared" si="19"/>
        <v>0</v>
      </c>
      <c r="AN68">
        <f>IF(AM68&gt;AN$12,IF(AK68=AK67,AN67,MAX(AN$13:AN67)+1),0)</f>
        <v>0</v>
      </c>
      <c r="AP68">
        <f t="shared" si="44"/>
        <v>0</v>
      </c>
      <c r="AQ68">
        <f>IF(AP68&gt;0,IF(MAX(AQ69:AQ$214)+AP68&gt;ROUNDUP(MAX(AQ69:AQ$214),0),ROUNDUP(MAX(AQ69:AQ$214),0)+AP68,MAX(AQ69:AQ$214)+AP68),0)</f>
        <v>0</v>
      </c>
      <c r="AR68">
        <f t="shared" si="12"/>
        <v>0</v>
      </c>
      <c r="AS68">
        <f t="shared" si="45"/>
        <v>0</v>
      </c>
      <c r="AT68">
        <f t="shared" si="46"/>
        <v>10</v>
      </c>
      <c r="AV68">
        <v>26</v>
      </c>
      <c r="AW68">
        <f t="shared" si="47"/>
        <v>0</v>
      </c>
      <c r="AX68">
        <f t="shared" si="38"/>
        <v>0</v>
      </c>
      <c r="AY68" s="496">
        <f>IF(AND(AX68=AX$42,SUM(AY$43:AY67)=0,AW68=AZ$42,AX$42&lt;&gt;0),AV68,)</f>
        <v>0</v>
      </c>
      <c r="AZ68">
        <f>IF(AND(SUM(AZ$43:AZ67)=0,SUM($AY68:AY68)=0,$AX68&lt;=AY$78,$AX68&gt;0,$AW68&gt;-1),$AV68,0)</f>
        <v>0</v>
      </c>
      <c r="BA68">
        <f>IF(AND(SUM(BA$43:BA67)=0,SUM($AY68:AZ68)=0,$AX68&lt;=AZ$78,$AX68&gt;0,$AW68&gt;-1),$AV68,0)</f>
        <v>0</v>
      </c>
      <c r="BB68">
        <f>IF(AND(SUM(BB$43:BB67)=0,SUM($AY68:BA68)=0,$AX68&lt;=BA$78,$AX68&gt;0,$AW68&gt;-1),$AV68,0)</f>
        <v>0</v>
      </c>
      <c r="BC68">
        <f>IF(AND(SUM(BC$43:BC67)=0,SUM($AY68:BB68)=0,$AX68&lt;=BB$78,$AX68&gt;0,$AW68&gt;-1),$AV68,0)</f>
        <v>0</v>
      </c>
      <c r="BD68">
        <f>IF(AND(SUM(BD$43:BD67)=0,SUM($AY68:BC68)=0,$AX68&lt;=BC$78,$AX68&gt;0,$AW68&gt;-1),$AV68,0)</f>
        <v>0</v>
      </c>
      <c r="BE68">
        <f>IF(AND(SUM(BE$43:BE67)=0,SUM($AY68:BD68)=0,$AX68&lt;=BD$78,$AX68&gt;0,$AW68&gt;-1),$AV68,0)</f>
        <v>0</v>
      </c>
      <c r="BF68">
        <f>IF(AND(SUM(BF$43:BF67)=0,SUM($AY68:BE68)=0,$AX68&lt;=BE$78,$AX68&gt;0,$AW68&gt;-1),$AV68,0)</f>
        <v>0</v>
      </c>
      <c r="BG68">
        <f t="shared" si="39"/>
        <v>0</v>
      </c>
      <c r="BH68" s="494">
        <f t="shared" si="40"/>
        <v>0</v>
      </c>
      <c r="BI68">
        <f t="shared" si="41"/>
        <v>0</v>
      </c>
      <c r="BJ68">
        <v>15</v>
      </c>
      <c r="BK68">
        <f t="shared" si="49"/>
        <v>0</v>
      </c>
      <c r="BL68">
        <f t="shared" si="48"/>
        <v>0</v>
      </c>
      <c r="BM68" s="517"/>
    </row>
    <row r="69" spans="1:65" x14ac:dyDescent="0.25">
      <c r="A69">
        <v>56</v>
      </c>
      <c r="B69" t="str">
        <f>_xlfn.XLOOKUP(A69,Order!R$12:R$859,Order!C$12:C$859,"")</f>
        <v/>
      </c>
      <c r="C69" t="str">
        <f>_xlfn.XLOOKUP(A69,Order!R$12:R$859,Order!S$12:S$859,"")</f>
        <v/>
      </c>
      <c r="D69" t="str">
        <f>_xlfn.XLOOKUP(A69,Order!R$12:R$859,Order!B$12:B$859,"")</f>
        <v/>
      </c>
      <c r="E69" t="str">
        <f>_xlfn.XLOOKUP(A69,Order!R$12:R$859,Order!P$12:P$859,"")</f>
        <v/>
      </c>
      <c r="F69" t="str">
        <f>_xlfn.XLOOKUP(A69,Order!R$12:R$859,Order!T$12:T$859,"")</f>
        <v/>
      </c>
      <c r="G69" t="str">
        <f>_xlfn.XLOOKUP(A69,Order!R$12:R$859,Order!U$12:U$859,"")</f>
        <v/>
      </c>
      <c r="H69" t="str">
        <f>_xlfn.XLOOKUP(A69,Order!R$12:R$859,Order!B$12:B$859,"")</f>
        <v/>
      </c>
      <c r="I69" t="str">
        <f>_xlfn.XLOOKUP(A69,Order!R$12:R$859,Order!V$12:V$859,"")</f>
        <v/>
      </c>
      <c r="J69" t="str">
        <f>IFERROR(RANK(F69,F$14:F$213,1)+COUNTIF(F$14:F69,F69)-1,"")</f>
        <v/>
      </c>
      <c r="L69" t="str">
        <f t="shared" si="22"/>
        <v/>
      </c>
      <c r="M69" t="str" cm="1">
        <f t="array" ref="M69">_xlfn.XLOOKUP(A69,J$14:J268,B$14:B268,"")</f>
        <v/>
      </c>
      <c r="N69" t="str" cm="1">
        <f t="array" ref="N69">_xlfn.XLOOKUP(A69,J$14:J268,C$14:C268,"")</f>
        <v/>
      </c>
      <c r="O69" t="str" cm="1">
        <f t="array" ref="O69">_xlfn.XLOOKUP(A69,J$14:J268,E$14:E268,"")</f>
        <v/>
      </c>
      <c r="P69" t="str" cm="1">
        <f t="array" ref="P69">_xlfn.XLOOKUP(A69,J$14:J268,G$14:G268,"")</f>
        <v/>
      </c>
      <c r="Q69" t="str" cm="1">
        <f t="array" ref="Q69">_xlfn.XLOOKUP(A69,J$14:J268,F$14:F268,"")</f>
        <v/>
      </c>
      <c r="R69" t="str" cm="1">
        <f t="array" ref="R69">_xlfn.XLOOKUP(A69,J$14:J268,I$14:I268,"")</f>
        <v/>
      </c>
      <c r="S69" t="str" cm="1">
        <f t="array" ref="S69">_xlfn.XLOOKUP(A69,J$14:J268,H$14:H268,"")</f>
        <v/>
      </c>
      <c r="T69" t="str" cm="1">
        <f t="array" ref="T69">VLOOKUP(ROW(56:56),L$14:S$163,8)</f>
        <v/>
      </c>
      <c r="U69" t="str" cm="1">
        <f t="array" ref="U69">VLOOKUP(ROW(56:56),L$14:M$163,2)</f>
        <v/>
      </c>
      <c r="V69" t="str" cm="1">
        <f t="array" ref="V69">VLOOKUP(ROW(56:56),L$14:O$163,4)</f>
        <v/>
      </c>
      <c r="W69" t="str" cm="1">
        <f t="array" ref="W69">VLOOKUP(ROW(56:56),L$14:Q$163,6)</f>
        <v/>
      </c>
      <c r="X69" cm="1">
        <f t="array" ref="X69">IFERROR(VLOOKUP(ROW(56:56),L$14:P$213,5)+0,0)</f>
        <v>0</v>
      </c>
      <c r="Y69" t="str" cm="1">
        <f t="array" ref="Y69">VLOOKUP(ROW(56:56),L$14:R$163,7)</f>
        <v/>
      </c>
      <c r="Z69">
        <f>IF(Y69&lt;-2,X69+MAX(Z$14:Z68),0)</f>
        <v>0</v>
      </c>
      <c r="AA69">
        <f>IFERROR(IF(AND(SUM(AA70:AA$214)+X69&lt;=Z$10,W69&lt;=Z$12,Z69=0),X69,0),0)</f>
        <v>0</v>
      </c>
      <c r="AB69">
        <f>IFERROR(IF(AND(W69&lt;=Z$12+10,AB$12-X69&gt;=0,SUM(Z69:AA69)=0,SUM(AB$14:AB68)+X69&lt;AB$12),X69,0),0)</f>
        <v>0</v>
      </c>
      <c r="AD69">
        <f>IF(AND(Y69=-2,SUM(Z69:AB69)=0),X69+MAX(AD$14:AD68),0)</f>
        <v>0</v>
      </c>
      <c r="AE69">
        <f>IFERROR(IF(AND(SUM(AE70:AE$214)+X69&lt;=AD$10,W69&lt;=AD$12,SUM(Z69:AD69)=0),X69,0),0)</f>
        <v>0</v>
      </c>
      <c r="AF69">
        <f>IFERROR(IF(AND(W69&lt;=AD$12+10,AF$12-X69&gt;=0,SUM(Z69:AE69)=0,SUM(AF$14:AF68)+X69&lt;AF$12),X69,0),0)</f>
        <v>0</v>
      </c>
      <c r="AG69">
        <f t="shared" si="42"/>
        <v>0</v>
      </c>
      <c r="AI69">
        <f t="shared" si="43"/>
        <v>0</v>
      </c>
      <c r="AJ69" s="493">
        <f t="shared" si="17"/>
        <v>0</v>
      </c>
      <c r="AK69">
        <f>IF(AJ69=0,0,IF(AJ68=0,MAX(AK$13:AK68)+1,IF(W69&lt;&gt;W68,MAX(AK$14:AK68)+1,IF(ROUNDDOWN(AJ69-0.01,0)=ROUNDDOWN(AJ68-0.01,0),AK68,AK68+1))))</f>
        <v>0</v>
      </c>
      <c r="AL69">
        <f t="shared" si="18"/>
        <v>0</v>
      </c>
      <c r="AM69">
        <f t="shared" si="19"/>
        <v>0</v>
      </c>
      <c r="AN69">
        <f>IF(AM69&gt;AN$12,IF(AK69=AK68,AN68,MAX(AN$13:AN68)+1),0)</f>
        <v>0</v>
      </c>
      <c r="AP69">
        <f t="shared" si="44"/>
        <v>0</v>
      </c>
      <c r="AQ69">
        <f>IF(AP69&gt;0,IF(MAX(AQ70:AQ$214)+AP69&gt;ROUNDUP(MAX(AQ70:AQ$214),0),ROUNDUP(MAX(AQ70:AQ$214),0)+AP69,MAX(AQ70:AQ$214)+AP69),0)</f>
        <v>0</v>
      </c>
      <c r="AR69">
        <f t="shared" si="12"/>
        <v>0</v>
      </c>
      <c r="AS69">
        <f t="shared" si="45"/>
        <v>0</v>
      </c>
      <c r="AT69">
        <f t="shared" si="46"/>
        <v>10</v>
      </c>
      <c r="AV69">
        <v>27</v>
      </c>
      <c r="AW69">
        <f t="shared" si="47"/>
        <v>0</v>
      </c>
      <c r="AX69">
        <f t="shared" si="38"/>
        <v>0</v>
      </c>
      <c r="AY69" s="496">
        <f>IF(AND(AX69=AX$42,SUM(AY$43:AY68)=0,AW69=AZ$42,AX$42&lt;&gt;0),AV69,)</f>
        <v>0</v>
      </c>
      <c r="AZ69">
        <f>IF(AND(SUM(AZ$43:AZ68)=0,SUM($AY69:AY69)=0,$AX69&lt;=AY$78,$AX69&gt;0,$AW69&gt;-1),$AV69,0)</f>
        <v>0</v>
      </c>
      <c r="BA69">
        <f>IF(AND(SUM(BA$43:BA68)=0,SUM($AY69:AZ69)=0,$AX69&lt;=AZ$78,$AX69&gt;0,$AW69&gt;-1),$AV69,0)</f>
        <v>0</v>
      </c>
      <c r="BB69">
        <f>IF(AND(SUM(BB$43:BB68)=0,SUM($AY69:BA69)=0,$AX69&lt;=BA$78,$AX69&gt;0,$AW69&gt;-1),$AV69,0)</f>
        <v>0</v>
      </c>
      <c r="BC69">
        <f>IF(AND(SUM(BC$43:BC68)=0,SUM($AY69:BB69)=0,$AX69&lt;=BB$78,$AX69&gt;0,$AW69&gt;-1),$AV69,0)</f>
        <v>0</v>
      </c>
      <c r="BD69">
        <f>IF(AND(SUM(BD$43:BD68)=0,SUM($AY69:BC69)=0,$AX69&lt;=BC$78,$AX69&gt;0,$AW69&gt;-1),$AV69,0)</f>
        <v>0</v>
      </c>
      <c r="BE69">
        <f>IF(AND(SUM(BE$43:BE68)=0,SUM($AY69:BD69)=0,$AX69&lt;=BD$78,$AX69&gt;0,$AW69&gt;-1),$AV69,0)</f>
        <v>0</v>
      </c>
      <c r="BF69">
        <f>IF(AND(SUM(BF$43:BF68)=0,SUM($AY69:BE69)=0,$AX69&lt;=BE$78,$AX69&gt;0,$AW69&gt;-1),$AV69,0)</f>
        <v>0</v>
      </c>
      <c r="BG69">
        <f t="shared" si="39"/>
        <v>0</v>
      </c>
      <c r="BH69" s="494">
        <f t="shared" si="40"/>
        <v>0</v>
      </c>
      <c r="BI69">
        <f t="shared" si="41"/>
        <v>0</v>
      </c>
      <c r="BJ69">
        <v>16</v>
      </c>
      <c r="BK69">
        <f t="shared" si="49"/>
        <v>0</v>
      </c>
      <c r="BL69">
        <f t="shared" si="48"/>
        <v>0</v>
      </c>
      <c r="BM69" s="517"/>
    </row>
    <row r="70" spans="1:65" x14ac:dyDescent="0.25">
      <c r="A70">
        <v>57</v>
      </c>
      <c r="B70" t="str">
        <f>_xlfn.XLOOKUP(A70,Order!R$12:R$859,Order!C$12:C$859,"")</f>
        <v/>
      </c>
      <c r="C70" t="str">
        <f>_xlfn.XLOOKUP(A70,Order!R$12:R$859,Order!S$12:S$859,"")</f>
        <v/>
      </c>
      <c r="D70" t="str">
        <f>_xlfn.XLOOKUP(A70,Order!R$12:R$859,Order!B$12:B$859,"")</f>
        <v/>
      </c>
      <c r="E70" t="str">
        <f>_xlfn.XLOOKUP(A70,Order!R$12:R$859,Order!P$12:P$859,"")</f>
        <v/>
      </c>
      <c r="F70" t="str">
        <f>_xlfn.XLOOKUP(A70,Order!R$12:R$859,Order!T$12:T$859,"")</f>
        <v/>
      </c>
      <c r="G70" t="str">
        <f>_xlfn.XLOOKUP(A70,Order!R$12:R$859,Order!U$12:U$859,"")</f>
        <v/>
      </c>
      <c r="H70" t="str">
        <f>_xlfn.XLOOKUP(A70,Order!R$12:R$859,Order!B$12:B$859,"")</f>
        <v/>
      </c>
      <c r="I70" t="str">
        <f>_xlfn.XLOOKUP(A70,Order!R$12:R$859,Order!V$12:V$859,"")</f>
        <v/>
      </c>
      <c r="J70" t="str">
        <f>IFERROR(RANK(F70,F$14:F$213,1)+COUNTIF(F$14:F70,F70)-1,"")</f>
        <v/>
      </c>
      <c r="L70" t="str">
        <f t="shared" si="22"/>
        <v/>
      </c>
      <c r="M70" t="str" cm="1">
        <f t="array" ref="M70">_xlfn.XLOOKUP(A70,J$14:J269,B$14:B269,"")</f>
        <v/>
      </c>
      <c r="N70" t="str" cm="1">
        <f t="array" ref="N70">_xlfn.XLOOKUP(A70,J$14:J269,C$14:C269,"")</f>
        <v/>
      </c>
      <c r="O70" t="str" cm="1">
        <f t="array" ref="O70">_xlfn.XLOOKUP(A70,J$14:J269,E$14:E269,"")</f>
        <v/>
      </c>
      <c r="P70" t="str" cm="1">
        <f t="array" ref="P70">_xlfn.XLOOKUP(A70,J$14:J269,G$14:G269,"")</f>
        <v/>
      </c>
      <c r="Q70" t="str" cm="1">
        <f t="array" ref="Q70">_xlfn.XLOOKUP(A70,J$14:J269,F$14:F269,"")</f>
        <v/>
      </c>
      <c r="R70" t="str" cm="1">
        <f t="array" ref="R70">_xlfn.XLOOKUP(A70,J$14:J269,I$14:I269,"")</f>
        <v/>
      </c>
      <c r="S70" t="str" cm="1">
        <f t="array" ref="S70">_xlfn.XLOOKUP(A70,J$14:J269,H$14:H269,"")</f>
        <v/>
      </c>
      <c r="T70" t="str" cm="1">
        <f t="array" ref="T70">VLOOKUP(ROW(57:57),L$14:S$163,8)</f>
        <v/>
      </c>
      <c r="U70" t="str" cm="1">
        <f t="array" ref="U70">VLOOKUP(ROW(57:57),L$14:M$163,2)</f>
        <v/>
      </c>
      <c r="V70" t="str" cm="1">
        <f t="array" ref="V70">VLOOKUP(ROW(57:57),L$14:O$163,4)</f>
        <v/>
      </c>
      <c r="W70" t="str" cm="1">
        <f t="array" ref="W70">VLOOKUP(ROW(57:57),L$14:Q$163,6)</f>
        <v/>
      </c>
      <c r="X70" cm="1">
        <f t="array" ref="X70">IFERROR(VLOOKUP(ROW(57:57),L$14:P$213,5)+0,0)</f>
        <v>0</v>
      </c>
      <c r="Y70" t="str" cm="1">
        <f t="array" ref="Y70">VLOOKUP(ROW(57:57),L$14:R$163,7)</f>
        <v/>
      </c>
      <c r="Z70">
        <f>IF(Y70&lt;-2,X70+MAX(Z$14:Z69),0)</f>
        <v>0</v>
      </c>
      <c r="AA70">
        <f>IFERROR(IF(AND(SUM(AA71:AA$214)+X70&lt;=Z$10,W70&lt;=Z$12,Z70=0),X70,0),0)</f>
        <v>0</v>
      </c>
      <c r="AB70">
        <f>IFERROR(IF(AND(W70&lt;=Z$12+10,AB$12-X70&gt;=0,SUM(Z70:AA70)=0,SUM(AB$14:AB69)+X70&lt;AB$12),X70,0),0)</f>
        <v>0</v>
      </c>
      <c r="AD70">
        <f>IF(AND(Y70=-2,SUM(Z70:AB70)=0),X70+MAX(AD$14:AD69),0)</f>
        <v>0</v>
      </c>
      <c r="AE70">
        <f>IFERROR(IF(AND(SUM(AE71:AE$214)+X70&lt;=AD$10,W70&lt;=AD$12,SUM(Z70:AD70)=0),X70,0),0)</f>
        <v>0</v>
      </c>
      <c r="AF70">
        <f>IFERROR(IF(AND(W70&lt;=AD$12+10,AF$12-X70&gt;=0,SUM(Z70:AE70)=0,SUM(AF$14:AF69)+X70&lt;AF$12),X70,0),0)</f>
        <v>0</v>
      </c>
      <c r="AG70">
        <f t="shared" si="42"/>
        <v>0</v>
      </c>
      <c r="AI70">
        <f t="shared" si="43"/>
        <v>0</v>
      </c>
      <c r="AJ70" s="493">
        <f t="shared" si="17"/>
        <v>0</v>
      </c>
      <c r="AK70">
        <f>IF(AJ70=0,0,IF(AJ69=0,MAX(AK$13:AK69)+1,IF(W70&lt;&gt;W69,MAX(AK$14:AK69)+1,IF(ROUNDDOWN(AJ70-0.01,0)=ROUNDDOWN(AJ69-0.01,0),AK69,AK69+1))))</f>
        <v>0</v>
      </c>
      <c r="AL70">
        <f t="shared" si="18"/>
        <v>0</v>
      </c>
      <c r="AM70">
        <f t="shared" si="19"/>
        <v>0</v>
      </c>
      <c r="AN70">
        <f>IF(AM70&gt;AN$12,IF(AK70=AK69,AN69,MAX(AN$13:AN69)+1),0)</f>
        <v>0</v>
      </c>
      <c r="AP70">
        <f t="shared" si="44"/>
        <v>0</v>
      </c>
      <c r="AQ70">
        <f>IF(AP70&gt;0,IF(MAX(AQ71:AQ$214)+AP70&gt;ROUNDUP(MAX(AQ71:AQ$214),0),ROUNDUP(MAX(AQ71:AQ$214),0)+AP70,MAX(AQ71:AQ$214)+AP70),0)</f>
        <v>0</v>
      </c>
      <c r="AR70">
        <f t="shared" si="12"/>
        <v>0</v>
      </c>
      <c r="AS70">
        <f t="shared" si="45"/>
        <v>0</v>
      </c>
      <c r="AT70">
        <f t="shared" si="46"/>
        <v>10</v>
      </c>
      <c r="AV70">
        <v>28</v>
      </c>
      <c r="AW70">
        <f t="shared" si="47"/>
        <v>0</v>
      </c>
      <c r="AX70">
        <f t="shared" si="38"/>
        <v>0</v>
      </c>
      <c r="AY70" s="496">
        <f>IF(AND(AX70=AX$42,SUM(AY$43:AY69)=0,AW70=AZ$42,AX$42&lt;&gt;0),AV70,)</f>
        <v>0</v>
      </c>
      <c r="AZ70">
        <f>IF(AND(SUM(AZ$43:AZ69)=0,SUM($AY70:AY70)=0,$AX70&lt;=AY$78,$AX70&gt;0,$AW70&gt;-1),$AV70,0)</f>
        <v>0</v>
      </c>
      <c r="BA70">
        <f>IF(AND(SUM(BA$43:BA69)=0,SUM($AY70:AZ70)=0,$AX70&lt;=AZ$78,$AX70&gt;0,$AW70&gt;-1),$AV70,0)</f>
        <v>0</v>
      </c>
      <c r="BB70">
        <f>IF(AND(SUM(BB$43:BB69)=0,SUM($AY70:BA70)=0,$AX70&lt;=BA$78,$AX70&gt;0,$AW70&gt;-1),$AV70,0)</f>
        <v>0</v>
      </c>
      <c r="BC70">
        <f>IF(AND(SUM(BC$43:BC69)=0,SUM($AY70:BB70)=0,$AX70&lt;=BB$78,$AX70&gt;0,$AW70&gt;-1),$AV70,0)</f>
        <v>0</v>
      </c>
      <c r="BD70">
        <f>IF(AND(SUM(BD$43:BD69)=0,SUM($AY70:BC70)=0,$AX70&lt;=BC$78,$AX70&gt;0,$AW70&gt;-1),$AV70,0)</f>
        <v>0</v>
      </c>
      <c r="BE70">
        <f>IF(AND(SUM(BE$43:BE69)=0,SUM($AY70:BD70)=0,$AX70&lt;=BD$78,$AX70&gt;0,$AW70&gt;-1),$AV70,0)</f>
        <v>0</v>
      </c>
      <c r="BF70">
        <f>IF(AND(SUM(BF$43:BF69)=0,SUM($AY70:BE70)=0,$AX70&lt;=BE$78,$AX70&gt;0,$AW70&gt;-1),$AV70,0)</f>
        <v>0</v>
      </c>
      <c r="BG70">
        <f t="shared" si="39"/>
        <v>0</v>
      </c>
      <c r="BH70" s="494">
        <f t="shared" si="40"/>
        <v>0</v>
      </c>
      <c r="BI70">
        <f t="shared" si="41"/>
        <v>0</v>
      </c>
      <c r="BJ70">
        <v>17</v>
      </c>
      <c r="BK70">
        <f t="shared" si="49"/>
        <v>0</v>
      </c>
      <c r="BL70">
        <f t="shared" si="48"/>
        <v>0</v>
      </c>
      <c r="BM70" s="517"/>
    </row>
    <row r="71" spans="1:65" x14ac:dyDescent="0.25">
      <c r="A71">
        <v>58</v>
      </c>
      <c r="B71" t="str">
        <f>_xlfn.XLOOKUP(A71,Order!R$12:R$859,Order!C$12:C$859,"")</f>
        <v/>
      </c>
      <c r="C71" t="str">
        <f>_xlfn.XLOOKUP(A71,Order!R$12:R$859,Order!S$12:S$859,"")</f>
        <v/>
      </c>
      <c r="D71" t="str">
        <f>_xlfn.XLOOKUP(A71,Order!R$12:R$859,Order!B$12:B$859,"")</f>
        <v/>
      </c>
      <c r="E71" t="str">
        <f>_xlfn.XLOOKUP(A71,Order!R$12:R$859,Order!P$12:P$859,"")</f>
        <v/>
      </c>
      <c r="F71" t="str">
        <f>_xlfn.XLOOKUP(A71,Order!R$12:R$859,Order!T$12:T$859,"")</f>
        <v/>
      </c>
      <c r="G71" t="str">
        <f>_xlfn.XLOOKUP(A71,Order!R$12:R$859,Order!U$12:U$859,"")</f>
        <v/>
      </c>
      <c r="H71" t="str">
        <f>_xlfn.XLOOKUP(A71,Order!R$12:R$859,Order!B$12:B$859,"")</f>
        <v/>
      </c>
      <c r="I71" t="str">
        <f>_xlfn.XLOOKUP(A71,Order!R$12:R$859,Order!V$12:V$859,"")</f>
        <v/>
      </c>
      <c r="J71" t="str">
        <f>IFERROR(RANK(F71,F$14:F$213,1)+COUNTIF(F$14:F71,F71)-1,"")</f>
        <v/>
      </c>
      <c r="L71" t="str">
        <f t="shared" si="22"/>
        <v/>
      </c>
      <c r="M71" t="str" cm="1">
        <f t="array" ref="M71">_xlfn.XLOOKUP(A71,J$14:J270,B$14:B270,"")</f>
        <v/>
      </c>
      <c r="N71" t="str" cm="1">
        <f t="array" ref="N71">_xlfn.XLOOKUP(A71,J$14:J270,C$14:C270,"")</f>
        <v/>
      </c>
      <c r="O71" t="str" cm="1">
        <f t="array" ref="O71">_xlfn.XLOOKUP(A71,J$14:J270,E$14:E270,"")</f>
        <v/>
      </c>
      <c r="P71" t="str" cm="1">
        <f t="array" ref="P71">_xlfn.XLOOKUP(A71,J$14:J270,G$14:G270,"")</f>
        <v/>
      </c>
      <c r="Q71" t="str" cm="1">
        <f t="array" ref="Q71">_xlfn.XLOOKUP(A71,J$14:J270,F$14:F270,"")</f>
        <v/>
      </c>
      <c r="R71" t="str" cm="1">
        <f t="array" ref="R71">_xlfn.XLOOKUP(A71,J$14:J270,I$14:I270,"")</f>
        <v/>
      </c>
      <c r="S71" t="str" cm="1">
        <f t="array" ref="S71">_xlfn.XLOOKUP(A71,J$14:J270,H$14:H270,"")</f>
        <v/>
      </c>
      <c r="T71" t="str" cm="1">
        <f t="array" ref="T71">VLOOKUP(ROW(58:58),L$14:S$163,8)</f>
        <v/>
      </c>
      <c r="U71" t="str" cm="1">
        <f t="array" ref="U71">VLOOKUP(ROW(58:58),L$14:M$163,2)</f>
        <v/>
      </c>
      <c r="V71" t="str" cm="1">
        <f t="array" ref="V71">VLOOKUP(ROW(58:58),L$14:O$163,4)</f>
        <v/>
      </c>
      <c r="W71" t="str" cm="1">
        <f t="array" ref="W71">VLOOKUP(ROW(58:58),L$14:Q$163,6)</f>
        <v/>
      </c>
      <c r="X71" cm="1">
        <f t="array" ref="X71">IFERROR(VLOOKUP(ROW(58:58),L$14:P$213,5)+0,0)</f>
        <v>0</v>
      </c>
      <c r="Y71" t="str" cm="1">
        <f t="array" ref="Y71">VLOOKUP(ROW(58:58),L$14:R$163,7)</f>
        <v/>
      </c>
      <c r="Z71">
        <f>IF(Y71&lt;-2,X71+MAX(Z$14:Z70),0)</f>
        <v>0</v>
      </c>
      <c r="AA71">
        <f>IFERROR(IF(AND(SUM(AA72:AA$214)+X71&lt;=Z$10,W71&lt;=Z$12,Z71=0),X71,0),0)</f>
        <v>0</v>
      </c>
      <c r="AB71">
        <f>IFERROR(IF(AND(W71&lt;=Z$12+10,AB$12-X71&gt;=0,SUM(Z71:AA71)=0,SUM(AB$14:AB70)+X71&lt;AB$12),X71,0),0)</f>
        <v>0</v>
      </c>
      <c r="AD71">
        <f>IF(AND(Y71=-2,SUM(Z71:AB71)=0),X71+MAX(AD$14:AD70),0)</f>
        <v>0</v>
      </c>
      <c r="AE71">
        <f>IFERROR(IF(AND(SUM(AE72:AE$214)+X71&lt;=AD$10,W71&lt;=AD$12,SUM(Z71:AD71)=0),X71,0),0)</f>
        <v>0</v>
      </c>
      <c r="AF71">
        <f>IFERROR(IF(AND(W71&lt;=AD$12+10,AF$12-X71&gt;=0,SUM(Z71:AE71)=0,SUM(AF$14:AF70)+X71&lt;AF$12),X71,0),0)</f>
        <v>0</v>
      </c>
      <c r="AG71">
        <f t="shared" si="42"/>
        <v>0</v>
      </c>
      <c r="AI71">
        <f t="shared" si="43"/>
        <v>0</v>
      </c>
      <c r="AJ71" s="493">
        <f t="shared" si="17"/>
        <v>0</v>
      </c>
      <c r="AK71">
        <f>IF(AJ71=0,0,IF(AJ70=0,MAX(AK$13:AK70)+1,IF(W71&lt;&gt;W70,MAX(AK$14:AK70)+1,IF(ROUNDDOWN(AJ71-0.01,0)=ROUNDDOWN(AJ70-0.01,0),AK70,AK70+1))))</f>
        <v>0</v>
      </c>
      <c r="AL71">
        <f t="shared" si="18"/>
        <v>0</v>
      </c>
      <c r="AM71">
        <f t="shared" si="19"/>
        <v>0</v>
      </c>
      <c r="AN71">
        <f>IF(AM71&gt;AN$12,IF(AK71=AK70,AN70,MAX(AN$13:AN70)+1),0)</f>
        <v>0</v>
      </c>
      <c r="AP71">
        <f t="shared" si="44"/>
        <v>0</v>
      </c>
      <c r="AQ71">
        <f>IF(AP71&gt;0,IF(MAX(AQ72:AQ$214)+AP71&gt;ROUNDUP(MAX(AQ72:AQ$214),0),ROUNDUP(MAX(AQ72:AQ$214),0)+AP71,MAX(AQ72:AQ$214)+AP71),0)</f>
        <v>0</v>
      </c>
      <c r="AR71">
        <f t="shared" si="12"/>
        <v>0</v>
      </c>
      <c r="AS71">
        <f t="shared" si="45"/>
        <v>0</v>
      </c>
      <c r="AT71">
        <f t="shared" si="46"/>
        <v>10</v>
      </c>
      <c r="AV71">
        <v>29</v>
      </c>
      <c r="AW71">
        <f t="shared" si="47"/>
        <v>0</v>
      </c>
      <c r="AX71">
        <f t="shared" si="38"/>
        <v>0</v>
      </c>
      <c r="AY71" s="496">
        <f>IF(AND(AX71=AX$42,SUM(AY$43:AY70)=0,AW71=AZ$42,AX$42&lt;&gt;0),AV71,)</f>
        <v>0</v>
      </c>
      <c r="AZ71">
        <f>IF(AND(SUM(AZ$43:AZ70)=0,SUM($AY71:AY71)=0,$AX71&lt;=AY$78,$AX71&gt;0,$AW71&gt;-1),$AV71,0)</f>
        <v>0</v>
      </c>
      <c r="BA71">
        <f>IF(AND(SUM(BA$43:BA70)=0,SUM($AY71:AZ71)=0,$AX71&lt;=AZ$78,$AX71&gt;0,$AW71&gt;-1),$AV71,0)</f>
        <v>0</v>
      </c>
      <c r="BB71">
        <f>IF(AND(SUM(BB$43:BB70)=0,SUM($AY71:BA71)=0,$AX71&lt;=BA$78,$AX71&gt;0,$AW71&gt;-1),$AV71,0)</f>
        <v>0</v>
      </c>
      <c r="BC71">
        <f>IF(AND(SUM(BC$43:BC70)=0,SUM($AY71:BB71)=0,$AX71&lt;=BB$78,$AX71&gt;0,$AW71&gt;-1),$AV71,0)</f>
        <v>0</v>
      </c>
      <c r="BD71">
        <f>IF(AND(SUM(BD$43:BD70)=0,SUM($AY71:BC71)=0,$AX71&lt;=BC$78,$AX71&gt;0,$AW71&gt;-1),$AV71,0)</f>
        <v>0</v>
      </c>
      <c r="BE71">
        <f>IF(AND(SUM(BE$43:BE70)=0,SUM($AY71:BD71)=0,$AX71&lt;=BD$78,$AX71&gt;0,$AW71&gt;-1),$AV71,0)</f>
        <v>0</v>
      </c>
      <c r="BF71">
        <f>IF(AND(SUM(BF$43:BF70)=0,SUM($AY71:BE71)=0,$AX71&lt;=BE$78,$AX71&gt;0,$AW71&gt;-1),$AV71,0)</f>
        <v>0</v>
      </c>
      <c r="BG71">
        <f t="shared" si="39"/>
        <v>0</v>
      </c>
      <c r="BH71" s="494">
        <f t="shared" si="40"/>
        <v>0</v>
      </c>
      <c r="BI71">
        <f t="shared" si="41"/>
        <v>0</v>
      </c>
      <c r="BJ71">
        <v>18</v>
      </c>
      <c r="BK71">
        <f t="shared" si="49"/>
        <v>0</v>
      </c>
      <c r="BL71">
        <f t="shared" si="48"/>
        <v>0</v>
      </c>
      <c r="BM71" s="517"/>
    </row>
    <row r="72" spans="1:65" x14ac:dyDescent="0.25">
      <c r="A72">
        <v>59</v>
      </c>
      <c r="B72" t="str">
        <f>_xlfn.XLOOKUP(A72,Order!R$12:R$859,Order!C$12:C$859,"")</f>
        <v/>
      </c>
      <c r="C72" t="str">
        <f>_xlfn.XLOOKUP(A72,Order!R$12:R$859,Order!S$12:S$859,"")</f>
        <v/>
      </c>
      <c r="D72" t="str">
        <f>_xlfn.XLOOKUP(A72,Order!R$12:R$859,Order!B$12:B$859,"")</f>
        <v/>
      </c>
      <c r="E72" t="str">
        <f>_xlfn.XLOOKUP(A72,Order!R$12:R$859,Order!P$12:P$859,"")</f>
        <v/>
      </c>
      <c r="F72" t="str">
        <f>_xlfn.XLOOKUP(A72,Order!R$12:R$859,Order!T$12:T$859,"")</f>
        <v/>
      </c>
      <c r="G72" t="str">
        <f>_xlfn.XLOOKUP(A72,Order!R$12:R$859,Order!U$12:U$859,"")</f>
        <v/>
      </c>
      <c r="H72" t="str">
        <f>_xlfn.XLOOKUP(A72,Order!R$12:R$859,Order!B$12:B$859,"")</f>
        <v/>
      </c>
      <c r="I72" t="str">
        <f>_xlfn.XLOOKUP(A72,Order!R$12:R$859,Order!V$12:V$859,"")</f>
        <v/>
      </c>
      <c r="J72" t="str">
        <f>IFERROR(RANK(F72,F$14:F$213,1)+COUNTIF(F$14:F72,F72)-1,"")</f>
        <v/>
      </c>
      <c r="L72" t="str">
        <f t="shared" si="22"/>
        <v/>
      </c>
      <c r="M72" t="str" cm="1">
        <f t="array" ref="M72">_xlfn.XLOOKUP(A72,J$14:J271,B$14:B271,"")</f>
        <v/>
      </c>
      <c r="N72" t="str" cm="1">
        <f t="array" ref="N72">_xlfn.XLOOKUP(A72,J$14:J271,C$14:C271,"")</f>
        <v/>
      </c>
      <c r="O72" t="str" cm="1">
        <f t="array" ref="O72">_xlfn.XLOOKUP(A72,J$14:J271,E$14:E271,"")</f>
        <v/>
      </c>
      <c r="P72" t="str" cm="1">
        <f t="array" ref="P72">_xlfn.XLOOKUP(A72,J$14:J271,G$14:G271,"")</f>
        <v/>
      </c>
      <c r="Q72" t="str" cm="1">
        <f t="array" ref="Q72">_xlfn.XLOOKUP(A72,J$14:J271,F$14:F271,"")</f>
        <v/>
      </c>
      <c r="R72" t="str" cm="1">
        <f t="array" ref="R72">_xlfn.XLOOKUP(A72,J$14:J271,I$14:I271,"")</f>
        <v/>
      </c>
      <c r="S72" t="str" cm="1">
        <f t="array" ref="S72">_xlfn.XLOOKUP(A72,J$14:J271,H$14:H271,"")</f>
        <v/>
      </c>
      <c r="T72" t="str" cm="1">
        <f t="array" ref="T72">VLOOKUP(ROW(59:59),L$14:S$163,8)</f>
        <v/>
      </c>
      <c r="U72" t="str" cm="1">
        <f t="array" ref="U72">VLOOKUP(ROW(59:59),L$14:M$163,2)</f>
        <v/>
      </c>
      <c r="V72" t="str" cm="1">
        <f t="array" ref="V72">VLOOKUP(ROW(59:59),L$14:O$163,4)</f>
        <v/>
      </c>
      <c r="W72" t="str" cm="1">
        <f t="array" ref="W72">VLOOKUP(ROW(59:59),L$14:Q$163,6)</f>
        <v/>
      </c>
      <c r="X72" cm="1">
        <f t="array" ref="X72">IFERROR(VLOOKUP(ROW(59:59),L$14:P$213,5)+0,0)</f>
        <v>0</v>
      </c>
      <c r="Y72" t="str" cm="1">
        <f t="array" ref="Y72">VLOOKUP(ROW(59:59),L$14:R$163,7)</f>
        <v/>
      </c>
      <c r="Z72">
        <f>IF(Y72&lt;-2,X72+MAX(Z$14:Z71),0)</f>
        <v>0</v>
      </c>
      <c r="AA72">
        <f>IFERROR(IF(AND(SUM(AA73:AA$214)+X72&lt;=Z$10,W72&lt;=Z$12,Z72=0),X72,0),0)</f>
        <v>0</v>
      </c>
      <c r="AB72">
        <f>IFERROR(IF(AND(W72&lt;=Z$12+10,AB$12-X72&gt;=0,SUM(Z72:AA72)=0,SUM(AB$14:AB71)+X72&lt;AB$12),X72,0),0)</f>
        <v>0</v>
      </c>
      <c r="AD72">
        <f>IF(AND(Y72=-2,SUM(Z72:AB72)=0),X72+MAX(AD$14:AD71),0)</f>
        <v>0</v>
      </c>
      <c r="AE72">
        <f>IFERROR(IF(AND(SUM(AE73:AE$214)+X72&lt;=AD$10,W72&lt;=AD$12,SUM(Z72:AD72)=0),X72,0),0)</f>
        <v>0</v>
      </c>
      <c r="AF72">
        <f>IFERROR(IF(AND(W72&lt;=AD$12+10,AF$12-X72&gt;=0,SUM(Z72:AE72)=0,SUM(AF$14:AF71)+X72&lt;AF$12),X72,0),0)</f>
        <v>0</v>
      </c>
      <c r="AG72">
        <f t="shared" si="42"/>
        <v>0</v>
      </c>
      <c r="AI72">
        <f t="shared" si="43"/>
        <v>0</v>
      </c>
      <c r="AJ72" s="493">
        <f t="shared" si="17"/>
        <v>0</v>
      </c>
      <c r="AK72">
        <f>IF(AJ72=0,0,IF(AJ71=0,MAX(AK$13:AK71)+1,IF(W72&lt;&gt;W71,MAX(AK$14:AK71)+1,IF(ROUNDDOWN(AJ72-0.01,0)=ROUNDDOWN(AJ71-0.01,0),AK71,AK71+1))))</f>
        <v>0</v>
      </c>
      <c r="AL72">
        <f t="shared" si="18"/>
        <v>0</v>
      </c>
      <c r="AM72">
        <f t="shared" si="19"/>
        <v>0</v>
      </c>
      <c r="AN72">
        <f>IF(AM72&gt;AN$12,IF(AK72=AK71,AN71,MAX(AN$13:AN71)+1),0)</f>
        <v>0</v>
      </c>
      <c r="AP72">
        <f t="shared" si="44"/>
        <v>0</v>
      </c>
      <c r="AQ72">
        <f>IF(AP72&gt;0,IF(MAX(AQ73:AQ$214)+AP72&gt;ROUNDUP(MAX(AQ73:AQ$214),0),ROUNDUP(MAX(AQ73:AQ$214),0)+AP72,MAX(AQ73:AQ$214)+AP72),0)</f>
        <v>0</v>
      </c>
      <c r="AR72">
        <f t="shared" si="12"/>
        <v>0</v>
      </c>
      <c r="AS72">
        <f t="shared" si="45"/>
        <v>0</v>
      </c>
      <c r="AT72">
        <f t="shared" si="46"/>
        <v>10</v>
      </c>
      <c r="AV72">
        <v>30</v>
      </c>
      <c r="AW72">
        <f t="shared" si="47"/>
        <v>0</v>
      </c>
      <c r="AX72">
        <f t="shared" si="38"/>
        <v>0</v>
      </c>
      <c r="AY72" s="496">
        <f>IF(AND(AX72=AX$42,SUM(AY$43:AY71)=0,AW72=AZ$42,AX$42&lt;&gt;0),AV72,)</f>
        <v>0</v>
      </c>
      <c r="AZ72">
        <f>IF(AND(SUM(AZ$43:AZ71)=0,SUM($AY72:AY72)=0,$AX72&lt;=AY$78,$AX72&gt;0,$AW72&gt;-1),$AV72,0)</f>
        <v>0</v>
      </c>
      <c r="BA72">
        <f>IF(AND(SUM(BA$43:BA71)=0,SUM($AY72:AZ72)=0,$AX72&lt;=AZ$78,$AX72&gt;0,$AW72&gt;-1),$AV72,0)</f>
        <v>0</v>
      </c>
      <c r="BB72">
        <f>IF(AND(SUM(BB$43:BB71)=0,SUM($AY72:BA72)=0,$AX72&lt;=BA$78,$AX72&gt;0,$AW72&gt;-1),$AV72,0)</f>
        <v>0</v>
      </c>
      <c r="BC72">
        <f>IF(AND(SUM(BC$43:BC71)=0,SUM($AY72:BB72)=0,$AX72&lt;=BB$78,$AX72&gt;0,$AW72&gt;-1),$AV72,0)</f>
        <v>0</v>
      </c>
      <c r="BD72">
        <f>IF(AND(SUM(BD$43:BD71)=0,SUM($AY72:BC72)=0,$AX72&lt;=BC$78,$AX72&gt;0,$AW72&gt;-1),$AV72,0)</f>
        <v>0</v>
      </c>
      <c r="BE72">
        <f>IF(AND(SUM(BE$43:BE71)=0,SUM($AY72:BD72)=0,$AX72&lt;=BD$78,$AX72&gt;0,$AW72&gt;-1),$AV72,0)</f>
        <v>0</v>
      </c>
      <c r="BF72">
        <f>IF(AND(SUM(BF$43:BF71)=0,SUM($AY72:BE72)=0,$AX72&lt;=BE$78,$AX72&gt;0,$AW72&gt;-1),$AV72,0)</f>
        <v>0</v>
      </c>
      <c r="BG72">
        <f t="shared" si="39"/>
        <v>0</v>
      </c>
      <c r="BH72" s="494">
        <f t="shared" si="40"/>
        <v>0</v>
      </c>
      <c r="BI72">
        <f t="shared" si="41"/>
        <v>0</v>
      </c>
      <c r="BJ72">
        <v>19</v>
      </c>
      <c r="BK72">
        <f t="shared" si="49"/>
        <v>0</v>
      </c>
      <c r="BL72">
        <f t="shared" si="48"/>
        <v>0</v>
      </c>
      <c r="BM72" s="517"/>
    </row>
    <row r="73" spans="1:65" x14ac:dyDescent="0.25">
      <c r="A73">
        <v>60</v>
      </c>
      <c r="B73" t="str">
        <f>_xlfn.XLOOKUP(A73,Order!R$12:R$859,Order!C$12:C$859,"")</f>
        <v/>
      </c>
      <c r="C73" t="str">
        <f>_xlfn.XLOOKUP(A73,Order!R$12:R$859,Order!S$12:S$859,"")</f>
        <v/>
      </c>
      <c r="D73" t="str">
        <f>_xlfn.XLOOKUP(A73,Order!R$12:R$859,Order!B$12:B$859,"")</f>
        <v/>
      </c>
      <c r="E73" t="str">
        <f>_xlfn.XLOOKUP(A73,Order!R$12:R$859,Order!P$12:P$859,"")</f>
        <v/>
      </c>
      <c r="F73" t="str">
        <f>_xlfn.XLOOKUP(A73,Order!R$12:R$859,Order!T$12:T$859,"")</f>
        <v/>
      </c>
      <c r="G73" t="str">
        <f>_xlfn.XLOOKUP(A73,Order!R$12:R$859,Order!U$12:U$859,"")</f>
        <v/>
      </c>
      <c r="H73" t="str">
        <f>_xlfn.XLOOKUP(A73,Order!R$12:R$859,Order!B$12:B$859,"")</f>
        <v/>
      </c>
      <c r="I73" t="str">
        <f>_xlfn.XLOOKUP(A73,Order!R$12:R$859,Order!V$12:V$859,"")</f>
        <v/>
      </c>
      <c r="J73" t="str">
        <f>IFERROR(RANK(F73,F$14:F$213,1)+COUNTIF(F$14:F73,F73)-1,"")</f>
        <v/>
      </c>
      <c r="L73" t="str">
        <f t="shared" si="22"/>
        <v/>
      </c>
      <c r="M73" t="str" cm="1">
        <f t="array" ref="M73">_xlfn.XLOOKUP(A73,J$14:J272,B$14:B272,"")</f>
        <v/>
      </c>
      <c r="N73" t="str" cm="1">
        <f t="array" ref="N73">_xlfn.XLOOKUP(A73,J$14:J272,C$14:C272,"")</f>
        <v/>
      </c>
      <c r="O73" t="str" cm="1">
        <f t="array" ref="O73">_xlfn.XLOOKUP(A73,J$14:J272,E$14:E272,"")</f>
        <v/>
      </c>
      <c r="P73" t="str" cm="1">
        <f t="array" ref="P73">_xlfn.XLOOKUP(A73,J$14:J272,G$14:G272,"")</f>
        <v/>
      </c>
      <c r="Q73" t="str" cm="1">
        <f t="array" ref="Q73">_xlfn.XLOOKUP(A73,J$14:J272,F$14:F272,"")</f>
        <v/>
      </c>
      <c r="R73" t="str" cm="1">
        <f t="array" ref="R73">_xlfn.XLOOKUP(A73,J$14:J272,I$14:I272,"")</f>
        <v/>
      </c>
      <c r="S73" t="str" cm="1">
        <f t="array" ref="S73">_xlfn.XLOOKUP(A73,J$14:J272,H$14:H272,"")</f>
        <v/>
      </c>
      <c r="T73" t="str" cm="1">
        <f t="array" ref="T73">VLOOKUP(ROW(60:60),L$14:S$163,8)</f>
        <v/>
      </c>
      <c r="U73" t="str" cm="1">
        <f t="array" ref="U73">VLOOKUP(ROW(60:60),L$14:M$163,2)</f>
        <v/>
      </c>
      <c r="V73" t="str" cm="1">
        <f t="array" ref="V73">VLOOKUP(ROW(60:60),L$14:O$163,4)</f>
        <v/>
      </c>
      <c r="W73" t="str" cm="1">
        <f t="array" ref="W73">VLOOKUP(ROW(60:60),L$14:Q$163,6)</f>
        <v/>
      </c>
      <c r="X73" cm="1">
        <f t="array" ref="X73">IFERROR(VLOOKUP(ROW(60:60),L$14:P$213,5)+0,0)</f>
        <v>0</v>
      </c>
      <c r="Y73" t="str" cm="1">
        <f t="array" ref="Y73">VLOOKUP(ROW(60:60),L$14:R$163,7)</f>
        <v/>
      </c>
      <c r="Z73">
        <f>IF(Y73&lt;-2,X73+MAX(Z$14:Z72),0)</f>
        <v>0</v>
      </c>
      <c r="AA73">
        <f>IFERROR(IF(AND(SUM(AA74:AA$214)+X73&lt;=Z$10,W73&lt;=Z$12,Z73=0),X73,0),0)</f>
        <v>0</v>
      </c>
      <c r="AB73">
        <f>IFERROR(IF(AND(W73&lt;=Z$12+10,AB$12-X73&gt;=0,SUM(Z73:AA73)=0,SUM(AB$14:AB72)+X73&lt;AB$12),X73,0),0)</f>
        <v>0</v>
      </c>
      <c r="AD73">
        <f>IF(AND(Y73=-2,SUM(Z73:AB73)=0),X73+MAX(AD$14:AD72),0)</f>
        <v>0</v>
      </c>
      <c r="AE73">
        <f>IFERROR(IF(AND(SUM(AE74:AE$214)+X73&lt;=AD$10,W73&lt;=AD$12,SUM(Z73:AD73)=0),X73,0),0)</f>
        <v>0</v>
      </c>
      <c r="AF73">
        <f>IFERROR(IF(AND(W73&lt;=AD$12+10,AF$12-X73&gt;=0,SUM(Z73:AE73)=0,SUM(AF$14:AF72)+X73&lt;AF$12),X73,0),0)</f>
        <v>0</v>
      </c>
      <c r="AG73">
        <f t="shared" si="42"/>
        <v>0</v>
      </c>
      <c r="AI73">
        <f t="shared" si="43"/>
        <v>0</v>
      </c>
      <c r="AJ73" s="493">
        <f t="shared" si="17"/>
        <v>0</v>
      </c>
      <c r="AK73">
        <f>IF(AJ73=0,0,IF(AJ72=0,MAX(AK$13:AK72)+1,IF(W73&lt;&gt;W72,MAX(AK$14:AK72)+1,IF(ROUNDDOWN(AJ73-0.01,0)=ROUNDDOWN(AJ72-0.01,0),AK72,AK72+1))))</f>
        <v>0</v>
      </c>
      <c r="AL73">
        <f t="shared" si="18"/>
        <v>0</v>
      </c>
      <c r="AM73">
        <f t="shared" si="19"/>
        <v>0</v>
      </c>
      <c r="AN73">
        <f>IF(AM73&gt;AN$12,IF(AK73=AK72,AN72,MAX(AN$13:AN72)+1),0)</f>
        <v>0</v>
      </c>
      <c r="AP73">
        <f t="shared" si="44"/>
        <v>0</v>
      </c>
      <c r="AQ73">
        <f>IF(AP73&gt;0,IF(MAX(AQ74:AQ$214)+AP73&gt;ROUNDUP(MAX(AQ74:AQ$214),0),ROUNDUP(MAX(AQ74:AQ$214),0)+AP73,MAX(AQ74:AQ$214)+AP73),0)</f>
        <v>0</v>
      </c>
      <c r="AR73">
        <f t="shared" si="12"/>
        <v>0</v>
      </c>
      <c r="AS73">
        <f t="shared" si="45"/>
        <v>0</v>
      </c>
      <c r="AT73">
        <f t="shared" si="46"/>
        <v>10</v>
      </c>
      <c r="AV73" s="461"/>
      <c r="AW73" s="461"/>
      <c r="AX73" s="461"/>
      <c r="AY73" s="461">
        <f t="shared" ref="AY73:BF73" si="50">SUM(AY43:AY72)</f>
        <v>0</v>
      </c>
      <c r="AZ73" s="461">
        <f t="shared" si="50"/>
        <v>0</v>
      </c>
      <c r="BA73" s="461">
        <f t="shared" si="50"/>
        <v>0</v>
      </c>
      <c r="BB73" s="461">
        <f t="shared" si="50"/>
        <v>0</v>
      </c>
      <c r="BC73" s="461">
        <f t="shared" si="50"/>
        <v>0</v>
      </c>
      <c r="BD73" s="461">
        <f t="shared" si="50"/>
        <v>0</v>
      </c>
      <c r="BE73" s="461">
        <f t="shared" si="50"/>
        <v>0</v>
      </c>
      <c r="BF73" s="461">
        <f t="shared" si="50"/>
        <v>0</v>
      </c>
      <c r="BG73" s="461"/>
      <c r="BH73" s="461"/>
      <c r="BJ73">
        <v>20</v>
      </c>
      <c r="BK73">
        <f t="shared" si="49"/>
        <v>0</v>
      </c>
      <c r="BL73">
        <f t="shared" si="48"/>
        <v>0</v>
      </c>
      <c r="BM73" s="517"/>
    </row>
    <row r="74" spans="1:65" x14ac:dyDescent="0.25">
      <c r="A74">
        <v>61</v>
      </c>
      <c r="B74" t="str">
        <f>_xlfn.XLOOKUP(A74,Order!R$12:R$859,Order!C$12:C$859,"")</f>
        <v/>
      </c>
      <c r="C74" t="str">
        <f>_xlfn.XLOOKUP(A74,Order!R$12:R$859,Order!S$12:S$859,"")</f>
        <v/>
      </c>
      <c r="D74" t="str">
        <f>_xlfn.XLOOKUP(A74,Order!R$12:R$859,Order!B$12:B$859,"")</f>
        <v/>
      </c>
      <c r="E74" t="str">
        <f>_xlfn.XLOOKUP(A74,Order!R$12:R$859,Order!P$12:P$859,"")</f>
        <v/>
      </c>
      <c r="F74" t="str">
        <f>_xlfn.XLOOKUP(A74,Order!R$12:R$859,Order!T$12:T$859,"")</f>
        <v/>
      </c>
      <c r="G74" t="str">
        <f>_xlfn.XLOOKUP(A74,Order!R$12:R$859,Order!U$12:U$859,"")</f>
        <v/>
      </c>
      <c r="H74" t="str">
        <f>_xlfn.XLOOKUP(A74,Order!R$12:R$859,Order!B$12:B$859,"")</f>
        <v/>
      </c>
      <c r="I74" t="str">
        <f>_xlfn.XLOOKUP(A74,Order!R$12:R$859,Order!V$12:V$859,"")</f>
        <v/>
      </c>
      <c r="J74" t="str">
        <f>IFERROR(RANK(F74,F$14:F$213,1)+COUNTIF(F$14:F74,F74)-1,"")</f>
        <v/>
      </c>
      <c r="L74" t="str">
        <f t="shared" si="22"/>
        <v/>
      </c>
      <c r="M74" t="str" cm="1">
        <f t="array" ref="M74">_xlfn.XLOOKUP(A74,J$14:J273,B$14:B273,"")</f>
        <v/>
      </c>
      <c r="N74" t="str" cm="1">
        <f t="array" ref="N74">_xlfn.XLOOKUP(A74,J$14:J273,C$14:C273,"")</f>
        <v/>
      </c>
      <c r="O74" t="str" cm="1">
        <f t="array" ref="O74">_xlfn.XLOOKUP(A74,J$14:J273,E$14:E273,"")</f>
        <v/>
      </c>
      <c r="P74" t="str" cm="1">
        <f t="array" ref="P74">_xlfn.XLOOKUP(A74,J$14:J273,G$14:G273,"")</f>
        <v/>
      </c>
      <c r="Q74" t="str" cm="1">
        <f t="array" ref="Q74">_xlfn.XLOOKUP(A74,J$14:J273,F$14:F273,"")</f>
        <v/>
      </c>
      <c r="R74" t="str" cm="1">
        <f t="array" ref="R74">_xlfn.XLOOKUP(A74,J$14:J273,I$14:I273,"")</f>
        <v/>
      </c>
      <c r="S74" t="str" cm="1">
        <f t="array" ref="S74">_xlfn.XLOOKUP(A74,J$14:J273,H$14:H273,"")</f>
        <v/>
      </c>
      <c r="T74" t="str" cm="1">
        <f t="array" ref="T74">VLOOKUP(ROW(61:61),L$14:S$163,8)</f>
        <v/>
      </c>
      <c r="U74" t="str" cm="1">
        <f t="array" ref="U74">VLOOKUP(ROW(61:61),L$14:M$163,2)</f>
        <v/>
      </c>
      <c r="V74" t="str" cm="1">
        <f t="array" ref="V74">VLOOKUP(ROW(61:61),L$14:O$163,4)</f>
        <v/>
      </c>
      <c r="W74" t="str" cm="1">
        <f t="array" ref="W74">VLOOKUP(ROW(61:61),L$14:Q$163,6)</f>
        <v/>
      </c>
      <c r="X74" cm="1">
        <f t="array" ref="X74">IFERROR(VLOOKUP(ROW(61:61),L$14:P$213,5)+0,0)</f>
        <v>0</v>
      </c>
      <c r="Y74" t="str" cm="1">
        <f t="array" ref="Y74">VLOOKUP(ROW(61:61),L$14:R$163,7)</f>
        <v/>
      </c>
      <c r="Z74">
        <f>IF(Y74&lt;-2,X74+MAX(Z$14:Z73),0)</f>
        <v>0</v>
      </c>
      <c r="AA74">
        <f>IFERROR(IF(AND(SUM(AA75:AA$214)+X74&lt;=Z$10,W74&lt;=Z$12,Z74=0),X74,0),0)</f>
        <v>0</v>
      </c>
      <c r="AB74">
        <f>IFERROR(IF(AND(W74&lt;=Z$12+10,AB$12-X74&gt;=0,SUM(Z74:AA74)=0,SUM(AB$14:AB73)+X74&lt;AB$12),X74,0),0)</f>
        <v>0</v>
      </c>
      <c r="AD74">
        <f>IF(AND(Y74=-2,SUM(Z74:AB74)=0),X74+MAX(AD$14:AD73),0)</f>
        <v>0</v>
      </c>
      <c r="AE74">
        <f>IFERROR(IF(AND(SUM(AE75:AE$214)+X74&lt;=AD$10,W74&lt;=AD$12,SUM(Z74:AD74)=0),X74,0),0)</f>
        <v>0</v>
      </c>
      <c r="AF74">
        <f>IFERROR(IF(AND(W74&lt;=AD$12+10,AF$12-X74&gt;=0,SUM(Z74:AE74)=0,SUM(AF$14:AF73)+X74&lt;AF$12),X74,0),0)</f>
        <v>0</v>
      </c>
      <c r="AG74">
        <f t="shared" si="42"/>
        <v>0</v>
      </c>
      <c r="AI74">
        <f t="shared" si="43"/>
        <v>0</v>
      </c>
      <c r="AJ74" s="493">
        <f t="shared" si="17"/>
        <v>0</v>
      </c>
      <c r="AK74">
        <f>IF(AJ74=0,0,IF(AJ73=0,MAX(AK$13:AK73)+1,IF(W74&lt;&gt;W73,MAX(AK$14:AK73)+1,IF(ROUNDDOWN(AJ74-0.01,0)=ROUNDDOWN(AJ73-0.01,0),AK73,AK73+1))))</f>
        <v>0</v>
      </c>
      <c r="AL74">
        <f t="shared" si="18"/>
        <v>0</v>
      </c>
      <c r="AM74">
        <f t="shared" si="19"/>
        <v>0</v>
      </c>
      <c r="AN74">
        <f>IF(AM74&gt;AN$12,IF(AK74=AK73,AN73,MAX(AN$13:AN73)+1),0)</f>
        <v>0</v>
      </c>
      <c r="AP74">
        <f t="shared" si="44"/>
        <v>0</v>
      </c>
      <c r="AQ74">
        <f>IF(AP74&gt;0,IF(MAX(AQ75:AQ$214)+AP74&gt;ROUNDUP(MAX(AQ75:AQ$214),0),ROUNDUP(MAX(AQ75:AQ$214),0)+AP74,MAX(AQ75:AQ$214)+AP74),0)</f>
        <v>0</v>
      </c>
      <c r="AR74">
        <f t="shared" si="12"/>
        <v>0</v>
      </c>
      <c r="AS74">
        <f t="shared" si="45"/>
        <v>0</v>
      </c>
      <c r="AT74">
        <f t="shared" si="46"/>
        <v>10</v>
      </c>
      <c r="AX74">
        <f>LARGE(AX43:AX72,2)</f>
        <v>0</v>
      </c>
      <c r="AY74">
        <f t="shared" ref="AY74:BF74" si="51">_xlfn.SINGLE(IF(AY73&gt;0,_xlfn.XLOOKUP(AY73,AY43:AY72,$AX43:$AX72),0))</f>
        <v>0</v>
      </c>
      <c r="AZ74">
        <f t="shared" si="51"/>
        <v>0</v>
      </c>
      <c r="BA74">
        <f t="shared" si="51"/>
        <v>0</v>
      </c>
      <c r="BB74">
        <f t="shared" si="51"/>
        <v>0</v>
      </c>
      <c r="BC74">
        <f t="shared" si="51"/>
        <v>0</v>
      </c>
      <c r="BD74">
        <f t="shared" si="51"/>
        <v>0</v>
      </c>
      <c r="BE74">
        <f t="shared" si="51"/>
        <v>0</v>
      </c>
      <c r="BF74">
        <f t="shared" si="51"/>
        <v>0</v>
      </c>
      <c r="BG74">
        <f>IF(SUM(BG43:BG72)=0,0,IF(BF74&gt;0,6,IF(BE74&gt;0,5,IF(BD74&gt;0,4,IF(BC74&gt;0,3,IF(BB74&gt;0,2,IF(BA74&gt;0,1)))))))</f>
        <v>0</v>
      </c>
      <c r="BH74" s="494">
        <f>MAX(BH43:BH72)</f>
        <v>0</v>
      </c>
      <c r="BJ74">
        <v>21</v>
      </c>
      <c r="BK74">
        <f t="shared" si="49"/>
        <v>0</v>
      </c>
      <c r="BL74">
        <f t="shared" si="48"/>
        <v>0</v>
      </c>
      <c r="BM74" s="517"/>
    </row>
    <row r="75" spans="1:65" x14ac:dyDescent="0.25">
      <c r="A75">
        <v>62</v>
      </c>
      <c r="B75" t="str">
        <f>_xlfn.XLOOKUP(A75,Order!R$12:R$859,Order!C$12:C$859,"")</f>
        <v/>
      </c>
      <c r="C75" t="str">
        <f>_xlfn.XLOOKUP(A75,Order!R$12:R$859,Order!S$12:S$859,"")</f>
        <v/>
      </c>
      <c r="D75" t="str">
        <f>_xlfn.XLOOKUP(A75,Order!R$12:R$859,Order!B$12:B$859,"")</f>
        <v/>
      </c>
      <c r="E75" t="str">
        <f>_xlfn.XLOOKUP(A75,Order!R$12:R$859,Order!P$12:P$859,"")</f>
        <v/>
      </c>
      <c r="F75" t="str">
        <f>_xlfn.XLOOKUP(A75,Order!R$12:R$859,Order!T$12:T$859,"")</f>
        <v/>
      </c>
      <c r="G75" t="str">
        <f>_xlfn.XLOOKUP(A75,Order!R$12:R$859,Order!U$12:U$859,"")</f>
        <v/>
      </c>
      <c r="H75" t="str">
        <f>_xlfn.XLOOKUP(A75,Order!R$12:R$859,Order!B$12:B$859,"")</f>
        <v/>
      </c>
      <c r="I75" t="str">
        <f>_xlfn.XLOOKUP(A75,Order!R$12:R$859,Order!V$12:V$859,"")</f>
        <v/>
      </c>
      <c r="J75" t="str">
        <f>IFERROR(RANK(F75,F$14:F$213,1)+COUNTIF(F$14:F75,F75)-1,"")</f>
        <v/>
      </c>
      <c r="L75" t="str">
        <f t="shared" si="22"/>
        <v/>
      </c>
      <c r="M75" t="str" cm="1">
        <f t="array" ref="M75">_xlfn.XLOOKUP(A75,J$14:J274,B$14:B274,"")</f>
        <v/>
      </c>
      <c r="N75" t="str" cm="1">
        <f t="array" ref="N75">_xlfn.XLOOKUP(A75,J$14:J274,C$14:C274,"")</f>
        <v/>
      </c>
      <c r="O75" t="str" cm="1">
        <f t="array" ref="O75">_xlfn.XLOOKUP(A75,J$14:J274,E$14:E274,"")</f>
        <v/>
      </c>
      <c r="P75" t="str" cm="1">
        <f t="array" ref="P75">_xlfn.XLOOKUP(A75,J$14:J274,G$14:G274,"")</f>
        <v/>
      </c>
      <c r="Q75" t="str" cm="1">
        <f t="array" ref="Q75">_xlfn.XLOOKUP(A75,J$14:J274,F$14:F274,"")</f>
        <v/>
      </c>
      <c r="R75" t="str" cm="1">
        <f t="array" ref="R75">_xlfn.XLOOKUP(A75,J$14:J274,I$14:I274,"")</f>
        <v/>
      </c>
      <c r="S75" t="str" cm="1">
        <f t="array" ref="S75">_xlfn.XLOOKUP(A75,J$14:J274,H$14:H274,"")</f>
        <v/>
      </c>
      <c r="T75" t="str" cm="1">
        <f t="array" ref="T75">VLOOKUP(ROW(62:62),L$14:S$163,8)</f>
        <v/>
      </c>
      <c r="U75" t="str" cm="1">
        <f t="array" ref="U75">VLOOKUP(ROW(62:62),L$14:M$163,2)</f>
        <v/>
      </c>
      <c r="V75" t="str" cm="1">
        <f t="array" ref="V75">VLOOKUP(ROW(62:62),L$14:O$163,4)</f>
        <v/>
      </c>
      <c r="W75" t="str" cm="1">
        <f t="array" ref="W75">VLOOKUP(ROW(62:62),L$14:Q$163,6)</f>
        <v/>
      </c>
      <c r="X75" cm="1">
        <f t="array" ref="X75">IFERROR(VLOOKUP(ROW(62:62),L$14:P$213,5)+0,0)</f>
        <v>0</v>
      </c>
      <c r="Y75" t="str" cm="1">
        <f t="array" ref="Y75">VLOOKUP(ROW(62:62),L$14:R$163,7)</f>
        <v/>
      </c>
      <c r="Z75">
        <f>IF(Y75&lt;-2,X75+MAX(Z$14:Z74),0)</f>
        <v>0</v>
      </c>
      <c r="AA75">
        <f>IFERROR(IF(AND(SUM(AA76:AA$214)+X75&lt;=Z$10,W75&lt;=Z$12,Z75=0),X75,0),0)</f>
        <v>0</v>
      </c>
      <c r="AB75">
        <f>IFERROR(IF(AND(W75&lt;=Z$12+10,AB$12-X75&gt;=0,SUM(Z75:AA75)=0,SUM(AB$14:AB74)+X75&lt;AB$12),X75,0),0)</f>
        <v>0</v>
      </c>
      <c r="AD75">
        <f>IF(AND(Y75=-2,SUM(Z75:AB75)=0),X75+MAX(AD$14:AD74),0)</f>
        <v>0</v>
      </c>
      <c r="AE75">
        <f>IFERROR(IF(AND(SUM(AE76:AE$214)+X75&lt;=AD$10,W75&lt;=AD$12,SUM(Z75:AD75)=0),X75,0),0)</f>
        <v>0</v>
      </c>
      <c r="AF75">
        <f>IFERROR(IF(AND(W75&lt;=AD$12+10,AF$12-X75&gt;=0,SUM(Z75:AE75)=0,SUM(AF$14:AF74)+X75&lt;AF$12),X75,0),0)</f>
        <v>0</v>
      </c>
      <c r="AG75">
        <f t="shared" si="42"/>
        <v>0</v>
      </c>
      <c r="AI75">
        <f t="shared" si="43"/>
        <v>0</v>
      </c>
      <c r="AJ75" s="493">
        <f t="shared" si="17"/>
        <v>0</v>
      </c>
      <c r="AK75">
        <f>IF(AJ75=0,0,IF(AJ74=0,MAX(AK$13:AK74)+1,IF(W75&lt;&gt;W74,MAX(AK$14:AK74)+1,IF(ROUNDDOWN(AJ75-0.01,0)=ROUNDDOWN(AJ74-0.01,0),AK74,AK74+1))))</f>
        <v>0</v>
      </c>
      <c r="AL75">
        <f t="shared" si="18"/>
        <v>0</v>
      </c>
      <c r="AM75">
        <f t="shared" si="19"/>
        <v>0</v>
      </c>
      <c r="AN75">
        <f>IF(AM75&gt;AN$12,IF(AK75=AK74,AN74,MAX(AN$13:AN74)+1),0)</f>
        <v>0</v>
      </c>
      <c r="AP75">
        <f t="shared" si="44"/>
        <v>0</v>
      </c>
      <c r="AQ75">
        <f>IF(AP75&gt;0,IF(MAX(AQ76:AQ$214)+AP75&gt;ROUNDUP(MAX(AQ76:AQ$214),0),ROUNDUP(MAX(AQ76:AQ$214),0)+AP75,MAX(AQ76:AQ$214)+AP75),0)</f>
        <v>0</v>
      </c>
      <c r="AR75">
        <f t="shared" si="12"/>
        <v>0</v>
      </c>
      <c r="AS75">
        <f t="shared" si="45"/>
        <v>0</v>
      </c>
      <c r="AT75">
        <f t="shared" si="46"/>
        <v>10</v>
      </c>
      <c r="AY75">
        <f>AY73</f>
        <v>0</v>
      </c>
      <c r="AZ75">
        <f>AZ73</f>
        <v>0</v>
      </c>
      <c r="BA75">
        <f t="shared" ref="BA75:BF75" si="52">IF(AND($BG74=BA41,$BH74&gt;0),$BH75,BA73)</f>
        <v>0</v>
      </c>
      <c r="BB75">
        <f t="shared" si="52"/>
        <v>0</v>
      </c>
      <c r="BC75">
        <f t="shared" si="52"/>
        <v>0</v>
      </c>
      <c r="BD75">
        <f t="shared" si="52"/>
        <v>0</v>
      </c>
      <c r="BE75">
        <f t="shared" si="52"/>
        <v>0</v>
      </c>
      <c r="BF75">
        <f t="shared" si="52"/>
        <v>0</v>
      </c>
      <c r="BG75" t="b">
        <f>IF(BF74&gt;0,BF74,IF(BE74&gt;0,BE74,IF(BD74&gt;0,BD74,IF(BC74&gt;0,BC74,IF(BB74&gt;0,BB74,IF(BA74&gt;0,BA74))))))</f>
        <v>0</v>
      </c>
      <c r="BH75">
        <f>_xlfn.XLOOKUP(BH74,BH43:BH72,AV43:AV72,0,0,1)</f>
        <v>1</v>
      </c>
      <c r="BJ75">
        <v>22</v>
      </c>
      <c r="BK75">
        <f t="shared" si="49"/>
        <v>0</v>
      </c>
      <c r="BL75">
        <f t="shared" si="48"/>
        <v>0</v>
      </c>
      <c r="BM75" s="517"/>
    </row>
    <row r="76" spans="1:65" x14ac:dyDescent="0.25">
      <c r="A76">
        <v>63</v>
      </c>
      <c r="B76" t="str">
        <f>_xlfn.XLOOKUP(A76,Order!R$12:R$859,Order!C$12:C$859,"")</f>
        <v/>
      </c>
      <c r="C76" t="str">
        <f>_xlfn.XLOOKUP(A76,Order!R$12:R$859,Order!S$12:S$859,"")</f>
        <v/>
      </c>
      <c r="D76" t="str">
        <f>_xlfn.XLOOKUP(A76,Order!R$12:R$859,Order!B$12:B$859,"")</f>
        <v/>
      </c>
      <c r="E76" t="str">
        <f>_xlfn.XLOOKUP(A76,Order!R$12:R$859,Order!P$12:P$859,"")</f>
        <v/>
      </c>
      <c r="F76" t="str">
        <f>_xlfn.XLOOKUP(A76,Order!R$12:R$859,Order!T$12:T$859,"")</f>
        <v/>
      </c>
      <c r="G76" t="str">
        <f>_xlfn.XLOOKUP(A76,Order!R$12:R$859,Order!U$12:U$859,"")</f>
        <v/>
      </c>
      <c r="H76" t="str">
        <f>_xlfn.XLOOKUP(A76,Order!R$12:R$859,Order!B$12:B$859,"")</f>
        <v/>
      </c>
      <c r="I76" t="str">
        <f>_xlfn.XLOOKUP(A76,Order!R$12:R$859,Order!V$12:V$859,"")</f>
        <v/>
      </c>
      <c r="J76" t="str">
        <f>IFERROR(RANK(F76,F$14:F$213,1)+COUNTIF(F$14:F76,F76)-1,"")</f>
        <v/>
      </c>
      <c r="L76" t="str">
        <f t="shared" si="22"/>
        <v/>
      </c>
      <c r="M76" t="str" cm="1">
        <f t="array" ref="M76">_xlfn.XLOOKUP(A76,J$14:J275,B$14:B275,"")</f>
        <v/>
      </c>
      <c r="N76" t="str" cm="1">
        <f t="array" ref="N76">_xlfn.XLOOKUP(A76,J$14:J275,C$14:C275,"")</f>
        <v/>
      </c>
      <c r="O76" t="str" cm="1">
        <f t="array" ref="O76">_xlfn.XLOOKUP(A76,J$14:J275,E$14:E275,"")</f>
        <v/>
      </c>
      <c r="P76" t="str" cm="1">
        <f t="array" ref="P76">_xlfn.XLOOKUP(A76,J$14:J275,G$14:G275,"")</f>
        <v/>
      </c>
      <c r="Q76" t="str" cm="1">
        <f t="array" ref="Q76">_xlfn.XLOOKUP(A76,J$14:J275,F$14:F275,"")</f>
        <v/>
      </c>
      <c r="R76" t="str" cm="1">
        <f t="array" ref="R76">_xlfn.XLOOKUP(A76,J$14:J275,I$14:I275,"")</f>
        <v/>
      </c>
      <c r="S76" t="str" cm="1">
        <f t="array" ref="S76">_xlfn.XLOOKUP(A76,J$14:J275,H$14:H275,"")</f>
        <v/>
      </c>
      <c r="T76" t="str" cm="1">
        <f t="array" ref="T76">VLOOKUP(ROW(63:63),L$14:S$163,8)</f>
        <v/>
      </c>
      <c r="U76" t="str" cm="1">
        <f t="array" ref="U76">VLOOKUP(ROW(63:63),L$14:M$163,2)</f>
        <v/>
      </c>
      <c r="V76" t="str" cm="1">
        <f t="array" ref="V76">VLOOKUP(ROW(63:63),L$14:O$163,4)</f>
        <v/>
      </c>
      <c r="W76" t="str" cm="1">
        <f t="array" ref="W76">VLOOKUP(ROW(63:63),L$14:Q$163,6)</f>
        <v/>
      </c>
      <c r="X76" cm="1">
        <f t="array" ref="X76">IFERROR(VLOOKUP(ROW(63:63),L$14:P$213,5)+0,0)</f>
        <v>0</v>
      </c>
      <c r="Y76" t="str" cm="1">
        <f t="array" ref="Y76">VLOOKUP(ROW(63:63),L$14:R$163,7)</f>
        <v/>
      </c>
      <c r="Z76">
        <f>IF(Y76&lt;-2,X76+MAX(Z$14:Z75),0)</f>
        <v>0</v>
      </c>
      <c r="AA76">
        <f>IFERROR(IF(AND(SUM(AA77:AA$214)+X76&lt;=Z$10,W76&lt;=Z$12,Z76=0),X76,0),0)</f>
        <v>0</v>
      </c>
      <c r="AB76">
        <f>IFERROR(IF(AND(W76&lt;=Z$12+10,AB$12-X76&gt;=0,SUM(Z76:AA76)=0,SUM(AB$14:AB75)+X76&lt;AB$12),X76,0),0)</f>
        <v>0</v>
      </c>
      <c r="AD76">
        <f>IF(AND(Y76=-2,SUM(Z76:AB76)=0),X76+MAX(AD$14:AD75),0)</f>
        <v>0</v>
      </c>
      <c r="AE76">
        <f>IFERROR(IF(AND(SUM(AE77:AE$214)+X76&lt;=AD$10,W76&lt;=AD$12,SUM(Z76:AD76)=0),X76,0),0)</f>
        <v>0</v>
      </c>
      <c r="AF76">
        <f>IFERROR(IF(AND(W76&lt;=AD$12+10,AF$12-X76&gt;=0,SUM(Z76:AE76)=0,SUM(AF$14:AF75)+X76&lt;AF$12),X76,0),0)</f>
        <v>0</v>
      </c>
      <c r="AG76">
        <f t="shared" si="42"/>
        <v>0</v>
      </c>
      <c r="AI76">
        <f t="shared" si="43"/>
        <v>0</v>
      </c>
      <c r="AJ76" s="493">
        <f t="shared" si="17"/>
        <v>0</v>
      </c>
      <c r="AK76">
        <f>IF(AJ76=0,0,IF(AJ75=0,MAX(AK$13:AK75)+1,IF(W76&lt;&gt;W75,MAX(AK$14:AK75)+1,IF(ROUNDDOWN(AJ76-0.01,0)=ROUNDDOWN(AJ75-0.01,0),AK75,AK75+1))))</f>
        <v>0</v>
      </c>
      <c r="AL76">
        <f t="shared" si="18"/>
        <v>0</v>
      </c>
      <c r="AM76">
        <f t="shared" si="19"/>
        <v>0</v>
      </c>
      <c r="AN76">
        <f>IF(AM76&gt;AN$12,IF(AK76=AK75,AN75,MAX(AN$13:AN75)+1),0)</f>
        <v>0</v>
      </c>
      <c r="AP76">
        <f t="shared" si="44"/>
        <v>0</v>
      </c>
      <c r="AQ76">
        <f>IF(AP76&gt;0,IF(MAX(AQ77:AQ$214)+AP76&gt;ROUNDUP(MAX(AQ77:AQ$214),0),ROUNDUP(MAX(AQ77:AQ$214),0)+AP76,MAX(AQ77:AQ$214)+AP76),0)</f>
        <v>0</v>
      </c>
      <c r="AR76">
        <f t="shared" si="12"/>
        <v>0</v>
      </c>
      <c r="AS76">
        <f t="shared" si="45"/>
        <v>0</v>
      </c>
      <c r="AT76">
        <f t="shared" si="46"/>
        <v>10</v>
      </c>
      <c r="AY76">
        <f>AY74</f>
        <v>0</v>
      </c>
      <c r="AZ76">
        <f>AZ74</f>
        <v>0</v>
      </c>
      <c r="BA76">
        <f t="shared" ref="BA76:BF76" si="53">IF(AND($BG74=BA41,$BH74&gt;0),$BH74,BA74)</f>
        <v>0</v>
      </c>
      <c r="BB76">
        <f t="shared" si="53"/>
        <v>0</v>
      </c>
      <c r="BC76">
        <f t="shared" si="53"/>
        <v>0</v>
      </c>
      <c r="BD76">
        <f t="shared" si="53"/>
        <v>0</v>
      </c>
      <c r="BE76">
        <f t="shared" si="53"/>
        <v>0</v>
      </c>
      <c r="BF76">
        <f t="shared" si="53"/>
        <v>0</v>
      </c>
      <c r="BG76">
        <f>_xlfn.XLOOKUP(BG74,BA41:BF41,BA73:BF73,0)</f>
        <v>0</v>
      </c>
      <c r="BJ76">
        <v>23</v>
      </c>
      <c r="BK76">
        <f t="shared" si="49"/>
        <v>0</v>
      </c>
      <c r="BL76">
        <f t="shared" si="48"/>
        <v>0</v>
      </c>
      <c r="BM76" s="517"/>
    </row>
    <row r="77" spans="1:65" x14ac:dyDescent="0.25">
      <c r="A77">
        <v>64</v>
      </c>
      <c r="B77" t="str">
        <f>_xlfn.XLOOKUP(A77,Order!R$12:R$859,Order!C$12:C$859,"")</f>
        <v/>
      </c>
      <c r="C77" t="str">
        <f>_xlfn.XLOOKUP(A77,Order!R$12:R$859,Order!S$12:S$859,"")</f>
        <v/>
      </c>
      <c r="D77" t="str">
        <f>_xlfn.XLOOKUP(A77,Order!R$12:R$859,Order!B$12:B$859,"")</f>
        <v/>
      </c>
      <c r="E77" t="str">
        <f>_xlfn.XLOOKUP(A77,Order!R$12:R$859,Order!P$12:P$859,"")</f>
        <v/>
      </c>
      <c r="F77" t="str">
        <f>_xlfn.XLOOKUP(A77,Order!R$12:R$859,Order!T$12:T$859,"")</f>
        <v/>
      </c>
      <c r="G77" t="str">
        <f>_xlfn.XLOOKUP(A77,Order!R$12:R$859,Order!U$12:U$859,"")</f>
        <v/>
      </c>
      <c r="H77" t="str">
        <f>_xlfn.XLOOKUP(A77,Order!R$12:R$859,Order!B$12:B$859,"")</f>
        <v/>
      </c>
      <c r="I77" t="str">
        <f>_xlfn.XLOOKUP(A77,Order!R$12:R$859,Order!V$12:V$859,"")</f>
        <v/>
      </c>
      <c r="J77" t="str">
        <f>IFERROR(RANK(F77,F$14:F$213,1)+COUNTIF(F$14:F77,F77)-1,"")</f>
        <v/>
      </c>
      <c r="L77" t="str">
        <f t="shared" si="22"/>
        <v/>
      </c>
      <c r="M77" t="str" cm="1">
        <f t="array" ref="M77">_xlfn.XLOOKUP(A77,J$14:J276,B$14:B276,"")</f>
        <v/>
      </c>
      <c r="N77" t="str" cm="1">
        <f t="array" ref="N77">_xlfn.XLOOKUP(A77,J$14:J276,C$14:C276,"")</f>
        <v/>
      </c>
      <c r="O77" t="str" cm="1">
        <f t="array" ref="O77">_xlfn.XLOOKUP(A77,J$14:J276,E$14:E276,"")</f>
        <v/>
      </c>
      <c r="P77" t="str" cm="1">
        <f t="array" ref="P77">_xlfn.XLOOKUP(A77,J$14:J276,G$14:G276,"")</f>
        <v/>
      </c>
      <c r="Q77" t="str" cm="1">
        <f t="array" ref="Q77">_xlfn.XLOOKUP(A77,J$14:J276,F$14:F276,"")</f>
        <v/>
      </c>
      <c r="R77" t="str" cm="1">
        <f t="array" ref="R77">_xlfn.XLOOKUP(A77,J$14:J276,I$14:I276,"")</f>
        <v/>
      </c>
      <c r="S77" t="str" cm="1">
        <f t="array" ref="S77">_xlfn.XLOOKUP(A77,J$14:J276,H$14:H276,"")</f>
        <v/>
      </c>
      <c r="T77" t="str" cm="1">
        <f t="array" ref="T77">VLOOKUP(ROW(64:64),L$14:S$163,8)</f>
        <v/>
      </c>
      <c r="U77" t="str" cm="1">
        <f t="array" ref="U77">VLOOKUP(ROW(64:64),L$14:M$163,2)</f>
        <v/>
      </c>
      <c r="V77" t="str" cm="1">
        <f t="array" ref="V77">VLOOKUP(ROW(64:64),L$14:O$163,4)</f>
        <v/>
      </c>
      <c r="W77" t="str" cm="1">
        <f t="array" ref="W77">VLOOKUP(ROW(64:64),L$14:Q$163,6)</f>
        <v/>
      </c>
      <c r="X77" cm="1">
        <f t="array" ref="X77">IFERROR(VLOOKUP(ROW(64:64),L$14:P$213,5)+0,0)</f>
        <v>0</v>
      </c>
      <c r="Y77" t="str" cm="1">
        <f t="array" ref="Y77">VLOOKUP(ROW(64:64),L$14:R$163,7)</f>
        <v/>
      </c>
      <c r="Z77">
        <f>IF(Y77&lt;-2,X77+MAX(Z$14:Z76),0)</f>
        <v>0</v>
      </c>
      <c r="AA77">
        <f>IFERROR(IF(AND(SUM(AA78:AA$214)+X77&lt;=Z$10,W77&lt;=Z$12,Z77=0),X77,0),0)</f>
        <v>0</v>
      </c>
      <c r="AB77">
        <f>IFERROR(IF(AND(W77&lt;=Z$12+10,AB$12-X77&gt;=0,SUM(Z77:AA77)=0,SUM(AB$14:AB76)+X77&lt;AB$12),X77,0),0)</f>
        <v>0</v>
      </c>
      <c r="AD77">
        <f>IF(AND(Y77=-2,SUM(Z77:AB77)=0),X77+MAX(AD$14:AD76),0)</f>
        <v>0</v>
      </c>
      <c r="AE77">
        <f>IFERROR(IF(AND(SUM(AE78:AE$214)+X77&lt;=AD$10,W77&lt;=AD$12,SUM(Z77:AD77)=0),X77,0),0)</f>
        <v>0</v>
      </c>
      <c r="AF77">
        <f>IFERROR(IF(AND(W77&lt;=AD$12+10,AF$12-X77&gt;=0,SUM(Z77:AE77)=0,SUM(AF$14:AF76)+X77&lt;AF$12),X77,0),0)</f>
        <v>0</v>
      </c>
      <c r="AG77">
        <f t="shared" si="42"/>
        <v>0</v>
      </c>
      <c r="AI77">
        <f t="shared" si="43"/>
        <v>0</v>
      </c>
      <c r="AJ77" s="493">
        <f>IF(AG77=0,0,IF(W77&lt;&gt;W76,AG77,IF(AG77+AJ76&gt;ROUNDUP(AJ76,0),ROUNDUP(AJ76,0)+AG77,AJ76+AG77)))</f>
        <v>0</v>
      </c>
      <c r="AK77">
        <f>IF(AJ77=0,0,IF(AJ76=0,MAX(AK$13:AK76)+1,IF(W77&lt;&gt;W76,MAX(AK$14:AK76)+1,IF(ROUNDDOWN(AJ77-0.01,0)=ROUNDDOWN(AJ76-0.01,0),AK76,AK76+1))))</f>
        <v>0</v>
      </c>
      <c r="AL77">
        <f>_xlfn.MAXIFS(AJ$14:AJ$213,AK$14:AK$213,AK77)</f>
        <v>0</v>
      </c>
      <c r="AM77">
        <f>IF(AL77&gt;1,AL77-ROUNDDOWN(AL77,0),AL77)</f>
        <v>0</v>
      </c>
      <c r="AN77">
        <f>IF(AM77&gt;AN$12,IF(AK77=AK76,AN76,MAX(AN$13:AN76)+1),0)</f>
        <v>0</v>
      </c>
      <c r="AP77">
        <f t="shared" si="44"/>
        <v>0</v>
      </c>
      <c r="AQ77">
        <f>IF(AP77&gt;0,IF(MAX(AQ78:AQ$214)+AP77&gt;ROUNDUP(MAX(AQ78:AQ$214),0),ROUNDUP(MAX(AQ78:AQ$214),0)+AP77,MAX(AQ78:AQ$214)+AP77),0)</f>
        <v>0</v>
      </c>
      <c r="AR77">
        <f t="shared" si="12"/>
        <v>0</v>
      </c>
      <c r="AS77">
        <f t="shared" si="45"/>
        <v>0</v>
      </c>
      <c r="AT77">
        <f t="shared" si="46"/>
        <v>10</v>
      </c>
      <c r="AY77">
        <f>MAX(AZ77:BF77)+1</f>
        <v>21</v>
      </c>
      <c r="AZ77">
        <v>20</v>
      </c>
      <c r="BA77">
        <f t="shared" ref="BA77:BF77" si="54">IF(BA73&gt;0,AZ77+1,0)</f>
        <v>0</v>
      </c>
      <c r="BB77">
        <f t="shared" si="54"/>
        <v>0</v>
      </c>
      <c r="BC77">
        <f t="shared" si="54"/>
        <v>0</v>
      </c>
      <c r="BD77">
        <f t="shared" si="54"/>
        <v>0</v>
      </c>
      <c r="BE77">
        <f t="shared" si="54"/>
        <v>0</v>
      </c>
      <c r="BF77">
        <f t="shared" si="54"/>
        <v>0</v>
      </c>
      <c r="BJ77">
        <v>24</v>
      </c>
      <c r="BK77">
        <f t="shared" si="49"/>
        <v>0</v>
      </c>
      <c r="BL77">
        <f t="shared" si="48"/>
        <v>0</v>
      </c>
      <c r="BM77" s="517"/>
    </row>
    <row r="78" spans="1:65" x14ac:dyDescent="0.25">
      <c r="A78">
        <v>65</v>
      </c>
      <c r="B78" t="str">
        <f>_xlfn.XLOOKUP(A78,Order!R$12:R$859,Order!C$12:C$859,"")</f>
        <v/>
      </c>
      <c r="C78" t="str">
        <f>_xlfn.XLOOKUP(A78,Order!R$12:R$859,Order!S$12:S$859,"")</f>
        <v/>
      </c>
      <c r="D78" t="str">
        <f>_xlfn.XLOOKUP(A78,Order!R$12:R$859,Order!B$12:B$859,"")</f>
        <v/>
      </c>
      <c r="E78" t="str">
        <f>_xlfn.XLOOKUP(A78,Order!R$12:R$859,Order!P$12:P$859,"")</f>
        <v/>
      </c>
      <c r="F78" t="str">
        <f>_xlfn.XLOOKUP(A78,Order!R$12:R$859,Order!T$12:T$859,"")</f>
        <v/>
      </c>
      <c r="G78" t="str">
        <f>_xlfn.XLOOKUP(A78,Order!R$12:R$859,Order!U$12:U$859,"")</f>
        <v/>
      </c>
      <c r="H78" t="str">
        <f>_xlfn.XLOOKUP(A78,Order!R$12:R$859,Order!B$12:B$859,"")</f>
        <v/>
      </c>
      <c r="I78" t="str">
        <f>_xlfn.XLOOKUP(A78,Order!R$12:R$859,Order!V$12:V$859,"")</f>
        <v/>
      </c>
      <c r="J78" t="str">
        <f>IFERROR(RANK(F78,F$14:F$213,1)+COUNTIF(F$14:F78,F78)-1,"")</f>
        <v/>
      </c>
      <c r="L78" t="str">
        <f t="shared" si="22"/>
        <v/>
      </c>
      <c r="M78" t="str" cm="1">
        <f t="array" ref="M78">_xlfn.XLOOKUP(A78,J$14:J277,B$14:B277,"")</f>
        <v/>
      </c>
      <c r="N78" t="str" cm="1">
        <f t="array" ref="N78">_xlfn.XLOOKUP(A78,J$14:J277,C$14:C277,"")</f>
        <v/>
      </c>
      <c r="O78" t="str" cm="1">
        <f t="array" ref="O78">_xlfn.XLOOKUP(A78,J$14:J277,E$14:E277,"")</f>
        <v/>
      </c>
      <c r="P78" t="str" cm="1">
        <f t="array" ref="P78">_xlfn.XLOOKUP(A78,J$14:J277,G$14:G277,"")</f>
        <v/>
      </c>
      <c r="Q78" t="str" cm="1">
        <f t="array" ref="Q78">_xlfn.XLOOKUP(A78,J$14:J277,F$14:F277,"")</f>
        <v/>
      </c>
      <c r="R78" t="str" cm="1">
        <f t="array" ref="R78">_xlfn.XLOOKUP(A78,J$14:J277,I$14:I277,"")</f>
        <v/>
      </c>
      <c r="S78" t="str" cm="1">
        <f t="array" ref="S78">_xlfn.XLOOKUP(A78,J$14:J277,H$14:H277,"")</f>
        <v/>
      </c>
      <c r="T78" t="str" cm="1">
        <f t="array" ref="T78">VLOOKUP(ROW(65:65),L$14:S$163,8)</f>
        <v/>
      </c>
      <c r="U78" t="str" cm="1">
        <f t="array" ref="U78">VLOOKUP(ROW(65:65),L$14:M$163,2)</f>
        <v/>
      </c>
      <c r="V78" t="str" cm="1">
        <f t="array" ref="V78">VLOOKUP(ROW(65:65),L$14:O$163,4)</f>
        <v/>
      </c>
      <c r="W78" t="str" cm="1">
        <f t="array" ref="W78">VLOOKUP(ROW(65:65),L$14:Q$163,6)</f>
        <v/>
      </c>
      <c r="X78" cm="1">
        <f t="array" ref="X78">IFERROR(VLOOKUP(ROW(65:65),L$14:P$213,5)+0,0)</f>
        <v>0</v>
      </c>
      <c r="Y78" t="str" cm="1">
        <f t="array" ref="Y78">VLOOKUP(ROW(65:65),L$14:R$163,7)</f>
        <v/>
      </c>
      <c r="Z78">
        <f>IF(Y78&lt;-2,X78+MAX(Z$14:Z77),0)</f>
        <v>0</v>
      </c>
      <c r="AA78">
        <f>IFERROR(IF(AND(SUM(AA79:AA$214)+X78&lt;=Z$10,W78&lt;=Z$12,Z78=0),X78,0),0)</f>
        <v>0</v>
      </c>
      <c r="AB78">
        <f>IFERROR(IF(AND(W78&lt;=Z$12+10,AB$12-X78&gt;=0,SUM(Z78:AA78)=0,SUM(AB$14:AB77)+X78&lt;AB$12),X78,0),0)</f>
        <v>0</v>
      </c>
      <c r="AD78">
        <f>IF(AND(Y78=-2,SUM(Z78:AB78)=0),X78+MAX(AD$14:AD77),0)</f>
        <v>0</v>
      </c>
      <c r="AE78">
        <f>IFERROR(IF(AND(SUM(AE79:AE$214)+X78&lt;=AD$10,W78&lt;=AD$12,SUM(Z78:AD78)=0),X78,0),0)</f>
        <v>0</v>
      </c>
      <c r="AF78">
        <f>IFERROR(IF(AND(W78&lt;=AD$12+10,AF$12-X78&gt;=0,SUM(Z78:AE78)=0,SUM(AF$14:AF77)+X78&lt;AF$12),X78,0),0)</f>
        <v>0</v>
      </c>
      <c r="AG78">
        <f t="shared" ref="AG78:AG109" si="55">IF(SUM(Z78:AF78)&gt;0,0,X78)</f>
        <v>0</v>
      </c>
      <c r="AI78">
        <f t="shared" si="43"/>
        <v>0</v>
      </c>
      <c r="AJ78" s="493">
        <f>IF(AG78=0,0,IF(W78&lt;&gt;W77,AG78,IF(AG78+AJ77&gt;ROUNDUP(AJ77,0),ROUNDUP(AJ77,0)+AG78,AJ77+AG78)))</f>
        <v>0</v>
      </c>
      <c r="AK78">
        <f>IF(AJ78=0,0,IF(AJ77=0,MAX(AK$13:AK77)+1,IF(W78&lt;&gt;W77,MAX(AK$14:AK77)+1,IF(ROUNDDOWN(AJ78-0.01,0)=ROUNDDOWN(AJ77-0.01,0),AK77,AK77+1))))</f>
        <v>0</v>
      </c>
      <c r="AL78">
        <f t="shared" si="18"/>
        <v>0</v>
      </c>
      <c r="AM78">
        <f t="shared" si="19"/>
        <v>0</v>
      </c>
      <c r="AN78">
        <f>IF(AM78&gt;AN$12,IF(AK78=AK77,AN77,MAX(AN$13:AN77)+1),0)</f>
        <v>0</v>
      </c>
      <c r="AP78">
        <f t="shared" ref="AP78:AP109" si="56">IF(AN78+AI78&gt;0,0,X78)</f>
        <v>0</v>
      </c>
      <c r="AQ78">
        <f>IF(AP78&gt;0,IF(MAX(AQ79:AQ$214)+AP78&gt;ROUNDUP(MAX(AQ79:AQ$214),0),ROUNDUP(MAX(AQ79:AQ$214),0)+AP78,MAX(AQ79:AQ$214)+AP78),0)</f>
        <v>0</v>
      </c>
      <c r="AR78">
        <f t="shared" si="12"/>
        <v>0</v>
      </c>
      <c r="AS78">
        <f t="shared" ref="AS78:AS109" si="57">_xlfn.MAXIFS(W78:W277,AR78:AR277,AR78)</f>
        <v>0</v>
      </c>
      <c r="AT78">
        <f t="shared" ref="AT78:AT109" si="58">_xlfn.SINGLE(_xlfn.XLOOKUP(AR78,BK$4:BK$48,BJ$4:BJ$48,0))</f>
        <v>10</v>
      </c>
      <c r="AY78">
        <f>AR1</f>
        <v>160</v>
      </c>
      <c r="AZ78">
        <f>AY78-AZ74</f>
        <v>160</v>
      </c>
      <c r="BA78">
        <f t="shared" ref="BA78:BF78" si="59">AZ78-BA74</f>
        <v>160</v>
      </c>
      <c r="BB78">
        <f t="shared" si="59"/>
        <v>160</v>
      </c>
      <c r="BC78">
        <f t="shared" si="59"/>
        <v>160</v>
      </c>
      <c r="BD78">
        <f t="shared" si="59"/>
        <v>160</v>
      </c>
      <c r="BE78">
        <f t="shared" si="59"/>
        <v>160</v>
      </c>
      <c r="BF78">
        <f t="shared" si="59"/>
        <v>160</v>
      </c>
      <c r="BJ78">
        <v>25</v>
      </c>
      <c r="BK78">
        <f t="shared" si="49"/>
        <v>0</v>
      </c>
      <c r="BL78">
        <f t="shared" si="48"/>
        <v>0</v>
      </c>
      <c r="BM78" s="517"/>
    </row>
    <row r="79" spans="1:65" x14ac:dyDescent="0.25">
      <c r="A79">
        <v>66</v>
      </c>
      <c r="B79" t="str">
        <f>_xlfn.XLOOKUP(A79,Order!R$12:R$859,Order!C$12:C$859,"")</f>
        <v/>
      </c>
      <c r="C79" t="str">
        <f>_xlfn.XLOOKUP(A79,Order!R$12:R$859,Order!S$12:S$859,"")</f>
        <v/>
      </c>
      <c r="D79" t="str">
        <f>_xlfn.XLOOKUP(A79,Order!R$12:R$859,Order!B$12:B$859,"")</f>
        <v/>
      </c>
      <c r="E79" t="str">
        <f>_xlfn.XLOOKUP(A79,Order!R$12:R$859,Order!P$12:P$859,"")</f>
        <v/>
      </c>
      <c r="F79" t="str">
        <f>_xlfn.XLOOKUP(A79,Order!R$12:R$859,Order!T$12:T$859,"")</f>
        <v/>
      </c>
      <c r="G79" t="str">
        <f>_xlfn.XLOOKUP(A79,Order!R$12:R$859,Order!U$12:U$859,"")</f>
        <v/>
      </c>
      <c r="H79" t="str">
        <f>_xlfn.XLOOKUP(A79,Order!R$12:R$859,Order!B$12:B$859,"")</f>
        <v/>
      </c>
      <c r="I79" t="str">
        <f>_xlfn.XLOOKUP(A79,Order!R$12:R$859,Order!V$12:V$859,"")</f>
        <v/>
      </c>
      <c r="J79" t="str">
        <f>IFERROR(RANK(F79,F$14:F$213,1)+COUNTIF(F$14:F79,F79)-1,"")</f>
        <v/>
      </c>
      <c r="L79" t="str">
        <f t="shared" si="22"/>
        <v/>
      </c>
      <c r="M79" t="str" cm="1">
        <f t="array" ref="M79">_xlfn.XLOOKUP(A79,J$14:J278,B$14:B278,"")</f>
        <v/>
      </c>
      <c r="N79" t="str" cm="1">
        <f t="array" ref="N79">_xlfn.XLOOKUP(A79,J$14:J278,C$14:C278,"")</f>
        <v/>
      </c>
      <c r="O79" t="str" cm="1">
        <f t="array" ref="O79">_xlfn.XLOOKUP(A79,J$14:J278,E$14:E278,"")</f>
        <v/>
      </c>
      <c r="P79" t="str" cm="1">
        <f t="array" ref="P79">_xlfn.XLOOKUP(A79,J$14:J278,G$14:G278,"")</f>
        <v/>
      </c>
      <c r="Q79" t="str" cm="1">
        <f t="array" ref="Q79">_xlfn.XLOOKUP(A79,J$14:J278,F$14:F278,"")</f>
        <v/>
      </c>
      <c r="R79" t="str" cm="1">
        <f t="array" ref="R79">_xlfn.XLOOKUP(A79,J$14:J278,I$14:I278,"")</f>
        <v/>
      </c>
      <c r="S79" t="str" cm="1">
        <f t="array" ref="S79">_xlfn.XLOOKUP(A79,J$14:J278,H$14:H278,"")</f>
        <v/>
      </c>
      <c r="T79" t="str" cm="1">
        <f t="array" ref="T79">VLOOKUP(ROW(66:66),L$14:S$163,8)</f>
        <v/>
      </c>
      <c r="U79" t="str" cm="1">
        <f t="array" ref="U79">VLOOKUP(ROW(66:66),L$14:M$163,2)</f>
        <v/>
      </c>
      <c r="V79" t="str" cm="1">
        <f t="array" ref="V79">VLOOKUP(ROW(66:66),L$14:O$163,4)</f>
        <v/>
      </c>
      <c r="W79" t="str" cm="1">
        <f t="array" ref="W79">VLOOKUP(ROW(66:66),L$14:Q$163,6)</f>
        <v/>
      </c>
      <c r="X79" cm="1">
        <f t="array" ref="X79">IFERROR(VLOOKUP(ROW(66:66),L$14:P$213,5)+0,0)</f>
        <v>0</v>
      </c>
      <c r="Y79" t="str" cm="1">
        <f t="array" ref="Y79">VLOOKUP(ROW(66:66),L$14:R$163,7)</f>
        <v/>
      </c>
      <c r="Z79">
        <f>IF(Y79&lt;-2,X79+MAX(Z$14:Z78),0)</f>
        <v>0</v>
      </c>
      <c r="AA79">
        <f>IFERROR(IF(AND(SUM(AA80:AA$214)+X79&lt;=Z$10,W79&lt;=Z$12,Z79=0),X79,0),0)</f>
        <v>0</v>
      </c>
      <c r="AB79">
        <f>IFERROR(IF(AND(W79&lt;=Z$12+10,AB$12-X79&gt;=0,SUM(Z79:AA79)=0,SUM(AB$14:AB78)+X79&lt;AB$12),X79,0),0)</f>
        <v>0</v>
      </c>
      <c r="AD79">
        <f>IF(AND(Y79=-2,SUM(Z79:AB79)=0),X79+MAX(AD$14:AD78),0)</f>
        <v>0</v>
      </c>
      <c r="AE79">
        <f>IFERROR(IF(AND(SUM(AE80:AE$214)+X79&lt;=AD$10,W79&lt;=AD$12,SUM(Z79:AD79)=0),X79,0),0)</f>
        <v>0</v>
      </c>
      <c r="AF79">
        <f>IFERROR(IF(AND(W79&lt;=AD$12+10,AF$12-X79&gt;=0,SUM(Z79:AE79)=0,SUM(AF$14:AF78)+X79&lt;AF$12),X79,0),0)</f>
        <v>0</v>
      </c>
      <c r="AG79">
        <f t="shared" si="55"/>
        <v>0</v>
      </c>
      <c r="AI79">
        <f t="shared" ref="AI79:AI142" si="60">ROUNDUP(Z79,0)+IF(SUM(AA79:AB79)&gt;0,AB$10,0)+IF(AD79&gt;0,ROUNDUP(AD79+AB$10,0),0)+IF(SUM(AE79:AF79)&gt;0,AE$10,0)</f>
        <v>0</v>
      </c>
      <c r="AJ79" s="493">
        <f t="shared" si="17"/>
        <v>0</v>
      </c>
      <c r="AK79">
        <f>IF(AJ79=0,0,IF(AJ78=0,MAX(AK$13:AK78)+1,IF(W79&lt;&gt;W78,MAX(AK$14:AK78)+1,IF(ROUNDDOWN(AJ79-0.01,0)=ROUNDDOWN(AJ78-0.01,0),AK78,AK78+1))))</f>
        <v>0</v>
      </c>
      <c r="AL79">
        <f t="shared" ref="AL79:AL142" si="61">_xlfn.MAXIFS(AJ$14:AJ$213,AK$14:AK$213,AK79)</f>
        <v>0</v>
      </c>
      <c r="AM79">
        <f t="shared" ref="AM79:AM142" si="62">IF(AL79&gt;1,AL79-ROUNDDOWN(AL79,0),AL79)</f>
        <v>0</v>
      </c>
      <c r="AN79">
        <f>IF(AM79&gt;AN$12,IF(AK79=AK78,AN78,MAX(AN$13:AN78)+1),0)</f>
        <v>0</v>
      </c>
      <c r="AP79">
        <f t="shared" si="56"/>
        <v>0</v>
      </c>
      <c r="AQ79">
        <f>IF(AP79&gt;0,IF(MAX(AQ80:AQ$214)+AP79&gt;ROUNDUP(MAX(AQ80:AQ$214),0),ROUNDUP(MAX(AQ80:AQ$214),0)+AP79,MAX(AQ80:AQ$214)+AP79),0)</f>
        <v>0</v>
      </c>
      <c r="AR79">
        <f t="shared" ref="AR79:AR142" si="63">IF(AP79&gt;0,ROUNDUP(AQ79,0)+AR$12,IF(AN79&gt;0,AN79,0)+AI79)</f>
        <v>0</v>
      </c>
      <c r="AS79">
        <f t="shared" si="57"/>
        <v>0</v>
      </c>
      <c r="AT79">
        <f t="shared" si="58"/>
        <v>10</v>
      </c>
      <c r="BJ79">
        <v>26</v>
      </c>
      <c r="BK79">
        <f t="shared" si="49"/>
        <v>0</v>
      </c>
      <c r="BL79">
        <f t="shared" si="48"/>
        <v>0</v>
      </c>
      <c r="BM79" s="517"/>
    </row>
    <row r="80" spans="1:65" x14ac:dyDescent="0.25">
      <c r="A80">
        <v>67</v>
      </c>
      <c r="B80" t="str">
        <f>_xlfn.XLOOKUP(A80,Order!R$12:R$859,Order!C$12:C$859,"")</f>
        <v/>
      </c>
      <c r="C80" t="str">
        <f>_xlfn.XLOOKUP(A80,Order!R$12:R$859,Order!S$12:S$859,"")</f>
        <v/>
      </c>
      <c r="D80" t="str">
        <f>_xlfn.XLOOKUP(A80,Order!R$12:R$859,Order!B$12:B$859,"")</f>
        <v/>
      </c>
      <c r="E80" t="str">
        <f>_xlfn.XLOOKUP(A80,Order!R$12:R$859,Order!P$12:P$859,"")</f>
        <v/>
      </c>
      <c r="F80" t="str">
        <f>_xlfn.XLOOKUP(A80,Order!R$12:R$859,Order!T$12:T$859,"")</f>
        <v/>
      </c>
      <c r="G80" t="str">
        <f>_xlfn.XLOOKUP(A80,Order!R$12:R$859,Order!U$12:U$859,"")</f>
        <v/>
      </c>
      <c r="H80" t="str">
        <f>_xlfn.XLOOKUP(A80,Order!R$12:R$859,Order!B$12:B$859,"")</f>
        <v/>
      </c>
      <c r="I80" t="str">
        <f>_xlfn.XLOOKUP(A80,Order!R$12:R$859,Order!V$12:V$859,"")</f>
        <v/>
      </c>
      <c r="J80" t="str">
        <f>IFERROR(RANK(F80,F$14:F$213,1)+COUNTIF(F$14:F80,F80)-1,"")</f>
        <v/>
      </c>
      <c r="L80" t="str">
        <f t="shared" si="22"/>
        <v/>
      </c>
      <c r="M80" t="str" cm="1">
        <f t="array" ref="M80">_xlfn.XLOOKUP(A80,J$14:J279,B$14:B279,"")</f>
        <v/>
      </c>
      <c r="N80" t="str" cm="1">
        <f t="array" ref="N80">_xlfn.XLOOKUP(A80,J$14:J279,C$14:C279,"")</f>
        <v/>
      </c>
      <c r="O80" t="str" cm="1">
        <f t="array" ref="O80">_xlfn.XLOOKUP(A80,J$14:J279,E$14:E279,"")</f>
        <v/>
      </c>
      <c r="P80" t="str" cm="1">
        <f t="array" ref="P80">_xlfn.XLOOKUP(A80,J$14:J279,G$14:G279,"")</f>
        <v/>
      </c>
      <c r="Q80" t="str" cm="1">
        <f t="array" ref="Q80">_xlfn.XLOOKUP(A80,J$14:J279,F$14:F279,"")</f>
        <v/>
      </c>
      <c r="R80" t="str" cm="1">
        <f t="array" ref="R80">_xlfn.XLOOKUP(A80,J$14:J279,I$14:I279,"")</f>
        <v/>
      </c>
      <c r="S80" t="str" cm="1">
        <f t="array" ref="S80">_xlfn.XLOOKUP(A80,J$14:J279,H$14:H279,"")</f>
        <v/>
      </c>
      <c r="T80" t="str" cm="1">
        <f t="array" ref="T80">VLOOKUP(ROW(67:67),L$14:S$163,8)</f>
        <v/>
      </c>
      <c r="U80" t="str" cm="1">
        <f t="array" ref="U80">VLOOKUP(ROW(67:67),L$14:M$163,2)</f>
        <v/>
      </c>
      <c r="V80" t="str" cm="1">
        <f t="array" ref="V80">VLOOKUP(ROW(67:67),L$14:O$163,4)</f>
        <v/>
      </c>
      <c r="W80" t="str" cm="1">
        <f t="array" ref="W80">VLOOKUP(ROW(67:67),L$14:Q$163,6)</f>
        <v/>
      </c>
      <c r="X80" cm="1">
        <f t="array" ref="X80">IFERROR(VLOOKUP(ROW(67:67),L$14:P$213,5)+0,0)</f>
        <v>0</v>
      </c>
      <c r="Y80" t="str" cm="1">
        <f t="array" ref="Y80">VLOOKUP(ROW(67:67),L$14:R$163,7)</f>
        <v/>
      </c>
      <c r="Z80">
        <f>IF(Y80&lt;-2,X80+MAX(Z$14:Z79),0)</f>
        <v>0</v>
      </c>
      <c r="AA80">
        <f>IFERROR(IF(AND(SUM(AA81:AA$214)+X80&lt;=Z$10,W80&lt;=Z$12,Z80=0),X80,0),0)</f>
        <v>0</v>
      </c>
      <c r="AB80">
        <f>IFERROR(IF(AND(W80&lt;=Z$12+10,AB$12-X80&gt;=0,SUM(Z80:AA80)=0,SUM(AB$14:AB79)+X80&lt;AB$12),X80,0),0)</f>
        <v>0</v>
      </c>
      <c r="AD80">
        <f>IF(AND(Y80=-2,SUM(Z80:AB80)=0),X80+MAX(AD$14:AD79),0)</f>
        <v>0</v>
      </c>
      <c r="AE80">
        <f>IFERROR(IF(AND(SUM(AE81:AE$214)+X80&lt;=AD$10,W80&lt;=AD$12,SUM(Z80:AD80)=0),X80,0),0)</f>
        <v>0</v>
      </c>
      <c r="AF80">
        <f>IFERROR(IF(AND(W80&lt;=AD$12+10,AF$12-X80&gt;=0,SUM(Z80:AE80)=0,SUM(AF$14:AF79)+X80&lt;AF$12),X80,0),0)</f>
        <v>0</v>
      </c>
      <c r="AG80">
        <f t="shared" si="55"/>
        <v>0</v>
      </c>
      <c r="AI80">
        <f t="shared" si="60"/>
        <v>0</v>
      </c>
      <c r="AJ80" s="493">
        <f t="shared" ref="AJ80:AJ143" si="64">IF(AG80=0,0,IF(W80&lt;&gt;W79,AG80,IF(AG80+AJ79&gt;ROUNDUP(AJ79,0),ROUNDUP(AJ79,0)+AG80,AJ79+AG80)))</f>
        <v>0</v>
      </c>
      <c r="AK80">
        <f>IF(AJ80=0,0,IF(AJ79=0,MAX(AK$13:AK79)+1,IF(W80&lt;&gt;W79,MAX(AK$14:AK79)+1,IF(ROUNDDOWN(AJ80-0.01,0)=ROUNDDOWN(AJ79-0.01,0),AK79,AK79+1))))</f>
        <v>0</v>
      </c>
      <c r="AL80">
        <f t="shared" si="61"/>
        <v>0</v>
      </c>
      <c r="AM80">
        <f t="shared" si="62"/>
        <v>0</v>
      </c>
      <c r="AN80">
        <f>IF(AM80&gt;AN$12,IF(AK80=AK79,AN79,MAX(AN$13:AN79)+1),0)</f>
        <v>0</v>
      </c>
      <c r="AP80">
        <f t="shared" si="56"/>
        <v>0</v>
      </c>
      <c r="AQ80">
        <f>IF(AP80&gt;0,IF(MAX(AQ81:AQ$214)+AP80&gt;ROUNDUP(MAX(AQ81:AQ$214),0),ROUNDUP(MAX(AQ81:AQ$214),0)+AP80,MAX(AQ81:AQ$214)+AP80),0)</f>
        <v>0</v>
      </c>
      <c r="AR80">
        <f t="shared" si="63"/>
        <v>0</v>
      </c>
      <c r="AS80">
        <f t="shared" si="57"/>
        <v>0</v>
      </c>
      <c r="AT80">
        <f t="shared" si="58"/>
        <v>10</v>
      </c>
      <c r="AV80" t="s">
        <v>1133</v>
      </c>
      <c r="AX80" s="430" t="s">
        <v>1116</v>
      </c>
      <c r="AZ80" t="s">
        <v>1109</v>
      </c>
      <c r="BA80">
        <v>1</v>
      </c>
      <c r="BB80">
        <v>2</v>
      </c>
      <c r="BC80">
        <v>3</v>
      </c>
      <c r="BD80">
        <v>4</v>
      </c>
      <c r="BE80">
        <v>5</v>
      </c>
      <c r="BF80">
        <v>6</v>
      </c>
      <c r="BJ80">
        <v>27</v>
      </c>
      <c r="BK80">
        <f t="shared" si="49"/>
        <v>0</v>
      </c>
      <c r="BL80">
        <f t="shared" si="48"/>
        <v>0</v>
      </c>
      <c r="BM80" s="517"/>
    </row>
    <row r="81" spans="1:65" x14ac:dyDescent="0.25">
      <c r="A81">
        <v>68</v>
      </c>
      <c r="B81" t="str">
        <f>_xlfn.XLOOKUP(A81,Order!R$12:R$859,Order!C$12:C$859,"")</f>
        <v/>
      </c>
      <c r="C81" t="str">
        <f>_xlfn.XLOOKUP(A81,Order!R$12:R$859,Order!S$12:S$859,"")</f>
        <v/>
      </c>
      <c r="D81" t="str">
        <f>_xlfn.XLOOKUP(A81,Order!R$12:R$859,Order!B$12:B$859,"")</f>
        <v/>
      </c>
      <c r="E81" t="str">
        <f>_xlfn.XLOOKUP(A81,Order!R$12:R$859,Order!P$12:P$859,"")</f>
        <v/>
      </c>
      <c r="F81" t="str">
        <f>_xlfn.XLOOKUP(A81,Order!R$12:R$859,Order!T$12:T$859,"")</f>
        <v/>
      </c>
      <c r="G81" t="str">
        <f>_xlfn.XLOOKUP(A81,Order!R$12:R$859,Order!U$12:U$859,"")</f>
        <v/>
      </c>
      <c r="H81" t="str">
        <f>_xlfn.XLOOKUP(A81,Order!R$12:R$859,Order!B$12:B$859,"")</f>
        <v/>
      </c>
      <c r="I81" t="str">
        <f>_xlfn.XLOOKUP(A81,Order!R$12:R$859,Order!V$12:V$859,"")</f>
        <v/>
      </c>
      <c r="J81" t="str">
        <f>IFERROR(RANK(F81,F$14:F$213,1)+COUNTIF(F$14:F81,F81)-1,"")</f>
        <v/>
      </c>
      <c r="L81" t="str">
        <f t="shared" si="22"/>
        <v/>
      </c>
      <c r="M81" t="str" cm="1">
        <f t="array" ref="M81">_xlfn.XLOOKUP(A81,J$14:J280,B$14:B280,"")</f>
        <v/>
      </c>
      <c r="N81" t="str" cm="1">
        <f t="array" ref="N81">_xlfn.XLOOKUP(A81,J$14:J280,C$14:C280,"")</f>
        <v/>
      </c>
      <c r="O81" t="str" cm="1">
        <f t="array" ref="O81">_xlfn.XLOOKUP(A81,J$14:J280,E$14:E280,"")</f>
        <v/>
      </c>
      <c r="P81" t="str" cm="1">
        <f t="array" ref="P81">_xlfn.XLOOKUP(A81,J$14:J280,G$14:G280,"")</f>
        <v/>
      </c>
      <c r="Q81" t="str" cm="1">
        <f t="array" ref="Q81">_xlfn.XLOOKUP(A81,J$14:J280,F$14:F280,"")</f>
        <v/>
      </c>
      <c r="R81" t="str" cm="1">
        <f t="array" ref="R81">_xlfn.XLOOKUP(A81,J$14:J280,I$14:I280,"")</f>
        <v/>
      </c>
      <c r="S81" t="str" cm="1">
        <f t="array" ref="S81">_xlfn.XLOOKUP(A81,J$14:J280,H$14:H280,"")</f>
        <v/>
      </c>
      <c r="T81" t="str" cm="1">
        <f t="array" ref="T81">VLOOKUP(ROW(68:68),L$14:S$163,8)</f>
        <v/>
      </c>
      <c r="U81" t="str" cm="1">
        <f t="array" ref="U81">VLOOKUP(ROW(68:68),L$14:M$163,2)</f>
        <v/>
      </c>
      <c r="V81" t="str" cm="1">
        <f t="array" ref="V81">VLOOKUP(ROW(68:68),L$14:O$163,4)</f>
        <v/>
      </c>
      <c r="W81" t="str" cm="1">
        <f t="array" ref="W81">VLOOKUP(ROW(68:68),L$14:Q$163,6)</f>
        <v/>
      </c>
      <c r="X81" cm="1">
        <f t="array" ref="X81">IFERROR(VLOOKUP(ROW(68:68),L$14:P$213,5)+0,0)</f>
        <v>0</v>
      </c>
      <c r="Y81" t="str" cm="1">
        <f t="array" ref="Y81">VLOOKUP(ROW(68:68),L$14:R$163,7)</f>
        <v/>
      </c>
      <c r="Z81">
        <f>IF(Y81&lt;-2,X81+MAX(Z$14:Z80),0)</f>
        <v>0</v>
      </c>
      <c r="AA81">
        <f>IFERROR(IF(AND(SUM(AA82:AA$214)+X81&lt;=Z$10,W81&lt;=Z$12,Z81=0),X81,0),0)</f>
        <v>0</v>
      </c>
      <c r="AB81">
        <f>IFERROR(IF(AND(W81&lt;=Z$12+10,AB$12-X81&gt;=0,SUM(Z81:AA81)=0,SUM(AB$14:AB80)+X81&lt;AB$12),X81,0),0)</f>
        <v>0</v>
      </c>
      <c r="AD81">
        <f>IF(AND(Y81=-2,SUM(Z81:AB81)=0),X81+MAX(AD$14:AD80),0)</f>
        <v>0</v>
      </c>
      <c r="AE81">
        <f>IFERROR(IF(AND(SUM(AE82:AE$214)+X81&lt;=AD$10,W81&lt;=AD$12,SUM(Z81:AD81)=0),X81,0),0)</f>
        <v>0</v>
      </c>
      <c r="AF81">
        <f>IFERROR(IF(AND(W81&lt;=AD$12+10,AF$12-X81&gt;=0,SUM(Z81:AE81)=0,SUM(AF$14:AF80)+X81&lt;AF$12),X81,0),0)</f>
        <v>0</v>
      </c>
      <c r="AG81">
        <f t="shared" si="55"/>
        <v>0</v>
      </c>
      <c r="AI81">
        <f t="shared" si="60"/>
        <v>0</v>
      </c>
      <c r="AJ81" s="493">
        <f t="shared" si="64"/>
        <v>0</v>
      </c>
      <c r="AK81">
        <f>IF(AJ81=0,0,IF(AJ80=0,MAX(AK$13:AK80)+1,IF(W81&lt;&gt;W80,MAX(AK$14:AK80)+1,IF(ROUNDDOWN(AJ81-0.01,0)=ROUNDDOWN(AJ80-0.01,0),AK80,AK80+1))))</f>
        <v>0</v>
      </c>
      <c r="AL81">
        <f t="shared" si="61"/>
        <v>0</v>
      </c>
      <c r="AM81">
        <f t="shared" si="62"/>
        <v>0</v>
      </c>
      <c r="AN81">
        <f>IF(AM81&gt;AN$12,IF(AK81=AK80,AN80,MAX(AN$13:AN80)+1),0)</f>
        <v>0</v>
      </c>
      <c r="AP81">
        <f t="shared" si="56"/>
        <v>0</v>
      </c>
      <c r="AQ81">
        <f>IF(AP81&gt;0,IF(MAX(AQ82:AQ$214)+AP81&gt;ROUNDUP(MAX(AQ82:AQ$214),0),ROUNDUP(MAX(AQ82:AQ$214),0)+AP81,MAX(AQ82:AQ$214)+AP81),0)</f>
        <v>0</v>
      </c>
      <c r="AR81">
        <f t="shared" si="63"/>
        <v>0</v>
      </c>
      <c r="AS81">
        <f t="shared" si="57"/>
        <v>0</v>
      </c>
      <c r="AT81">
        <f t="shared" si="58"/>
        <v>10</v>
      </c>
      <c r="AX81">
        <f>IF(_xlfn.MAXIFS(AX82:AX111,AW82:AW111,0)=0,MAX(AX82:AX111),_xlfn.MAXIFS(AX82:AX111,AW82:AW111,0))</f>
        <v>0</v>
      </c>
      <c r="AY81" t="s">
        <v>1115</v>
      </c>
      <c r="AZ81">
        <f>IF(_xlfn.MAXIFS(AX82:AX111,AW82:AW111,0)=0,1,0)</f>
        <v>1</v>
      </c>
      <c r="BG81" t="s">
        <v>1113</v>
      </c>
      <c r="BH81" t="s">
        <v>1139</v>
      </c>
      <c r="BI81" t="s">
        <v>1113</v>
      </c>
      <c r="BJ81">
        <v>28</v>
      </c>
      <c r="BK81">
        <f t="shared" si="49"/>
        <v>0</v>
      </c>
      <c r="BL81">
        <f t="shared" si="48"/>
        <v>0</v>
      </c>
      <c r="BM81" s="517"/>
    </row>
    <row r="82" spans="1:65" x14ac:dyDescent="0.25">
      <c r="A82">
        <v>69</v>
      </c>
      <c r="B82" t="str">
        <f>_xlfn.XLOOKUP(A82,Order!R$12:R$859,Order!C$12:C$859,"")</f>
        <v/>
      </c>
      <c r="C82" t="str">
        <f>_xlfn.XLOOKUP(A82,Order!R$12:R$859,Order!S$12:S$859,"")</f>
        <v/>
      </c>
      <c r="D82" t="str">
        <f>_xlfn.XLOOKUP(A82,Order!R$12:R$859,Order!B$12:B$859,"")</f>
        <v/>
      </c>
      <c r="E82" t="str">
        <f>_xlfn.XLOOKUP(A82,Order!R$12:R$859,Order!P$12:P$859,"")</f>
        <v/>
      </c>
      <c r="F82" t="str">
        <f>_xlfn.XLOOKUP(A82,Order!R$12:R$859,Order!T$12:T$859,"")</f>
        <v/>
      </c>
      <c r="G82" t="str">
        <f>_xlfn.XLOOKUP(A82,Order!R$12:R$859,Order!U$12:U$859,"")</f>
        <v/>
      </c>
      <c r="H82" t="str">
        <f>_xlfn.XLOOKUP(A82,Order!R$12:R$859,Order!B$12:B$859,"")</f>
        <v/>
      </c>
      <c r="I82" t="str">
        <f>_xlfn.XLOOKUP(A82,Order!R$12:R$859,Order!V$12:V$859,"")</f>
        <v/>
      </c>
      <c r="J82" t="str">
        <f>IFERROR(RANK(F82,F$14:F$213,1)+COUNTIF(F$14:F82,F82)-1,"")</f>
        <v/>
      </c>
      <c r="L82" t="str">
        <f t="shared" si="22"/>
        <v/>
      </c>
      <c r="M82" t="str" cm="1">
        <f t="array" ref="M82">_xlfn.XLOOKUP(A82,J$14:J281,B$14:B281,"")</f>
        <v/>
      </c>
      <c r="N82" t="str" cm="1">
        <f t="array" ref="N82">_xlfn.XLOOKUP(A82,J$14:J281,C$14:C281,"")</f>
        <v/>
      </c>
      <c r="O82" t="str" cm="1">
        <f t="array" ref="O82">_xlfn.XLOOKUP(A82,J$14:J281,E$14:E281,"")</f>
        <v/>
      </c>
      <c r="P82" t="str" cm="1">
        <f t="array" ref="P82">_xlfn.XLOOKUP(A82,J$14:J281,G$14:G281,"")</f>
        <v/>
      </c>
      <c r="Q82" t="str" cm="1">
        <f t="array" ref="Q82">_xlfn.XLOOKUP(A82,J$14:J281,F$14:F281,"")</f>
        <v/>
      </c>
      <c r="R82" t="str" cm="1">
        <f t="array" ref="R82">_xlfn.XLOOKUP(A82,J$14:J281,I$14:I281,"")</f>
        <v/>
      </c>
      <c r="S82" t="str" cm="1">
        <f t="array" ref="S82">_xlfn.XLOOKUP(A82,J$14:J281,H$14:H281,"")</f>
        <v/>
      </c>
      <c r="T82" t="str" cm="1">
        <f t="array" ref="T82">VLOOKUP(ROW(69:69),L$14:S$163,8)</f>
        <v/>
      </c>
      <c r="U82" t="str" cm="1">
        <f t="array" ref="U82">VLOOKUP(ROW(69:69),L$14:M$163,2)</f>
        <v/>
      </c>
      <c r="V82" t="str" cm="1">
        <f t="array" ref="V82">VLOOKUP(ROW(69:69),L$14:O$163,4)</f>
        <v/>
      </c>
      <c r="W82" t="str" cm="1">
        <f t="array" ref="W82">VLOOKUP(ROW(69:69),L$14:Q$163,6)</f>
        <v/>
      </c>
      <c r="X82" cm="1">
        <f t="array" ref="X82">IFERROR(VLOOKUP(ROW(69:69),L$14:P$213,5)+0,0)</f>
        <v>0</v>
      </c>
      <c r="Y82" t="str" cm="1">
        <f t="array" ref="Y82">VLOOKUP(ROW(69:69),L$14:R$163,7)</f>
        <v/>
      </c>
      <c r="Z82">
        <f>IF(Y82&lt;-2,X82+MAX(Z$14:Z81),0)</f>
        <v>0</v>
      </c>
      <c r="AA82">
        <f>IFERROR(IF(AND(SUM(AA83:AA$214)+X82&lt;=Z$10,W82&lt;=Z$12,Z82=0),X82,0),0)</f>
        <v>0</v>
      </c>
      <c r="AB82">
        <f>IFERROR(IF(AND(W82&lt;=Z$12+10,AB$12-X82&gt;=0,SUM(Z82:AA82)=0,SUM(AB$14:AB81)+X82&lt;AB$12),X82,0),0)</f>
        <v>0</v>
      </c>
      <c r="AD82">
        <f>IF(AND(Y82=-2,SUM(Z82:AB82)=0),X82+MAX(AD$14:AD81),0)</f>
        <v>0</v>
      </c>
      <c r="AE82">
        <f>IFERROR(IF(AND(SUM(AE83:AE$214)+X82&lt;=AD$10,W82&lt;=AD$12,SUM(Z82:AD82)=0),X82,0),0)</f>
        <v>0</v>
      </c>
      <c r="AF82">
        <f>IFERROR(IF(AND(W82&lt;=AD$12+10,AF$12-X82&gt;=0,SUM(Z82:AE82)=0,SUM(AF$14:AF81)+X82&lt;AF$12),X82,0),0)</f>
        <v>0</v>
      </c>
      <c r="AG82">
        <f t="shared" si="55"/>
        <v>0</v>
      </c>
      <c r="AI82">
        <f t="shared" si="60"/>
        <v>0</v>
      </c>
      <c r="AJ82" s="493">
        <f t="shared" si="64"/>
        <v>0</v>
      </c>
      <c r="AK82">
        <f>IF(AJ82=0,0,IF(AJ81=0,MAX(AK$13:AK81)+1,IF(W82&lt;&gt;W81,MAX(AK$14:AK81)+1,IF(ROUNDDOWN(AJ82-0.01,0)=ROUNDDOWN(AJ81-0.01,0),AK81,AK81+1))))</f>
        <v>0</v>
      </c>
      <c r="AL82">
        <f t="shared" si="61"/>
        <v>0</v>
      </c>
      <c r="AM82">
        <f t="shared" si="62"/>
        <v>0</v>
      </c>
      <c r="AN82">
        <f>IF(AM82&gt;AN$12,IF(AK82=AK81,AN81,MAX(AN$13:AN81)+1),0)</f>
        <v>0</v>
      </c>
      <c r="AP82">
        <f t="shared" si="56"/>
        <v>0</v>
      </c>
      <c r="AQ82">
        <f>IF(AP82&gt;0,IF(MAX(AQ83:AQ$214)+AP82&gt;ROUNDUP(MAX(AQ83:AQ$214),0),ROUNDUP(MAX(AQ83:AQ$214),0)+AP82,MAX(AQ83:AQ$214)+AP82),0)</f>
        <v>0</v>
      </c>
      <c r="AR82">
        <f t="shared" si="63"/>
        <v>0</v>
      </c>
      <c r="AS82">
        <f t="shared" si="57"/>
        <v>0</v>
      </c>
      <c r="AT82">
        <f t="shared" si="58"/>
        <v>10</v>
      </c>
      <c r="AV82">
        <v>1</v>
      </c>
      <c r="AW82">
        <f>IF(AND(AV82&gt;=BN$113,AV82&lt;BN$114),1,IF(AV82&lt;=AV$2,-1,0))</f>
        <v>0</v>
      </c>
      <c r="AX82">
        <f>BI43</f>
        <v>0</v>
      </c>
      <c r="AY82" s="495">
        <f>IF(AND(AX82=AX$81,AW82=AZ81,AX81&lt;&gt;0),AV82,)</f>
        <v>0</v>
      </c>
      <c r="AZ82" s="494">
        <f>IF(AND(SUM($AY82:AY82)=0,$AX82&gt;0),$AV82,0)</f>
        <v>0</v>
      </c>
      <c r="BA82" s="494">
        <f>IF(AND(SUM($AY82:AZ82)=0,$AX82&gt;0),$AV82,0)</f>
        <v>0</v>
      </c>
      <c r="BB82" s="494">
        <f>IF(AND(SUM($AY82:BA82)=0,$AX82&gt;0),$AV82,0)</f>
        <v>0</v>
      </c>
      <c r="BC82" s="494">
        <f>IF(AND(SUM($AY82:BB82)=0,$AX82&gt;0),$AV82,0)</f>
        <v>0</v>
      </c>
      <c r="BD82" s="494">
        <f>IF(AND(SUM($AY82:BC82)=0,$AX82&gt;0),$AV82,0)</f>
        <v>0</v>
      </c>
      <c r="BE82" s="494">
        <f>IF(AND(SUM($AY82:BD82)=0,$AX82&gt;0),$AV82,0)</f>
        <v>0</v>
      </c>
      <c r="BF82" s="494">
        <f>IF(AND(SUM($AY82:BE82)=0,$AX82&gt;0),$AV82,0)</f>
        <v>0</v>
      </c>
      <c r="BG82">
        <f t="shared" ref="BG82:BG111" si="65">IF(AND(SUM(AY82:BF82)=0,AX82&gt;0,AW82&gt;-1),AX82,0)</f>
        <v>0</v>
      </c>
      <c r="BH82" s="494">
        <f>IF(AND(BG82&gt;0,BG82&gt;BG$114,BG$114+BF$117&gt;BG82),BG82,0)</f>
        <v>0</v>
      </c>
      <c r="BI82">
        <f>IF(AND(BG$115=AV82,BH$113&gt;0),AX82,IF(BH$114=AV82,0,BG82))+IF(AND(SUM(AZ82:BF82)=0,AW82=-1),AX82,0)</f>
        <v>0</v>
      </c>
      <c r="BJ82">
        <v>29</v>
      </c>
      <c r="BK82">
        <f t="shared" si="49"/>
        <v>0</v>
      </c>
      <c r="BL82">
        <f t="shared" si="48"/>
        <v>0</v>
      </c>
      <c r="BM82" s="517"/>
    </row>
    <row r="83" spans="1:65" x14ac:dyDescent="0.25">
      <c r="A83">
        <v>70</v>
      </c>
      <c r="B83" t="str">
        <f>_xlfn.XLOOKUP(A83,Order!R$12:R$859,Order!C$12:C$859,"")</f>
        <v/>
      </c>
      <c r="C83" t="str">
        <f>_xlfn.XLOOKUP(A83,Order!R$12:R$859,Order!S$12:S$859,"")</f>
        <v/>
      </c>
      <c r="D83" t="str">
        <f>_xlfn.XLOOKUP(A83,Order!R$12:R$859,Order!B$12:B$859,"")</f>
        <v/>
      </c>
      <c r="E83" t="str">
        <f>_xlfn.XLOOKUP(A83,Order!R$12:R$859,Order!P$12:P$859,"")</f>
        <v/>
      </c>
      <c r="F83" t="str">
        <f>_xlfn.XLOOKUP(A83,Order!R$12:R$859,Order!T$12:T$859,"")</f>
        <v/>
      </c>
      <c r="G83" t="str">
        <f>_xlfn.XLOOKUP(A83,Order!R$12:R$859,Order!U$12:U$859,"")</f>
        <v/>
      </c>
      <c r="H83" t="str">
        <f>_xlfn.XLOOKUP(A83,Order!R$12:R$859,Order!B$12:B$859,"")</f>
        <v/>
      </c>
      <c r="I83" t="str">
        <f>_xlfn.XLOOKUP(A83,Order!R$12:R$859,Order!V$12:V$859,"")</f>
        <v/>
      </c>
      <c r="J83" t="str">
        <f>IFERROR(RANK(F83,F$14:F$213,1)+COUNTIF(F$14:F83,F83)-1,"")</f>
        <v/>
      </c>
      <c r="L83" t="str">
        <f t="shared" ref="L83:L146" si="66">IFERROR(L82+N82,"")</f>
        <v/>
      </c>
      <c r="M83" t="str" cm="1">
        <f t="array" ref="M83">_xlfn.XLOOKUP(A83,J$14:J282,B$14:B282,"")</f>
        <v/>
      </c>
      <c r="N83" t="str" cm="1">
        <f t="array" ref="N83">_xlfn.XLOOKUP(A83,J$14:J282,C$14:C282,"")</f>
        <v/>
      </c>
      <c r="O83" t="str" cm="1">
        <f t="array" ref="O83">_xlfn.XLOOKUP(A83,J$14:J282,E$14:E282,"")</f>
        <v/>
      </c>
      <c r="P83" t="str" cm="1">
        <f t="array" ref="P83">_xlfn.XLOOKUP(A83,J$14:J282,G$14:G282,"")</f>
        <v/>
      </c>
      <c r="Q83" t="str" cm="1">
        <f t="array" ref="Q83">_xlfn.XLOOKUP(A83,J$14:J282,F$14:F282,"")</f>
        <v/>
      </c>
      <c r="R83" t="str" cm="1">
        <f t="array" ref="R83">_xlfn.XLOOKUP(A83,J$14:J282,I$14:I282,"")</f>
        <v/>
      </c>
      <c r="S83" t="str" cm="1">
        <f t="array" ref="S83">_xlfn.XLOOKUP(A83,J$14:J282,H$14:H282,"")</f>
        <v/>
      </c>
      <c r="T83" t="str" cm="1">
        <f t="array" ref="T83">VLOOKUP(ROW(70:70),L$14:S$163,8)</f>
        <v/>
      </c>
      <c r="U83" t="str" cm="1">
        <f t="array" ref="U83">VLOOKUP(ROW(70:70),L$14:M$163,2)</f>
        <v/>
      </c>
      <c r="V83" t="str" cm="1">
        <f t="array" ref="V83">VLOOKUP(ROW(70:70),L$14:O$163,4)</f>
        <v/>
      </c>
      <c r="W83" t="str" cm="1">
        <f t="array" ref="W83">VLOOKUP(ROW(70:70),L$14:Q$163,6)</f>
        <v/>
      </c>
      <c r="X83" cm="1">
        <f t="array" ref="X83">IFERROR(VLOOKUP(ROW(70:70),L$14:P$213,5)+0,0)</f>
        <v>0</v>
      </c>
      <c r="Y83" t="str" cm="1">
        <f t="array" ref="Y83">VLOOKUP(ROW(70:70),L$14:R$163,7)</f>
        <v/>
      </c>
      <c r="Z83">
        <f>IF(Y83&lt;-2,X83+MAX(Z$14:Z82),0)</f>
        <v>0</v>
      </c>
      <c r="AA83">
        <f>IFERROR(IF(AND(SUM(AA84:AA$214)+X83&lt;=Z$10,W83&lt;=Z$12,Z83=0),X83,0),0)</f>
        <v>0</v>
      </c>
      <c r="AB83">
        <f>IFERROR(IF(AND(W83&lt;=Z$12+10,AB$12-X83&gt;=0,SUM(Z83:AA83)=0,SUM(AB$14:AB82)+X83&lt;AB$12),X83,0),0)</f>
        <v>0</v>
      </c>
      <c r="AD83">
        <f>IF(AND(Y83=-2,SUM(Z83:AB83)=0),X83+MAX(AD$14:AD82),0)</f>
        <v>0</v>
      </c>
      <c r="AE83">
        <f>IFERROR(IF(AND(SUM(AE84:AE$214)+X83&lt;=AD$10,W83&lt;=AD$12,SUM(Z83:AD83)=0),X83,0),0)</f>
        <v>0</v>
      </c>
      <c r="AF83">
        <f>IFERROR(IF(AND(W83&lt;=AD$12+10,AF$12-X83&gt;=0,SUM(Z83:AE83)=0,SUM(AF$14:AF82)+X83&lt;AF$12),X83,0),0)</f>
        <v>0</v>
      </c>
      <c r="AG83">
        <f t="shared" si="55"/>
        <v>0</v>
      </c>
      <c r="AI83">
        <f t="shared" si="60"/>
        <v>0</v>
      </c>
      <c r="AJ83" s="493">
        <f t="shared" si="64"/>
        <v>0</v>
      </c>
      <c r="AK83">
        <f>IF(AJ83=0,0,IF(AJ82=0,MAX(AK$13:AK82)+1,IF(W83&lt;&gt;W82,MAX(AK$14:AK82)+1,IF(ROUNDDOWN(AJ83-0.01,0)=ROUNDDOWN(AJ82-0.01,0),AK82,AK82+1))))</f>
        <v>0</v>
      </c>
      <c r="AL83">
        <f t="shared" si="61"/>
        <v>0</v>
      </c>
      <c r="AM83">
        <f t="shared" si="62"/>
        <v>0</v>
      </c>
      <c r="AN83">
        <f>IF(AM83&gt;AN$12,IF(AK83=AK82,AN82,MAX(AN$13:AN82)+1),0)</f>
        <v>0</v>
      </c>
      <c r="AP83">
        <f t="shared" si="56"/>
        <v>0</v>
      </c>
      <c r="AQ83">
        <f>IF(AP83&gt;0,IF(MAX(AQ84:AQ$214)+AP83&gt;ROUNDUP(MAX(AQ84:AQ$214),0),ROUNDUP(MAX(AQ84:AQ$214),0)+AP83,MAX(AQ84:AQ$214)+AP83),0)</f>
        <v>0</v>
      </c>
      <c r="AR83">
        <f t="shared" si="63"/>
        <v>0</v>
      </c>
      <c r="AS83">
        <f t="shared" si="57"/>
        <v>0</v>
      </c>
      <c r="AT83">
        <f t="shared" si="58"/>
        <v>10</v>
      </c>
      <c r="AV83">
        <v>2</v>
      </c>
      <c r="AW83">
        <f t="shared" ref="AW83:AW111" si="67">IF(AND(AV83&gt;=BN$113,AV83&lt;BN$114),1,IF(AV83&lt;=AV$2,-1,0))</f>
        <v>0</v>
      </c>
      <c r="AX83">
        <f t="shared" ref="AX83:AX111" si="68">BI44</f>
        <v>0</v>
      </c>
      <c r="AY83" s="496">
        <f>IF(AND(AX83=AX$81,SUM(AY$82:AY82)=0,AW83=AZ$81,AX$81&lt;&gt;0),AV83,)</f>
        <v>0</v>
      </c>
      <c r="AZ83">
        <f>IF(AND(SUM(AZ$82:AZ82)=0,SUM($AY83:AY83)=0,$AX83&lt;=AY$117,$AX83&gt;0,$AW83&gt;-1),$AV83,0)</f>
        <v>0</v>
      </c>
      <c r="BA83">
        <f>IF(AND(SUM(BA$82:BA82)=0,SUM($AY83:AZ83)=0,$AX83&lt;=AZ$117,$AX83&gt;0,$AW83&gt;-1),$AV83,0)</f>
        <v>0</v>
      </c>
      <c r="BB83">
        <f>IF(AND(SUM(BB$82:BB82)=0,SUM($AY83:BA83)=0,$AX83&lt;=BA$117,$AX83&gt;0,$AW83&gt;-1),$AV83,0)</f>
        <v>0</v>
      </c>
      <c r="BC83">
        <f>IF(AND(SUM(BC$82:BC82)=0,SUM($AY83:BB83)=0,$AX83&lt;=BB$117,$AX83&gt;0,$AW83&gt;-1),$AV83,0)</f>
        <v>0</v>
      </c>
      <c r="BD83">
        <f>IF(AND(SUM(BD$82:BD82)=0,SUM($AY83:BC83)=0,$AX83&lt;=BC$117,$AX83&gt;0,$AW83&gt;-1),$AV83,0)</f>
        <v>0</v>
      </c>
      <c r="BE83">
        <f>IF(AND(SUM(BE$82:BE82)=0,SUM($AY83:BD83)=0,$AX83&lt;=BD$117,$AX83&gt;0,$AW83&gt;-1),$AV83,0)</f>
        <v>0</v>
      </c>
      <c r="BF83">
        <f>IF(AND(SUM(BF$82:BF82)=0,SUM($AY83:BE83)=0,$AX83&lt;=BE$117,$AX83&gt;0,$AW83&gt;-1),$AV83,0)</f>
        <v>0</v>
      </c>
      <c r="BG83">
        <f t="shared" si="65"/>
        <v>0</v>
      </c>
      <c r="BH83" s="494">
        <f t="shared" ref="BH83:BH111" si="69">IF(AND(BG83&gt;0,BG83&gt;BG$114,BG$114+BF$117&gt;BG83),BG83,0)</f>
        <v>0</v>
      </c>
      <c r="BI83">
        <f t="shared" ref="BI83:BI111" si="70">IF(AND(BG$115=AV83,BH$113&gt;0),AX83,IF(BH$114=AV83,0,BG83))+IF(AND(SUM(AZ83:BF83)=0,AW83=-1),AX83,0)</f>
        <v>0</v>
      </c>
      <c r="BJ83">
        <v>30</v>
      </c>
      <c r="BK83">
        <f t="shared" si="49"/>
        <v>0</v>
      </c>
      <c r="BL83">
        <f t="shared" si="48"/>
        <v>0</v>
      </c>
      <c r="BM83" s="517"/>
    </row>
    <row r="84" spans="1:65" x14ac:dyDescent="0.25">
      <c r="A84">
        <v>71</v>
      </c>
      <c r="B84" t="str">
        <f>_xlfn.XLOOKUP(A84,Order!R$12:R$859,Order!C$12:C$859,"")</f>
        <v/>
      </c>
      <c r="C84" t="str">
        <f>_xlfn.XLOOKUP(A84,Order!R$12:R$859,Order!S$12:S$859,"")</f>
        <v/>
      </c>
      <c r="D84" t="str">
        <f>_xlfn.XLOOKUP(A84,Order!R$12:R$859,Order!B$12:B$859,"")</f>
        <v/>
      </c>
      <c r="E84" t="str">
        <f>_xlfn.XLOOKUP(A84,Order!R$12:R$859,Order!P$12:P$859,"")</f>
        <v/>
      </c>
      <c r="F84" t="str">
        <f>_xlfn.XLOOKUP(A84,Order!R$12:R$859,Order!T$12:T$859,"")</f>
        <v/>
      </c>
      <c r="G84" t="str">
        <f>_xlfn.XLOOKUP(A84,Order!R$12:R$859,Order!U$12:U$859,"")</f>
        <v/>
      </c>
      <c r="H84" t="str">
        <f>_xlfn.XLOOKUP(A84,Order!R$12:R$859,Order!B$12:B$859,"")</f>
        <v/>
      </c>
      <c r="I84" t="str">
        <f>_xlfn.XLOOKUP(A84,Order!R$12:R$859,Order!V$12:V$859,"")</f>
        <v/>
      </c>
      <c r="J84" t="str">
        <f>IFERROR(RANK(F84,F$14:F$213,1)+COUNTIF(F$14:F84,F84)-1,"")</f>
        <v/>
      </c>
      <c r="L84" t="str">
        <f t="shared" si="66"/>
        <v/>
      </c>
      <c r="M84" t="str" cm="1">
        <f t="array" ref="M84">_xlfn.XLOOKUP(A84,J$14:J283,B$14:B283,"")</f>
        <v/>
      </c>
      <c r="N84" t="str" cm="1">
        <f t="array" ref="N84">_xlfn.XLOOKUP(A84,J$14:J283,C$14:C283,"")</f>
        <v/>
      </c>
      <c r="O84" t="str" cm="1">
        <f t="array" ref="O84">_xlfn.XLOOKUP(A84,J$14:J283,E$14:E283,"")</f>
        <v/>
      </c>
      <c r="P84" t="str" cm="1">
        <f t="array" ref="P84">_xlfn.XLOOKUP(A84,J$14:J283,G$14:G283,"")</f>
        <v/>
      </c>
      <c r="Q84" t="str" cm="1">
        <f t="array" ref="Q84">_xlfn.XLOOKUP(A84,J$14:J283,F$14:F283,"")</f>
        <v/>
      </c>
      <c r="R84" t="str" cm="1">
        <f t="array" ref="R84">_xlfn.XLOOKUP(A84,J$14:J283,I$14:I283,"")</f>
        <v/>
      </c>
      <c r="S84" t="str" cm="1">
        <f t="array" ref="S84">_xlfn.XLOOKUP(A84,J$14:J283,H$14:H283,"")</f>
        <v/>
      </c>
      <c r="T84" t="str" cm="1">
        <f t="array" ref="T84">VLOOKUP(ROW(71:71),L$14:S$163,8)</f>
        <v/>
      </c>
      <c r="U84" t="str" cm="1">
        <f t="array" ref="U84">VLOOKUP(ROW(71:71),L$14:M$163,2)</f>
        <v/>
      </c>
      <c r="V84" t="str" cm="1">
        <f t="array" ref="V84">VLOOKUP(ROW(71:71),L$14:O$163,4)</f>
        <v/>
      </c>
      <c r="W84" t="str" cm="1">
        <f t="array" ref="W84">VLOOKUP(ROW(71:71),L$14:Q$163,6)</f>
        <v/>
      </c>
      <c r="X84" cm="1">
        <f t="array" ref="X84">IFERROR(VLOOKUP(ROW(71:71),L$14:P$213,5)+0,0)</f>
        <v>0</v>
      </c>
      <c r="Y84" t="str" cm="1">
        <f t="array" ref="Y84">VLOOKUP(ROW(71:71),L$14:R$163,7)</f>
        <v/>
      </c>
      <c r="Z84">
        <f>IF(Y84&lt;-2,X84+MAX(Z$14:Z83),0)</f>
        <v>0</v>
      </c>
      <c r="AA84">
        <f>IFERROR(IF(AND(SUM(AA85:AA$214)+X84&lt;=Z$10,W84&lt;=Z$12,Z84=0),X84,0),0)</f>
        <v>0</v>
      </c>
      <c r="AB84">
        <f>IFERROR(IF(AND(W84&lt;=Z$12+10,AB$12-X84&gt;=0,SUM(Z84:AA84)=0,SUM(AB$14:AB83)+X84&lt;AB$12),X84,0),0)</f>
        <v>0</v>
      </c>
      <c r="AD84">
        <f>IF(AND(Y84=-2,SUM(Z84:AB84)=0),X84+MAX(AD$14:AD83),0)</f>
        <v>0</v>
      </c>
      <c r="AE84">
        <f>IFERROR(IF(AND(SUM(AE85:AE$214)+X84&lt;=AD$10,W84&lt;=AD$12,SUM(Z84:AD84)=0),X84,0),0)</f>
        <v>0</v>
      </c>
      <c r="AF84">
        <f>IFERROR(IF(AND(W84&lt;=AD$12+10,AF$12-X84&gt;=0,SUM(Z84:AE84)=0,SUM(AF$14:AF83)+X84&lt;AF$12),X84,0),0)</f>
        <v>0</v>
      </c>
      <c r="AG84">
        <f t="shared" si="55"/>
        <v>0</v>
      </c>
      <c r="AI84">
        <f t="shared" si="60"/>
        <v>0</v>
      </c>
      <c r="AJ84" s="493">
        <f t="shared" si="64"/>
        <v>0</v>
      </c>
      <c r="AK84">
        <f>IF(AJ84=0,0,IF(AJ83=0,MAX(AK$13:AK83)+1,IF(W84&lt;&gt;W83,MAX(AK$14:AK83)+1,IF(ROUNDDOWN(AJ84-0.01,0)=ROUNDDOWN(AJ83-0.01,0),AK83,AK83+1))))</f>
        <v>0</v>
      </c>
      <c r="AL84">
        <f t="shared" si="61"/>
        <v>0</v>
      </c>
      <c r="AM84">
        <f t="shared" si="62"/>
        <v>0</v>
      </c>
      <c r="AN84">
        <f>IF(AM84&gt;AN$12,IF(AK84=AK83,AN83,MAX(AN$13:AN83)+1),0)</f>
        <v>0</v>
      </c>
      <c r="AP84">
        <f t="shared" si="56"/>
        <v>0</v>
      </c>
      <c r="AQ84">
        <f>IF(AP84&gt;0,IF(MAX(AQ85:AQ$214)+AP84&gt;ROUNDUP(MAX(AQ85:AQ$214),0),ROUNDUP(MAX(AQ85:AQ$214),0)+AP84,MAX(AQ85:AQ$214)+AP84),0)</f>
        <v>0</v>
      </c>
      <c r="AR84">
        <f t="shared" si="63"/>
        <v>0</v>
      </c>
      <c r="AS84">
        <f t="shared" si="57"/>
        <v>0</v>
      </c>
      <c r="AT84">
        <f t="shared" si="58"/>
        <v>10</v>
      </c>
      <c r="AV84">
        <v>3</v>
      </c>
      <c r="AW84">
        <f t="shared" si="67"/>
        <v>0</v>
      </c>
      <c r="AX84">
        <f t="shared" si="68"/>
        <v>0</v>
      </c>
      <c r="AY84" s="496">
        <f>IF(AND(AX84=AX$81,SUM(AY$82:AY83)=0,AW84=AZ$81,AX$81&lt;&gt;0),AV84,)</f>
        <v>0</v>
      </c>
      <c r="AZ84">
        <f>IF(AND(SUM(AZ$82:AZ83)=0,SUM($AY84:AY84)=0,$AX84&lt;=AY$117,$AX84&gt;0,$AW84&gt;-1),$AV84,0)</f>
        <v>0</v>
      </c>
      <c r="BA84">
        <f>IF(AND(SUM(BA$82:BA83)=0,SUM($AY84:AZ84)=0,$AX84&lt;=AZ$117,$AX84&gt;0,$AW84&gt;-1),$AV84,0)</f>
        <v>0</v>
      </c>
      <c r="BB84">
        <f>IF(AND(SUM(BB$82:BB83)=0,SUM($AY84:BA84)=0,$AX84&lt;=BA$117,$AX84&gt;0,$AW84&gt;-1),$AV84,0)</f>
        <v>0</v>
      </c>
      <c r="BC84">
        <f>IF(AND(SUM(BC$82:BC83)=0,SUM($AY84:BB84)=0,$AX84&lt;=BB$117,$AX84&gt;0,$AW84&gt;-1),$AV84,0)</f>
        <v>0</v>
      </c>
      <c r="BD84">
        <f>IF(AND(SUM(BD$82:BD83)=0,SUM($AY84:BC84)=0,$AX84&lt;=BC$117,$AX84&gt;0,$AW84&gt;-1),$AV84,0)</f>
        <v>0</v>
      </c>
      <c r="BE84">
        <f>IF(AND(SUM(BE$82:BE83)=0,SUM($AY84:BD84)=0,$AX84&lt;=BD$117,$AX84&gt;0,$AW84&gt;-1),$AV84,0)</f>
        <v>0</v>
      </c>
      <c r="BF84">
        <f>IF(AND(SUM(BF$82:BF83)=0,SUM($AY84:BE84)=0,$AX84&lt;=BE$117,$AX84&gt;0,$AW84&gt;-1),$AV84,0)</f>
        <v>0</v>
      </c>
      <c r="BG84">
        <f t="shared" si="65"/>
        <v>0</v>
      </c>
      <c r="BH84" s="494">
        <f t="shared" si="69"/>
        <v>0</v>
      </c>
      <c r="BI84">
        <f t="shared" si="70"/>
        <v>0</v>
      </c>
      <c r="BJ84">
        <v>31</v>
      </c>
      <c r="BK84">
        <f t="shared" si="49"/>
        <v>0</v>
      </c>
      <c r="BL84">
        <f t="shared" si="48"/>
        <v>0</v>
      </c>
      <c r="BM84" s="517"/>
    </row>
    <row r="85" spans="1:65" x14ac:dyDescent="0.25">
      <c r="A85">
        <v>72</v>
      </c>
      <c r="B85" t="str">
        <f>_xlfn.XLOOKUP(A85,Order!R$12:R$859,Order!C$12:C$859,"")</f>
        <v/>
      </c>
      <c r="C85" t="str">
        <f>_xlfn.XLOOKUP(A85,Order!R$12:R$859,Order!S$12:S$859,"")</f>
        <v/>
      </c>
      <c r="D85" t="str">
        <f>_xlfn.XLOOKUP(A85,Order!R$12:R$859,Order!B$12:B$859,"")</f>
        <v/>
      </c>
      <c r="E85" t="str">
        <f>_xlfn.XLOOKUP(A85,Order!R$12:R$859,Order!P$12:P$859,"")</f>
        <v/>
      </c>
      <c r="F85" t="str">
        <f>_xlfn.XLOOKUP(A85,Order!R$12:R$859,Order!T$12:T$859,"")</f>
        <v/>
      </c>
      <c r="G85" t="str">
        <f>_xlfn.XLOOKUP(A85,Order!R$12:R$859,Order!U$12:U$859,"")</f>
        <v/>
      </c>
      <c r="H85" t="str">
        <f>_xlfn.XLOOKUP(A85,Order!R$12:R$859,Order!B$12:B$859,"")</f>
        <v/>
      </c>
      <c r="I85" t="str">
        <f>_xlfn.XLOOKUP(A85,Order!R$12:R$859,Order!V$12:V$859,"")</f>
        <v/>
      </c>
      <c r="J85" t="str">
        <f>IFERROR(RANK(F85,F$14:F$213,1)+COUNTIF(F$14:F85,F85)-1,"")</f>
        <v/>
      </c>
      <c r="L85" t="str">
        <f t="shared" si="66"/>
        <v/>
      </c>
      <c r="M85" t="str" cm="1">
        <f t="array" ref="M85">_xlfn.XLOOKUP(A85,J$14:J284,B$14:B284,"")</f>
        <v/>
      </c>
      <c r="N85" t="str" cm="1">
        <f t="array" ref="N85">_xlfn.XLOOKUP(A85,J$14:J284,C$14:C284,"")</f>
        <v/>
      </c>
      <c r="O85" t="str" cm="1">
        <f t="array" ref="O85">_xlfn.XLOOKUP(A85,J$14:J284,E$14:E284,"")</f>
        <v/>
      </c>
      <c r="P85" t="str" cm="1">
        <f t="array" ref="P85">_xlfn.XLOOKUP(A85,J$14:J284,G$14:G284,"")</f>
        <v/>
      </c>
      <c r="Q85" t="str" cm="1">
        <f t="array" ref="Q85">_xlfn.XLOOKUP(A85,J$14:J284,F$14:F284,"")</f>
        <v/>
      </c>
      <c r="R85" t="str" cm="1">
        <f t="array" ref="R85">_xlfn.XLOOKUP(A85,J$14:J284,I$14:I284,"")</f>
        <v/>
      </c>
      <c r="S85" t="str" cm="1">
        <f t="array" ref="S85">_xlfn.XLOOKUP(A85,J$14:J284,H$14:H284,"")</f>
        <v/>
      </c>
      <c r="T85" t="str" cm="1">
        <f t="array" ref="T85">VLOOKUP(ROW(72:72),L$14:S$163,8)</f>
        <v/>
      </c>
      <c r="U85" t="str" cm="1">
        <f t="array" ref="U85">VLOOKUP(ROW(72:72),L$14:M$163,2)</f>
        <v/>
      </c>
      <c r="V85" t="str" cm="1">
        <f t="array" ref="V85">VLOOKUP(ROW(72:72),L$14:O$163,4)</f>
        <v/>
      </c>
      <c r="W85" t="str" cm="1">
        <f t="array" ref="W85">VLOOKUP(ROW(72:72),L$14:Q$163,6)</f>
        <v/>
      </c>
      <c r="X85" cm="1">
        <f t="array" ref="X85">IFERROR(VLOOKUP(ROW(72:72),L$14:P$213,5)+0,0)</f>
        <v>0</v>
      </c>
      <c r="Y85" t="str" cm="1">
        <f t="array" ref="Y85">VLOOKUP(ROW(72:72),L$14:R$163,7)</f>
        <v/>
      </c>
      <c r="Z85">
        <f>IF(Y85&lt;-2,X85+MAX(Z$14:Z84),0)</f>
        <v>0</v>
      </c>
      <c r="AA85">
        <f>IFERROR(IF(AND(SUM(AA86:AA$214)+X85&lt;=Z$10,W85&lt;=Z$12,Z85=0),X85,0),0)</f>
        <v>0</v>
      </c>
      <c r="AB85">
        <f>IFERROR(IF(AND(W85&lt;=Z$12+10,AB$12-X85&gt;=0,SUM(Z85:AA85)=0,SUM(AB$14:AB84)+X85&lt;AB$12),X85,0),0)</f>
        <v>0</v>
      </c>
      <c r="AD85">
        <f>IF(AND(Y85=-2,SUM(Z85:AB85)=0),X85+MAX(AD$14:AD84),0)</f>
        <v>0</v>
      </c>
      <c r="AE85">
        <f>IFERROR(IF(AND(SUM(AE86:AE$214)+X85&lt;=AD$10,W85&lt;=AD$12,SUM(Z85:AD85)=0),X85,0),0)</f>
        <v>0</v>
      </c>
      <c r="AF85">
        <f>IFERROR(IF(AND(W85&lt;=AD$12+10,AF$12-X85&gt;=0,SUM(Z85:AE85)=0,SUM(AF$14:AF84)+X85&lt;AF$12),X85,0),0)</f>
        <v>0</v>
      </c>
      <c r="AG85">
        <f t="shared" si="55"/>
        <v>0</v>
      </c>
      <c r="AI85">
        <f t="shared" si="60"/>
        <v>0</v>
      </c>
      <c r="AJ85" s="493">
        <f t="shared" si="64"/>
        <v>0</v>
      </c>
      <c r="AK85">
        <f>IF(AJ85=0,0,IF(AJ84=0,MAX(AK$13:AK84)+1,IF(W85&lt;&gt;W84,MAX(AK$14:AK84)+1,IF(ROUNDDOWN(AJ85-0.01,0)=ROUNDDOWN(AJ84-0.01,0),AK84,AK84+1))))</f>
        <v>0</v>
      </c>
      <c r="AL85">
        <f t="shared" si="61"/>
        <v>0</v>
      </c>
      <c r="AM85">
        <f t="shared" si="62"/>
        <v>0</v>
      </c>
      <c r="AN85">
        <f>IF(AM85&gt;AN$12,IF(AK85=AK84,AN84,MAX(AN$13:AN84)+1),0)</f>
        <v>0</v>
      </c>
      <c r="AP85">
        <f t="shared" si="56"/>
        <v>0</v>
      </c>
      <c r="AQ85">
        <f>IF(AP85&gt;0,IF(MAX(AQ86:AQ$214)+AP85&gt;ROUNDUP(MAX(AQ86:AQ$214),0),ROUNDUP(MAX(AQ86:AQ$214),0)+AP85,MAX(AQ86:AQ$214)+AP85),0)</f>
        <v>0</v>
      </c>
      <c r="AR85">
        <f t="shared" si="63"/>
        <v>0</v>
      </c>
      <c r="AS85">
        <f t="shared" si="57"/>
        <v>0</v>
      </c>
      <c r="AT85">
        <f t="shared" si="58"/>
        <v>10</v>
      </c>
      <c r="AV85">
        <v>4</v>
      </c>
      <c r="AW85">
        <f t="shared" si="67"/>
        <v>0</v>
      </c>
      <c r="AX85">
        <f t="shared" si="68"/>
        <v>0</v>
      </c>
      <c r="AY85" s="496">
        <f>IF(AND(AX85=AX$81,SUM(AY$82:AY84)=0,AW85=AZ$81,AX$81&lt;&gt;0),AV85,)</f>
        <v>0</v>
      </c>
      <c r="AZ85">
        <f>IF(AND(SUM(AZ$82:AZ84)=0,SUM($AY85:AY85)=0,$AX85&lt;=AY$117,$AX85&gt;0,$AW85&gt;-1),$AV85,0)</f>
        <v>0</v>
      </c>
      <c r="BA85">
        <f>IF(AND(SUM(BA$82:BA84)=0,SUM($AY85:AZ85)=0,$AX85&lt;=AZ$117,$AX85&gt;0,$AW85&gt;-1),$AV85,0)</f>
        <v>0</v>
      </c>
      <c r="BB85">
        <f>IF(AND(SUM(BB$82:BB84)=0,SUM($AY85:BA85)=0,$AX85&lt;=BA$117,$AX85&gt;0,$AW85&gt;-1),$AV85,0)</f>
        <v>0</v>
      </c>
      <c r="BC85">
        <f>IF(AND(SUM(BC$82:BC84)=0,SUM($AY85:BB85)=0,$AX85&lt;=BB$117,$AX85&gt;0,$AW85&gt;-1),$AV85,0)</f>
        <v>0</v>
      </c>
      <c r="BD85">
        <f>IF(AND(SUM(BD$82:BD84)=0,SUM($AY85:BC85)=0,$AX85&lt;=BC$117,$AX85&gt;0,$AW85&gt;-1),$AV85,0)</f>
        <v>0</v>
      </c>
      <c r="BE85">
        <f>IF(AND(SUM(BE$82:BE84)=0,SUM($AY85:BD85)=0,$AX85&lt;=BD$117,$AX85&gt;0,$AW85&gt;-1),$AV85,0)</f>
        <v>0</v>
      </c>
      <c r="BF85">
        <f>IF(AND(SUM(BF$82:BF84)=0,SUM($AY85:BE85)=0,$AX85&lt;=BE$117,$AX85&gt;0,$AW85&gt;-1),$AV85,0)</f>
        <v>0</v>
      </c>
      <c r="BG85">
        <f t="shared" si="65"/>
        <v>0</v>
      </c>
      <c r="BH85" s="494">
        <f t="shared" si="69"/>
        <v>0</v>
      </c>
      <c r="BI85">
        <f t="shared" si="70"/>
        <v>0</v>
      </c>
      <c r="BJ85">
        <v>32</v>
      </c>
      <c r="BK85">
        <f t="shared" si="49"/>
        <v>0</v>
      </c>
      <c r="BL85">
        <f t="shared" si="48"/>
        <v>0</v>
      </c>
      <c r="BM85" s="517"/>
    </row>
    <row r="86" spans="1:65" x14ac:dyDescent="0.25">
      <c r="A86">
        <v>73</v>
      </c>
      <c r="B86" t="str">
        <f>_xlfn.XLOOKUP(A86,Order!R$12:R$859,Order!C$12:C$859,"")</f>
        <v/>
      </c>
      <c r="C86" t="str">
        <f>_xlfn.XLOOKUP(A86,Order!R$12:R$859,Order!S$12:S$859,"")</f>
        <v/>
      </c>
      <c r="D86" t="str">
        <f>_xlfn.XLOOKUP(A86,Order!R$12:R$859,Order!B$12:B$859,"")</f>
        <v/>
      </c>
      <c r="E86" t="str">
        <f>_xlfn.XLOOKUP(A86,Order!R$12:R$859,Order!P$12:P$859,"")</f>
        <v/>
      </c>
      <c r="F86" t="str">
        <f>_xlfn.XLOOKUP(A86,Order!R$12:R$859,Order!T$12:T$859,"")</f>
        <v/>
      </c>
      <c r="G86" t="str">
        <f>_xlfn.XLOOKUP(A86,Order!R$12:R$859,Order!U$12:U$859,"")</f>
        <v/>
      </c>
      <c r="H86" t="str">
        <f>_xlfn.XLOOKUP(A86,Order!R$12:R$859,Order!B$12:B$859,"")</f>
        <v/>
      </c>
      <c r="I86" t="str">
        <f>_xlfn.XLOOKUP(A86,Order!R$12:R$859,Order!V$12:V$859,"")</f>
        <v/>
      </c>
      <c r="J86" t="str">
        <f>IFERROR(RANK(F86,F$14:F$213,1)+COUNTIF(F$14:F86,F86)-1,"")</f>
        <v/>
      </c>
      <c r="L86" t="str">
        <f t="shared" si="66"/>
        <v/>
      </c>
      <c r="M86" t="str" cm="1">
        <f t="array" ref="M86">_xlfn.XLOOKUP(A86,J$14:J285,B$14:B285,"")</f>
        <v/>
      </c>
      <c r="N86" t="str" cm="1">
        <f t="array" ref="N86">_xlfn.XLOOKUP(A86,J$14:J285,C$14:C285,"")</f>
        <v/>
      </c>
      <c r="O86" t="str" cm="1">
        <f t="array" ref="O86">_xlfn.XLOOKUP(A86,J$14:J285,E$14:E285,"")</f>
        <v/>
      </c>
      <c r="P86" t="str" cm="1">
        <f t="array" ref="P86">_xlfn.XLOOKUP(A86,J$14:J285,G$14:G285,"")</f>
        <v/>
      </c>
      <c r="Q86" t="str" cm="1">
        <f t="array" ref="Q86">_xlfn.XLOOKUP(A86,J$14:J285,F$14:F285,"")</f>
        <v/>
      </c>
      <c r="R86" t="str" cm="1">
        <f t="array" ref="R86">_xlfn.XLOOKUP(A86,J$14:J285,I$14:I285,"")</f>
        <v/>
      </c>
      <c r="S86" t="str" cm="1">
        <f t="array" ref="S86">_xlfn.XLOOKUP(A86,J$14:J285,H$14:H285,"")</f>
        <v/>
      </c>
      <c r="T86" t="str" cm="1">
        <f t="array" ref="T86">VLOOKUP(ROW(73:73),L$14:S$163,8)</f>
        <v/>
      </c>
      <c r="U86" t="str" cm="1">
        <f t="array" ref="U86">VLOOKUP(ROW(73:73),L$14:M$163,2)</f>
        <v/>
      </c>
      <c r="V86" t="str" cm="1">
        <f t="array" ref="V86">VLOOKUP(ROW(73:73),L$14:O$163,4)</f>
        <v/>
      </c>
      <c r="W86" t="str" cm="1">
        <f t="array" ref="W86">VLOOKUP(ROW(73:73),L$14:Q$163,6)</f>
        <v/>
      </c>
      <c r="X86" cm="1">
        <f t="array" ref="X86">IFERROR(VLOOKUP(ROW(73:73),L$14:P$213,5)+0,0)</f>
        <v>0</v>
      </c>
      <c r="Y86" t="str" cm="1">
        <f t="array" ref="Y86">VLOOKUP(ROW(73:73),L$14:R$163,7)</f>
        <v/>
      </c>
      <c r="Z86">
        <f>IF(Y86&lt;-2,X86+MAX(Z$14:Z85),0)</f>
        <v>0</v>
      </c>
      <c r="AA86">
        <f>IFERROR(IF(AND(SUM(AA87:AA$214)+X86&lt;=Z$10,W86&lt;=Z$12,Z86=0),X86,0),0)</f>
        <v>0</v>
      </c>
      <c r="AB86">
        <f>IFERROR(IF(AND(W86&lt;=Z$12+10,AB$12-X86&gt;=0,SUM(Z86:AA86)=0,SUM(AB$14:AB85)+X86&lt;AB$12),X86,0),0)</f>
        <v>0</v>
      </c>
      <c r="AD86">
        <f>IF(AND(Y86=-2,SUM(Z86:AB86)=0),X86+MAX(AD$14:AD85),0)</f>
        <v>0</v>
      </c>
      <c r="AE86">
        <f>IFERROR(IF(AND(SUM(AE87:AE$214)+X86&lt;=AD$10,W86&lt;=AD$12,SUM(Z86:AD86)=0),X86,0),0)</f>
        <v>0</v>
      </c>
      <c r="AF86">
        <f>IFERROR(IF(AND(W86&lt;=AD$12+10,AF$12-X86&gt;=0,SUM(Z86:AE86)=0,SUM(AF$14:AF85)+X86&lt;AF$12),X86,0),0)</f>
        <v>0</v>
      </c>
      <c r="AG86">
        <f t="shared" si="55"/>
        <v>0</v>
      </c>
      <c r="AI86">
        <f t="shared" si="60"/>
        <v>0</v>
      </c>
      <c r="AJ86" s="493">
        <f t="shared" si="64"/>
        <v>0</v>
      </c>
      <c r="AK86">
        <f>IF(AJ86=0,0,IF(AJ85=0,MAX(AK$13:AK85)+1,IF(W86&lt;&gt;W85,MAX(AK$14:AK85)+1,IF(ROUNDDOWN(AJ86-0.01,0)=ROUNDDOWN(AJ85-0.01,0),AK85,AK85+1))))</f>
        <v>0</v>
      </c>
      <c r="AL86">
        <f t="shared" si="61"/>
        <v>0</v>
      </c>
      <c r="AM86">
        <f t="shared" si="62"/>
        <v>0</v>
      </c>
      <c r="AN86">
        <f>IF(AM86&gt;AN$12,IF(AK86=AK85,AN85,MAX(AN$13:AN85)+1),0)</f>
        <v>0</v>
      </c>
      <c r="AP86">
        <f t="shared" si="56"/>
        <v>0</v>
      </c>
      <c r="AQ86">
        <f>IF(AP86&gt;0,IF(MAX(AQ87:AQ$214)+AP86&gt;ROUNDUP(MAX(AQ87:AQ$214),0),ROUNDUP(MAX(AQ87:AQ$214),0)+AP86,MAX(AQ87:AQ$214)+AP86),0)</f>
        <v>0</v>
      </c>
      <c r="AR86">
        <f t="shared" si="63"/>
        <v>0</v>
      </c>
      <c r="AS86">
        <f t="shared" si="57"/>
        <v>0</v>
      </c>
      <c r="AT86">
        <f t="shared" si="58"/>
        <v>10</v>
      </c>
      <c r="AV86">
        <v>5</v>
      </c>
      <c r="AW86">
        <f t="shared" si="67"/>
        <v>0</v>
      </c>
      <c r="AX86">
        <f t="shared" si="68"/>
        <v>0</v>
      </c>
      <c r="AY86" s="496">
        <f>IF(AND(AX86=AX$81,SUM(AY$82:AY85)=0,AW86=AZ$81,AX$81&lt;&gt;0),AV86,)</f>
        <v>0</v>
      </c>
      <c r="AZ86">
        <f>IF(AND(SUM(AZ$82:AZ85)=0,SUM($AY86:AY86)=0,$AX86&lt;=AY$117,$AX86&gt;0,$AW86&gt;-1),$AV86,0)</f>
        <v>0</v>
      </c>
      <c r="BA86">
        <f>IF(AND(SUM(BA$82:BA85)=0,SUM($AY86:AZ86)=0,$AX86&lt;=AZ$117,$AX86&gt;0,$AW86&gt;-1),$AV86,0)</f>
        <v>0</v>
      </c>
      <c r="BB86">
        <f>IF(AND(SUM(BB$82:BB85)=0,SUM($AY86:BA86)=0,$AX86&lt;=BA$117,$AX86&gt;0,$AW86&gt;-1),$AV86,0)</f>
        <v>0</v>
      </c>
      <c r="BC86">
        <f>IF(AND(SUM(BC$82:BC85)=0,SUM($AY86:BB86)=0,$AX86&lt;=BB$117,$AX86&gt;0,$AW86&gt;-1),$AV86,0)</f>
        <v>0</v>
      </c>
      <c r="BD86">
        <f>IF(AND(SUM(BD$82:BD85)=0,SUM($AY86:BC86)=0,$AX86&lt;=BC$117,$AX86&gt;0,$AW86&gt;-1),$AV86,0)</f>
        <v>0</v>
      </c>
      <c r="BE86">
        <f>IF(AND(SUM(BE$82:BE85)=0,SUM($AY86:BD86)=0,$AX86&lt;=BD$117,$AX86&gt;0,$AW86&gt;-1),$AV86,0)</f>
        <v>0</v>
      </c>
      <c r="BF86">
        <f>IF(AND(SUM(BF$82:BF85)=0,SUM($AY86:BE86)=0,$AX86&lt;=BE$117,$AX86&gt;0,$AW86&gt;-1),$AV86,0)</f>
        <v>0</v>
      </c>
      <c r="BG86">
        <f t="shared" si="65"/>
        <v>0</v>
      </c>
      <c r="BH86" s="494">
        <f t="shared" si="69"/>
        <v>0</v>
      </c>
      <c r="BI86">
        <f t="shared" si="70"/>
        <v>0</v>
      </c>
      <c r="BJ86">
        <v>33</v>
      </c>
      <c r="BK86">
        <f t="shared" si="49"/>
        <v>0</v>
      </c>
      <c r="BL86">
        <f t="shared" si="48"/>
        <v>0</v>
      </c>
      <c r="BM86" s="517"/>
    </row>
    <row r="87" spans="1:65" x14ac:dyDescent="0.25">
      <c r="A87">
        <v>74</v>
      </c>
      <c r="B87" t="str">
        <f>_xlfn.XLOOKUP(A87,Order!R$12:R$859,Order!C$12:C$859,"")</f>
        <v/>
      </c>
      <c r="C87" t="str">
        <f>_xlfn.XLOOKUP(A87,Order!R$12:R$859,Order!S$12:S$859,"")</f>
        <v/>
      </c>
      <c r="D87" t="str">
        <f>_xlfn.XLOOKUP(A87,Order!R$12:R$859,Order!B$12:B$859,"")</f>
        <v/>
      </c>
      <c r="E87" t="str">
        <f>_xlfn.XLOOKUP(A87,Order!R$12:R$859,Order!P$12:P$859,"")</f>
        <v/>
      </c>
      <c r="F87" t="str">
        <f>_xlfn.XLOOKUP(A87,Order!R$12:R$859,Order!T$12:T$859,"")</f>
        <v/>
      </c>
      <c r="G87" t="str">
        <f>_xlfn.XLOOKUP(A87,Order!R$12:R$859,Order!U$12:U$859,"")</f>
        <v/>
      </c>
      <c r="H87" t="str">
        <f>_xlfn.XLOOKUP(A87,Order!R$12:R$859,Order!B$12:B$859,"")</f>
        <v/>
      </c>
      <c r="I87" t="str">
        <f>_xlfn.XLOOKUP(A87,Order!R$12:R$859,Order!V$12:V$859,"")</f>
        <v/>
      </c>
      <c r="J87" t="str">
        <f>IFERROR(RANK(F87,F$14:F$213,1)+COUNTIF(F$14:F87,F87)-1,"")</f>
        <v/>
      </c>
      <c r="L87" t="str">
        <f t="shared" si="66"/>
        <v/>
      </c>
      <c r="M87" t="str" cm="1">
        <f t="array" ref="M87">_xlfn.XLOOKUP(A87,J$14:J286,B$14:B286,"")</f>
        <v/>
      </c>
      <c r="N87" t="str" cm="1">
        <f t="array" ref="N87">_xlfn.XLOOKUP(A87,J$14:J286,C$14:C286,"")</f>
        <v/>
      </c>
      <c r="O87" t="str" cm="1">
        <f t="array" ref="O87">_xlfn.XLOOKUP(A87,J$14:J286,E$14:E286,"")</f>
        <v/>
      </c>
      <c r="P87" t="str" cm="1">
        <f t="array" ref="P87">_xlfn.XLOOKUP(A87,J$14:J286,G$14:G286,"")</f>
        <v/>
      </c>
      <c r="Q87" t="str" cm="1">
        <f t="array" ref="Q87">_xlfn.XLOOKUP(A87,J$14:J286,F$14:F286,"")</f>
        <v/>
      </c>
      <c r="R87" t="str" cm="1">
        <f t="array" ref="R87">_xlfn.XLOOKUP(A87,J$14:J286,I$14:I286,"")</f>
        <v/>
      </c>
      <c r="S87" t="str" cm="1">
        <f t="array" ref="S87">_xlfn.XLOOKUP(A87,J$14:J286,H$14:H286,"")</f>
        <v/>
      </c>
      <c r="T87" t="str" cm="1">
        <f t="array" ref="T87">VLOOKUP(ROW(74:74),L$14:S$163,8)</f>
        <v/>
      </c>
      <c r="U87" t="str" cm="1">
        <f t="array" ref="U87">VLOOKUP(ROW(74:74),L$14:M$163,2)</f>
        <v/>
      </c>
      <c r="V87" t="str" cm="1">
        <f t="array" ref="V87">VLOOKUP(ROW(74:74),L$14:O$163,4)</f>
        <v/>
      </c>
      <c r="W87" t="str" cm="1">
        <f t="array" ref="W87">VLOOKUP(ROW(74:74),L$14:Q$163,6)</f>
        <v/>
      </c>
      <c r="X87" cm="1">
        <f t="array" ref="X87">IFERROR(VLOOKUP(ROW(74:74),L$14:P$213,5)+0,0)</f>
        <v>0</v>
      </c>
      <c r="Y87" t="str" cm="1">
        <f t="array" ref="Y87">VLOOKUP(ROW(74:74),L$14:R$163,7)</f>
        <v/>
      </c>
      <c r="Z87">
        <f>IF(Y87&lt;-2,X87+MAX(Z$14:Z86),0)</f>
        <v>0</v>
      </c>
      <c r="AA87">
        <f>IFERROR(IF(AND(SUM(AA88:AA$214)+X87&lt;=Z$10,W87&lt;=Z$12,Z87=0),X87,0),0)</f>
        <v>0</v>
      </c>
      <c r="AB87">
        <f>IFERROR(IF(AND(W87&lt;=Z$12+10,AB$12-X87&gt;=0,SUM(Z87:AA87)=0,SUM(AB$14:AB86)+X87&lt;AB$12),X87,0),0)</f>
        <v>0</v>
      </c>
      <c r="AD87">
        <f>IF(AND(Y87=-2,SUM(Z87:AB87)=0),X87+MAX(AD$14:AD86),0)</f>
        <v>0</v>
      </c>
      <c r="AE87">
        <f>IFERROR(IF(AND(SUM(AE88:AE$214)+X87&lt;=AD$10,W87&lt;=AD$12,SUM(Z87:AD87)=0),X87,0),0)</f>
        <v>0</v>
      </c>
      <c r="AF87">
        <f>IFERROR(IF(AND(W87&lt;=AD$12+10,AF$12-X87&gt;=0,SUM(Z87:AE87)=0,SUM(AF$14:AF86)+X87&lt;AF$12),X87,0),0)</f>
        <v>0</v>
      </c>
      <c r="AG87">
        <f t="shared" si="55"/>
        <v>0</v>
      </c>
      <c r="AI87">
        <f t="shared" si="60"/>
        <v>0</v>
      </c>
      <c r="AJ87" s="493">
        <f t="shared" si="64"/>
        <v>0</v>
      </c>
      <c r="AK87">
        <f>IF(AJ87=0,0,IF(AJ86=0,MAX(AK$13:AK86)+1,IF(W87&lt;&gt;W86,MAX(AK$14:AK86)+1,IF(ROUNDDOWN(AJ87-0.01,0)=ROUNDDOWN(AJ86-0.01,0),AK86,AK86+1))))</f>
        <v>0</v>
      </c>
      <c r="AL87">
        <f t="shared" si="61"/>
        <v>0</v>
      </c>
      <c r="AM87">
        <f t="shared" si="62"/>
        <v>0</v>
      </c>
      <c r="AN87">
        <f>IF(AM87&gt;AN$12,IF(AK87=AK86,AN86,MAX(AN$13:AN86)+1),0)</f>
        <v>0</v>
      </c>
      <c r="AP87">
        <f t="shared" si="56"/>
        <v>0</v>
      </c>
      <c r="AQ87">
        <f>IF(AP87&gt;0,IF(MAX(AQ88:AQ$214)+AP87&gt;ROUNDUP(MAX(AQ88:AQ$214),0),ROUNDUP(MAX(AQ88:AQ$214),0)+AP87,MAX(AQ88:AQ$214)+AP87),0)</f>
        <v>0</v>
      </c>
      <c r="AR87">
        <f t="shared" si="63"/>
        <v>0</v>
      </c>
      <c r="AS87">
        <f t="shared" si="57"/>
        <v>0</v>
      </c>
      <c r="AT87">
        <f t="shared" si="58"/>
        <v>10</v>
      </c>
      <c r="AV87">
        <v>6</v>
      </c>
      <c r="AW87">
        <f t="shared" si="67"/>
        <v>0</v>
      </c>
      <c r="AX87">
        <f t="shared" si="68"/>
        <v>0</v>
      </c>
      <c r="AY87" s="496">
        <f>IF(AND(AX87=AX$81,SUM(AY$82:AY86)=0,AW87=AZ$81,AX$81&lt;&gt;0),AV87,)</f>
        <v>0</v>
      </c>
      <c r="AZ87">
        <f>IF(AND(SUM(AZ$82:AZ86)=0,SUM($AY87:AY87)=0,$AX87&lt;=AY$117,$AX87&gt;0,$AW87&gt;-1),$AV87,0)</f>
        <v>0</v>
      </c>
      <c r="BA87">
        <f>IF(AND(SUM(BA$82:BA86)=0,SUM($AY87:AZ87)=0,$AX87&lt;=AZ$117,$AX87&gt;0,$AW87&gt;-1),$AV87,0)</f>
        <v>0</v>
      </c>
      <c r="BB87">
        <f>IF(AND(SUM(BB$82:BB86)=0,SUM($AY87:BA87)=0,$AX87&lt;=BA$117,$AX87&gt;0,$AW87&gt;-1),$AV87,0)</f>
        <v>0</v>
      </c>
      <c r="BC87">
        <f>IF(AND(SUM(BC$82:BC86)=0,SUM($AY87:BB87)=0,$AX87&lt;=BB$117,$AX87&gt;0,$AW87&gt;-1),$AV87,0)</f>
        <v>0</v>
      </c>
      <c r="BD87">
        <f>IF(AND(SUM(BD$82:BD86)=0,SUM($AY87:BC87)=0,$AX87&lt;=BC$117,$AX87&gt;0,$AW87&gt;-1),$AV87,0)</f>
        <v>0</v>
      </c>
      <c r="BE87">
        <f>IF(AND(SUM(BE$82:BE86)=0,SUM($AY87:BD87)=0,$AX87&lt;=BD$117,$AX87&gt;0,$AW87&gt;-1),$AV87,0)</f>
        <v>0</v>
      </c>
      <c r="BF87">
        <f>IF(AND(SUM(BF$82:BF86)=0,SUM($AY87:BE87)=0,$AX87&lt;=BE$117,$AX87&gt;0,$AW87&gt;-1),$AV87,0)</f>
        <v>0</v>
      </c>
      <c r="BG87">
        <f t="shared" si="65"/>
        <v>0</v>
      </c>
      <c r="BH87" s="494">
        <f t="shared" si="69"/>
        <v>0</v>
      </c>
      <c r="BI87">
        <f t="shared" si="70"/>
        <v>0</v>
      </c>
      <c r="BJ87">
        <v>34</v>
      </c>
      <c r="BK87">
        <f t="shared" si="49"/>
        <v>0</v>
      </c>
      <c r="BL87">
        <f t="shared" si="48"/>
        <v>0</v>
      </c>
      <c r="BM87" s="517"/>
    </row>
    <row r="88" spans="1:65" x14ac:dyDescent="0.25">
      <c r="A88">
        <v>75</v>
      </c>
      <c r="B88" t="str">
        <f>_xlfn.XLOOKUP(A88,Order!R$12:R$859,Order!C$12:C$859,"")</f>
        <v/>
      </c>
      <c r="C88" t="str">
        <f>_xlfn.XLOOKUP(A88,Order!R$12:R$859,Order!S$12:S$859,"")</f>
        <v/>
      </c>
      <c r="D88" t="str">
        <f>_xlfn.XLOOKUP(A88,Order!R$12:R$859,Order!B$12:B$859,"")</f>
        <v/>
      </c>
      <c r="E88" t="str">
        <f>_xlfn.XLOOKUP(A88,Order!R$12:R$859,Order!P$12:P$859,"")</f>
        <v/>
      </c>
      <c r="F88" t="str">
        <f>_xlfn.XLOOKUP(A88,Order!R$12:R$859,Order!T$12:T$859,"")</f>
        <v/>
      </c>
      <c r="G88" t="str">
        <f>_xlfn.XLOOKUP(A88,Order!R$12:R$859,Order!U$12:U$859,"")</f>
        <v/>
      </c>
      <c r="H88" t="str">
        <f>_xlfn.XLOOKUP(A88,Order!R$12:R$859,Order!B$12:B$859,"")</f>
        <v/>
      </c>
      <c r="I88" t="str">
        <f>_xlfn.XLOOKUP(A88,Order!R$12:R$859,Order!V$12:V$859,"")</f>
        <v/>
      </c>
      <c r="J88" t="str">
        <f>IFERROR(RANK(F88,F$14:F$213,1)+COUNTIF(F$14:F88,F88)-1,"")</f>
        <v/>
      </c>
      <c r="L88" t="str">
        <f t="shared" si="66"/>
        <v/>
      </c>
      <c r="M88" t="str" cm="1">
        <f t="array" ref="M88">_xlfn.XLOOKUP(A88,J$14:J287,B$14:B287,"")</f>
        <v/>
      </c>
      <c r="N88" t="str" cm="1">
        <f t="array" ref="N88">_xlfn.XLOOKUP(A88,J$14:J287,C$14:C287,"")</f>
        <v/>
      </c>
      <c r="O88" t="str" cm="1">
        <f t="array" ref="O88">_xlfn.XLOOKUP(A88,J$14:J287,E$14:E287,"")</f>
        <v/>
      </c>
      <c r="P88" t="str" cm="1">
        <f t="array" ref="P88">_xlfn.XLOOKUP(A88,J$14:J287,G$14:G287,"")</f>
        <v/>
      </c>
      <c r="Q88" t="str" cm="1">
        <f t="array" ref="Q88">_xlfn.XLOOKUP(A88,J$14:J287,F$14:F287,"")</f>
        <v/>
      </c>
      <c r="R88" t="str" cm="1">
        <f t="array" ref="R88">_xlfn.XLOOKUP(A88,J$14:J287,I$14:I287,"")</f>
        <v/>
      </c>
      <c r="S88" t="str" cm="1">
        <f t="array" ref="S88">_xlfn.XLOOKUP(A88,J$14:J287,H$14:H287,"")</f>
        <v/>
      </c>
      <c r="T88" t="str" cm="1">
        <f t="array" ref="T88">VLOOKUP(ROW(75:75),L$14:S$163,8)</f>
        <v/>
      </c>
      <c r="U88" t="str" cm="1">
        <f t="array" ref="U88">VLOOKUP(ROW(75:75),L$14:M$163,2)</f>
        <v/>
      </c>
      <c r="V88" t="str" cm="1">
        <f t="array" ref="V88">VLOOKUP(ROW(75:75),L$14:O$163,4)</f>
        <v/>
      </c>
      <c r="W88" t="str" cm="1">
        <f t="array" ref="W88">VLOOKUP(ROW(75:75),L$14:Q$163,6)</f>
        <v/>
      </c>
      <c r="X88" cm="1">
        <f t="array" ref="X88">IFERROR(VLOOKUP(ROW(75:75),L$14:P$213,5)+0,0)</f>
        <v>0</v>
      </c>
      <c r="Y88" t="str" cm="1">
        <f t="array" ref="Y88">VLOOKUP(ROW(75:75),L$14:R$163,7)</f>
        <v/>
      </c>
      <c r="Z88">
        <f>IF(Y88&lt;-2,X88+MAX(Z$14:Z87),0)</f>
        <v>0</v>
      </c>
      <c r="AA88">
        <f>IFERROR(IF(AND(SUM(AA89:AA$214)+X88&lt;=Z$10,W88&lt;=Z$12,Z88=0),X88,0),0)</f>
        <v>0</v>
      </c>
      <c r="AB88">
        <f>IFERROR(IF(AND(W88&lt;=Z$12+10,AB$12-X88&gt;=0,SUM(Z88:AA88)=0,SUM(AB$14:AB87)+X88&lt;AB$12),X88,0),0)</f>
        <v>0</v>
      </c>
      <c r="AD88">
        <f>IF(AND(Y88=-2,SUM(Z88:AB88)=0),X88+MAX(AD$14:AD87),0)</f>
        <v>0</v>
      </c>
      <c r="AE88">
        <f>IFERROR(IF(AND(SUM(AE89:AE$214)+X88&lt;=AD$10,W88&lt;=AD$12,SUM(Z88:AD88)=0),X88,0),0)</f>
        <v>0</v>
      </c>
      <c r="AF88">
        <f>IFERROR(IF(AND(W88&lt;=AD$12+10,AF$12-X88&gt;=0,SUM(Z88:AE88)=0,SUM(AF$14:AF87)+X88&lt;AF$12),X88,0),0)</f>
        <v>0</v>
      </c>
      <c r="AG88">
        <f t="shared" si="55"/>
        <v>0</v>
      </c>
      <c r="AI88">
        <f t="shared" si="60"/>
        <v>0</v>
      </c>
      <c r="AJ88" s="493">
        <f t="shared" si="64"/>
        <v>0</v>
      </c>
      <c r="AK88">
        <f>IF(AJ88=0,0,IF(AJ87=0,MAX(AK$13:AK87)+1,IF(W88&lt;&gt;W87,MAX(AK$14:AK87)+1,IF(ROUNDDOWN(AJ88-0.01,0)=ROUNDDOWN(AJ87-0.01,0),AK87,AK87+1))))</f>
        <v>0</v>
      </c>
      <c r="AL88">
        <f t="shared" si="61"/>
        <v>0</v>
      </c>
      <c r="AM88">
        <f t="shared" si="62"/>
        <v>0</v>
      </c>
      <c r="AN88">
        <f>IF(AM88&gt;AN$12,IF(AK88=AK87,AN87,MAX(AN$13:AN87)+1),0)</f>
        <v>0</v>
      </c>
      <c r="AP88">
        <f t="shared" si="56"/>
        <v>0</v>
      </c>
      <c r="AQ88">
        <f>IF(AP88&gt;0,IF(MAX(AQ89:AQ$214)+AP88&gt;ROUNDUP(MAX(AQ89:AQ$214),0),ROUNDUP(MAX(AQ89:AQ$214),0)+AP88,MAX(AQ89:AQ$214)+AP88),0)</f>
        <v>0</v>
      </c>
      <c r="AR88">
        <f t="shared" si="63"/>
        <v>0</v>
      </c>
      <c r="AS88">
        <f t="shared" si="57"/>
        <v>0</v>
      </c>
      <c r="AT88">
        <f t="shared" si="58"/>
        <v>10</v>
      </c>
      <c r="AV88">
        <v>7</v>
      </c>
      <c r="AW88">
        <f t="shared" si="67"/>
        <v>0</v>
      </c>
      <c r="AX88">
        <f t="shared" si="68"/>
        <v>0</v>
      </c>
      <c r="AY88" s="496">
        <f>IF(AND(AX88=AX$81,SUM(AY$82:AY87)=0,AW88=AZ$81,AX$81&lt;&gt;0),AV88,)</f>
        <v>0</v>
      </c>
      <c r="AZ88">
        <f>IF(AND(SUM(AZ$82:AZ87)=0,SUM($AY88:AY88)=0,$AX88&lt;=AY$117,$AX88&gt;0,$AW88&gt;-1),$AV88,0)</f>
        <v>0</v>
      </c>
      <c r="BA88">
        <f>IF(AND(SUM(BA$82:BA87)=0,SUM($AY88:AZ88)=0,$AX88&lt;=AZ$117,$AX88&gt;0,$AW88&gt;-1),$AV88,0)</f>
        <v>0</v>
      </c>
      <c r="BB88">
        <f>IF(AND(SUM(BB$82:BB87)=0,SUM($AY88:BA88)=0,$AX88&lt;=BA$117,$AX88&gt;0,$AW88&gt;-1),$AV88,0)</f>
        <v>0</v>
      </c>
      <c r="BC88">
        <f>IF(AND(SUM(BC$82:BC87)=0,SUM($AY88:BB88)=0,$AX88&lt;=BB$117,$AX88&gt;0,$AW88&gt;-1),$AV88,0)</f>
        <v>0</v>
      </c>
      <c r="BD88">
        <f>IF(AND(SUM(BD$82:BD87)=0,SUM($AY88:BC88)=0,$AX88&lt;=BC$117,$AX88&gt;0,$AW88&gt;-1),$AV88,0)</f>
        <v>0</v>
      </c>
      <c r="BE88">
        <f>IF(AND(SUM(BE$82:BE87)=0,SUM($AY88:BD88)=0,$AX88&lt;=BD$117,$AX88&gt;0,$AW88&gt;-1),$AV88,0)</f>
        <v>0</v>
      </c>
      <c r="BF88">
        <f>IF(AND(SUM(BF$82:BF87)=0,SUM($AY88:BE88)=0,$AX88&lt;=BE$117,$AX88&gt;0,$AW88&gt;-1),$AV88,0)</f>
        <v>0</v>
      </c>
      <c r="BG88">
        <f t="shared" si="65"/>
        <v>0</v>
      </c>
      <c r="BH88" s="494">
        <f t="shared" si="69"/>
        <v>0</v>
      </c>
      <c r="BI88">
        <f t="shared" si="70"/>
        <v>0</v>
      </c>
      <c r="BJ88">
        <v>35</v>
      </c>
      <c r="BK88">
        <f t="shared" si="49"/>
        <v>0</v>
      </c>
      <c r="BL88">
        <f t="shared" si="48"/>
        <v>0</v>
      </c>
      <c r="BM88" s="517"/>
    </row>
    <row r="89" spans="1:65" x14ac:dyDescent="0.25">
      <c r="A89">
        <v>76</v>
      </c>
      <c r="B89" t="str">
        <f>_xlfn.XLOOKUP(A89,Order!R$12:R$859,Order!C$12:C$859,"")</f>
        <v/>
      </c>
      <c r="C89" t="str">
        <f>_xlfn.XLOOKUP(A89,Order!R$12:R$859,Order!S$12:S$859,"")</f>
        <v/>
      </c>
      <c r="D89" t="str">
        <f>_xlfn.XLOOKUP(A89,Order!R$12:R$859,Order!B$12:B$859,"")</f>
        <v/>
      </c>
      <c r="E89" t="str">
        <f>_xlfn.XLOOKUP(A89,Order!R$12:R$859,Order!P$12:P$859,"")</f>
        <v/>
      </c>
      <c r="F89" t="str">
        <f>_xlfn.XLOOKUP(A89,Order!R$12:R$859,Order!T$12:T$859,"")</f>
        <v/>
      </c>
      <c r="G89" t="str">
        <f>_xlfn.XLOOKUP(A89,Order!R$12:R$859,Order!U$12:U$859,"")</f>
        <v/>
      </c>
      <c r="H89" t="str">
        <f>_xlfn.XLOOKUP(A89,Order!R$12:R$859,Order!B$12:B$859,"")</f>
        <v/>
      </c>
      <c r="I89" t="str">
        <f>_xlfn.XLOOKUP(A89,Order!R$12:R$859,Order!V$12:V$859,"")</f>
        <v/>
      </c>
      <c r="J89" t="str">
        <f>IFERROR(RANK(F89,F$14:F$213,1)+COUNTIF(F$14:F89,F89)-1,"")</f>
        <v/>
      </c>
      <c r="L89" t="str">
        <f t="shared" si="66"/>
        <v/>
      </c>
      <c r="M89" t="str" cm="1">
        <f t="array" ref="M89">_xlfn.XLOOKUP(A89,J$14:J288,B$14:B288,"")</f>
        <v/>
      </c>
      <c r="N89" t="str" cm="1">
        <f t="array" ref="N89">_xlfn.XLOOKUP(A89,J$14:J288,C$14:C288,"")</f>
        <v/>
      </c>
      <c r="O89" t="str" cm="1">
        <f t="array" ref="O89">_xlfn.XLOOKUP(A89,J$14:J288,E$14:E288,"")</f>
        <v/>
      </c>
      <c r="P89" t="str" cm="1">
        <f t="array" ref="P89">_xlfn.XLOOKUP(A89,J$14:J288,G$14:G288,"")</f>
        <v/>
      </c>
      <c r="Q89" t="str" cm="1">
        <f t="array" ref="Q89">_xlfn.XLOOKUP(A89,J$14:J288,F$14:F288,"")</f>
        <v/>
      </c>
      <c r="R89" t="str" cm="1">
        <f t="array" ref="R89">_xlfn.XLOOKUP(A89,J$14:J288,I$14:I288,"")</f>
        <v/>
      </c>
      <c r="S89" t="str" cm="1">
        <f t="array" ref="S89">_xlfn.XLOOKUP(A89,J$14:J288,H$14:H288,"")</f>
        <v/>
      </c>
      <c r="T89" t="str" cm="1">
        <f t="array" ref="T89">VLOOKUP(ROW(76:76),L$14:S$163,8)</f>
        <v/>
      </c>
      <c r="U89" t="str" cm="1">
        <f t="array" ref="U89">VLOOKUP(ROW(76:76),L$14:M$163,2)</f>
        <v/>
      </c>
      <c r="V89" t="str" cm="1">
        <f t="array" ref="V89">VLOOKUP(ROW(76:76),L$14:O$163,4)</f>
        <v/>
      </c>
      <c r="W89" t="str" cm="1">
        <f t="array" ref="W89">VLOOKUP(ROW(76:76),L$14:Q$163,6)</f>
        <v/>
      </c>
      <c r="X89" cm="1">
        <f t="array" ref="X89">IFERROR(VLOOKUP(ROW(76:76),L$14:P$213,5)+0,0)</f>
        <v>0</v>
      </c>
      <c r="Y89" t="str" cm="1">
        <f t="array" ref="Y89">VLOOKUP(ROW(76:76),L$14:R$163,7)</f>
        <v/>
      </c>
      <c r="Z89">
        <f>IF(Y89&lt;-2,X89+MAX(Z$14:Z88),0)</f>
        <v>0</v>
      </c>
      <c r="AA89">
        <f>IFERROR(IF(AND(SUM(AA90:AA$214)+X89&lt;=Z$10,W89&lt;=Z$12,Z89=0),X89,0),0)</f>
        <v>0</v>
      </c>
      <c r="AB89">
        <f>IFERROR(IF(AND(W89&lt;=Z$12+10,AB$12-X89&gt;=0,SUM(Z89:AA89)=0,SUM(AB$14:AB88)+X89&lt;AB$12),X89,0),0)</f>
        <v>0</v>
      </c>
      <c r="AD89">
        <f>IF(AND(Y89=-2,SUM(Z89:AB89)=0),X89+MAX(AD$14:AD88),0)</f>
        <v>0</v>
      </c>
      <c r="AE89">
        <f>IFERROR(IF(AND(SUM(AE90:AE$214)+X89&lt;=AD$10,W89&lt;=AD$12,SUM(Z89:AD89)=0),X89,0),0)</f>
        <v>0</v>
      </c>
      <c r="AF89">
        <f>IFERROR(IF(AND(W89&lt;=AD$12+10,AF$12-X89&gt;=0,SUM(Z89:AE89)=0,SUM(AF$14:AF88)+X89&lt;AF$12),X89,0),0)</f>
        <v>0</v>
      </c>
      <c r="AG89">
        <f t="shared" si="55"/>
        <v>0</v>
      </c>
      <c r="AI89">
        <f t="shared" si="60"/>
        <v>0</v>
      </c>
      <c r="AJ89" s="493">
        <f t="shared" si="64"/>
        <v>0</v>
      </c>
      <c r="AK89">
        <f>IF(AJ89=0,0,IF(AJ88=0,MAX(AK$13:AK88)+1,IF(W89&lt;&gt;W88,MAX(AK$14:AK88)+1,IF(ROUNDDOWN(AJ89-0.01,0)=ROUNDDOWN(AJ88-0.01,0),AK88,AK88+1))))</f>
        <v>0</v>
      </c>
      <c r="AL89">
        <f t="shared" si="61"/>
        <v>0</v>
      </c>
      <c r="AM89">
        <f t="shared" si="62"/>
        <v>0</v>
      </c>
      <c r="AN89">
        <f>IF(AM89&gt;AN$12,IF(AK89=AK88,AN88,MAX(AN$13:AN88)+1),0)</f>
        <v>0</v>
      </c>
      <c r="AP89">
        <f t="shared" si="56"/>
        <v>0</v>
      </c>
      <c r="AQ89">
        <f>IF(AP89&gt;0,IF(MAX(AQ90:AQ$214)+AP89&gt;ROUNDUP(MAX(AQ90:AQ$214),0),ROUNDUP(MAX(AQ90:AQ$214),0)+AP89,MAX(AQ90:AQ$214)+AP89),0)</f>
        <v>0</v>
      </c>
      <c r="AR89">
        <f t="shared" si="63"/>
        <v>0</v>
      </c>
      <c r="AS89">
        <f t="shared" si="57"/>
        <v>0</v>
      </c>
      <c r="AT89">
        <f t="shared" si="58"/>
        <v>10</v>
      </c>
      <c r="AV89">
        <v>8</v>
      </c>
      <c r="AW89">
        <f t="shared" si="67"/>
        <v>0</v>
      </c>
      <c r="AX89">
        <f t="shared" si="68"/>
        <v>0</v>
      </c>
      <c r="AY89" s="496">
        <f>IF(AND(AX89=AX$81,SUM(AY$82:AY88)=0,AW89=AZ$81,AX$81&lt;&gt;0),AV89,)</f>
        <v>0</v>
      </c>
      <c r="AZ89">
        <f>IF(AND(SUM(AZ$82:AZ88)=0,SUM($AY89:AY89)=0,$AX89&lt;=AY$117,$AX89&gt;0,$AW89&gt;-1),$AV89,0)</f>
        <v>0</v>
      </c>
      <c r="BA89">
        <f>IF(AND(SUM(BA$82:BA88)=0,SUM($AY89:AZ89)=0,$AX89&lt;=AZ$117,$AX89&gt;0,$AW89&gt;-1),$AV89,0)</f>
        <v>0</v>
      </c>
      <c r="BB89">
        <f>IF(AND(SUM(BB$82:BB88)=0,SUM($AY89:BA89)=0,$AX89&lt;=BA$117,$AX89&gt;0,$AW89&gt;-1),$AV89,0)</f>
        <v>0</v>
      </c>
      <c r="BC89">
        <f>IF(AND(SUM(BC$82:BC88)=0,SUM($AY89:BB89)=0,$AX89&lt;=BB$117,$AX89&gt;0,$AW89&gt;-1),$AV89,0)</f>
        <v>0</v>
      </c>
      <c r="BD89">
        <f>IF(AND(SUM(BD$82:BD88)=0,SUM($AY89:BC89)=0,$AX89&lt;=BC$117,$AX89&gt;0,$AW89&gt;-1),$AV89,0)</f>
        <v>0</v>
      </c>
      <c r="BE89">
        <f>IF(AND(SUM(BE$82:BE88)=0,SUM($AY89:BD89)=0,$AX89&lt;=BD$117,$AX89&gt;0,$AW89&gt;-1),$AV89,0)</f>
        <v>0</v>
      </c>
      <c r="BF89">
        <f>IF(AND(SUM(BF$82:BF88)=0,SUM($AY89:BE89)=0,$AX89&lt;=BE$117,$AX89&gt;0,$AW89&gt;-1),$AV89,0)</f>
        <v>0</v>
      </c>
      <c r="BG89">
        <f t="shared" si="65"/>
        <v>0</v>
      </c>
      <c r="BH89" s="494">
        <f t="shared" si="69"/>
        <v>0</v>
      </c>
      <c r="BI89">
        <f t="shared" si="70"/>
        <v>0</v>
      </c>
      <c r="BJ89">
        <v>36</v>
      </c>
      <c r="BK89">
        <f t="shared" si="49"/>
        <v>0</v>
      </c>
      <c r="BL89">
        <f t="shared" si="48"/>
        <v>0</v>
      </c>
      <c r="BM89" s="517"/>
    </row>
    <row r="90" spans="1:65" x14ac:dyDescent="0.25">
      <c r="A90">
        <v>77</v>
      </c>
      <c r="B90" t="str">
        <f>_xlfn.XLOOKUP(A90,Order!R$12:R$859,Order!C$12:C$859,"")</f>
        <v/>
      </c>
      <c r="C90" t="str">
        <f>_xlfn.XLOOKUP(A90,Order!R$12:R$859,Order!S$12:S$859,"")</f>
        <v/>
      </c>
      <c r="D90" t="str">
        <f>_xlfn.XLOOKUP(A90,Order!R$12:R$859,Order!B$12:B$859,"")</f>
        <v/>
      </c>
      <c r="E90" t="str">
        <f>_xlfn.XLOOKUP(A90,Order!R$12:R$859,Order!P$12:P$859,"")</f>
        <v/>
      </c>
      <c r="F90" t="str">
        <f>_xlfn.XLOOKUP(A90,Order!R$12:R$859,Order!T$12:T$859,"")</f>
        <v/>
      </c>
      <c r="G90" t="str">
        <f>_xlfn.XLOOKUP(A90,Order!R$12:R$859,Order!U$12:U$859,"")</f>
        <v/>
      </c>
      <c r="H90" t="str">
        <f>_xlfn.XLOOKUP(A90,Order!R$12:R$859,Order!B$12:B$859,"")</f>
        <v/>
      </c>
      <c r="I90" t="str">
        <f>_xlfn.XLOOKUP(A90,Order!R$12:R$859,Order!V$12:V$859,"")</f>
        <v/>
      </c>
      <c r="J90" t="str">
        <f>IFERROR(RANK(F90,F$14:F$213,1)+COUNTIF(F$14:F90,F90)-1,"")</f>
        <v/>
      </c>
      <c r="L90" t="str">
        <f t="shared" si="66"/>
        <v/>
      </c>
      <c r="M90" t="str" cm="1">
        <f t="array" ref="M90">_xlfn.XLOOKUP(A90,J$14:J289,B$14:B289,"")</f>
        <v/>
      </c>
      <c r="N90" t="str" cm="1">
        <f t="array" ref="N90">_xlfn.XLOOKUP(A90,J$14:J289,C$14:C289,"")</f>
        <v/>
      </c>
      <c r="O90" t="str" cm="1">
        <f t="array" ref="O90">_xlfn.XLOOKUP(A90,J$14:J289,E$14:E289,"")</f>
        <v/>
      </c>
      <c r="P90" t="str" cm="1">
        <f t="array" ref="P90">_xlfn.XLOOKUP(A90,J$14:J289,G$14:G289,"")</f>
        <v/>
      </c>
      <c r="Q90" t="str" cm="1">
        <f t="array" ref="Q90">_xlfn.XLOOKUP(A90,J$14:J289,F$14:F289,"")</f>
        <v/>
      </c>
      <c r="R90" t="str" cm="1">
        <f t="array" ref="R90">_xlfn.XLOOKUP(A90,J$14:J289,I$14:I289,"")</f>
        <v/>
      </c>
      <c r="S90" t="str" cm="1">
        <f t="array" ref="S90">_xlfn.XLOOKUP(A90,J$14:J289,H$14:H289,"")</f>
        <v/>
      </c>
      <c r="T90" t="str" cm="1">
        <f t="array" ref="T90">VLOOKUP(ROW(77:77),L$14:S$163,8)</f>
        <v/>
      </c>
      <c r="U90" t="str" cm="1">
        <f t="array" ref="U90">VLOOKUP(ROW(77:77),L$14:M$163,2)</f>
        <v/>
      </c>
      <c r="V90" t="str" cm="1">
        <f t="array" ref="V90">VLOOKUP(ROW(77:77),L$14:O$163,4)</f>
        <v/>
      </c>
      <c r="W90" t="str" cm="1">
        <f t="array" ref="W90">VLOOKUP(ROW(77:77),L$14:Q$163,6)</f>
        <v/>
      </c>
      <c r="X90" cm="1">
        <f t="array" ref="X90">IFERROR(VLOOKUP(ROW(77:77),L$14:P$213,5)+0,0)</f>
        <v>0</v>
      </c>
      <c r="Y90" t="str" cm="1">
        <f t="array" ref="Y90">VLOOKUP(ROW(77:77),L$14:R$163,7)</f>
        <v/>
      </c>
      <c r="Z90">
        <f>IF(Y90&lt;-2,X90+MAX(Z$14:Z89),0)</f>
        <v>0</v>
      </c>
      <c r="AA90">
        <f>IFERROR(IF(AND(SUM(AA91:AA$214)+X90&lt;=Z$10,W90&lt;=Z$12,Z90=0),X90,0),0)</f>
        <v>0</v>
      </c>
      <c r="AB90">
        <f>IFERROR(IF(AND(W90&lt;=Z$12+10,AB$12-X90&gt;=0,SUM(Z90:AA90)=0,SUM(AB$14:AB89)+X90&lt;AB$12),X90,0),0)</f>
        <v>0</v>
      </c>
      <c r="AD90">
        <f>IF(AND(Y90=-2,SUM(Z90:AB90)=0),X90+MAX(AD$14:AD89),0)</f>
        <v>0</v>
      </c>
      <c r="AE90">
        <f>IFERROR(IF(AND(SUM(AE91:AE$214)+X90&lt;=AD$10,W90&lt;=AD$12,SUM(Z90:AD90)=0),X90,0),0)</f>
        <v>0</v>
      </c>
      <c r="AF90">
        <f>IFERROR(IF(AND(W90&lt;=AD$12+10,AF$12-X90&gt;=0,SUM(Z90:AE90)=0,SUM(AF$14:AF89)+X90&lt;AF$12),X90,0),0)</f>
        <v>0</v>
      </c>
      <c r="AG90">
        <f t="shared" si="55"/>
        <v>0</v>
      </c>
      <c r="AI90">
        <f t="shared" si="60"/>
        <v>0</v>
      </c>
      <c r="AJ90" s="493">
        <f t="shared" si="64"/>
        <v>0</v>
      </c>
      <c r="AK90">
        <f>IF(AJ90=0,0,IF(AJ89=0,MAX(AK$13:AK89)+1,IF(W90&lt;&gt;W89,MAX(AK$14:AK89)+1,IF(ROUNDDOWN(AJ90-0.01,0)=ROUNDDOWN(AJ89-0.01,0),AK89,AK89+1))))</f>
        <v>0</v>
      </c>
      <c r="AL90">
        <f t="shared" si="61"/>
        <v>0</v>
      </c>
      <c r="AM90">
        <f t="shared" si="62"/>
        <v>0</v>
      </c>
      <c r="AN90">
        <f>IF(AM90&gt;AN$12,IF(AK90=AK89,AN89,MAX(AN$13:AN89)+1),0)</f>
        <v>0</v>
      </c>
      <c r="AP90">
        <f t="shared" si="56"/>
        <v>0</v>
      </c>
      <c r="AQ90">
        <f>IF(AP90&gt;0,IF(MAX(AQ91:AQ$214)+AP90&gt;ROUNDUP(MAX(AQ91:AQ$214),0),ROUNDUP(MAX(AQ91:AQ$214),0)+AP90,MAX(AQ91:AQ$214)+AP90),0)</f>
        <v>0</v>
      </c>
      <c r="AR90">
        <f t="shared" si="63"/>
        <v>0</v>
      </c>
      <c r="AS90">
        <f t="shared" si="57"/>
        <v>0</v>
      </c>
      <c r="AT90">
        <f t="shared" si="58"/>
        <v>10</v>
      </c>
      <c r="AV90">
        <v>9</v>
      </c>
      <c r="AW90">
        <f t="shared" si="67"/>
        <v>0</v>
      </c>
      <c r="AX90">
        <f t="shared" si="68"/>
        <v>0</v>
      </c>
      <c r="AY90" s="496">
        <f>IF(AND(AX90=AX$81,SUM(AY$82:AY89)=0,AW90=AZ$81,AX$81&lt;&gt;0),AV90,)</f>
        <v>0</v>
      </c>
      <c r="AZ90">
        <f>IF(AND(SUM(AZ$82:AZ89)=0,SUM($AY90:AY90)=0,$AX90&lt;=AY$117,$AX90&gt;0,$AW90&gt;-1),$AV90,0)</f>
        <v>0</v>
      </c>
      <c r="BA90">
        <f>IF(AND(SUM(BA$82:BA89)=0,SUM($AY90:AZ90)=0,$AX90&lt;=AZ$117,$AX90&gt;0,$AW90&gt;-1),$AV90,0)</f>
        <v>0</v>
      </c>
      <c r="BB90">
        <f>IF(AND(SUM(BB$82:BB89)=0,SUM($AY90:BA90)=0,$AX90&lt;=BA$117,$AX90&gt;0,$AW90&gt;-1),$AV90,0)</f>
        <v>0</v>
      </c>
      <c r="BC90">
        <f>IF(AND(SUM(BC$82:BC89)=0,SUM($AY90:BB90)=0,$AX90&lt;=BB$117,$AX90&gt;0,$AW90&gt;-1),$AV90,0)</f>
        <v>0</v>
      </c>
      <c r="BD90">
        <f>IF(AND(SUM(BD$82:BD89)=0,SUM($AY90:BC90)=0,$AX90&lt;=BC$117,$AX90&gt;0,$AW90&gt;-1),$AV90,0)</f>
        <v>0</v>
      </c>
      <c r="BE90">
        <f>IF(AND(SUM(BE$82:BE89)=0,SUM($AY90:BD90)=0,$AX90&lt;=BD$117,$AX90&gt;0,$AW90&gt;-1),$AV90,0)</f>
        <v>0</v>
      </c>
      <c r="BF90">
        <f>IF(AND(SUM(BF$82:BF89)=0,SUM($AY90:BE90)=0,$AX90&lt;=BE$117,$AX90&gt;0,$AW90&gt;-1),$AV90,0)</f>
        <v>0</v>
      </c>
      <c r="BG90">
        <f t="shared" si="65"/>
        <v>0</v>
      </c>
      <c r="BH90" s="494">
        <f t="shared" si="69"/>
        <v>0</v>
      </c>
      <c r="BI90">
        <f t="shared" si="70"/>
        <v>0</v>
      </c>
      <c r="BJ90">
        <v>37</v>
      </c>
      <c r="BK90">
        <f t="shared" si="49"/>
        <v>0</v>
      </c>
      <c r="BL90">
        <f t="shared" si="48"/>
        <v>0</v>
      </c>
      <c r="BM90" s="517"/>
    </row>
    <row r="91" spans="1:65" x14ac:dyDescent="0.25">
      <c r="A91">
        <v>78</v>
      </c>
      <c r="B91" t="str">
        <f>_xlfn.XLOOKUP(A91,Order!R$12:R$859,Order!C$12:C$859,"")</f>
        <v/>
      </c>
      <c r="C91" t="str">
        <f>_xlfn.XLOOKUP(A91,Order!R$12:R$859,Order!S$12:S$859,"")</f>
        <v/>
      </c>
      <c r="D91" t="str">
        <f>_xlfn.XLOOKUP(A91,Order!R$12:R$859,Order!B$12:B$859,"")</f>
        <v/>
      </c>
      <c r="E91" t="str">
        <f>_xlfn.XLOOKUP(A91,Order!R$12:R$859,Order!P$12:P$859,"")</f>
        <v/>
      </c>
      <c r="F91" t="str">
        <f>_xlfn.XLOOKUP(A91,Order!R$12:R$859,Order!T$12:T$859,"")</f>
        <v/>
      </c>
      <c r="G91" t="str">
        <f>_xlfn.XLOOKUP(A91,Order!R$12:R$859,Order!U$12:U$859,"")</f>
        <v/>
      </c>
      <c r="H91" t="str">
        <f>_xlfn.XLOOKUP(A91,Order!R$12:R$859,Order!B$12:B$859,"")</f>
        <v/>
      </c>
      <c r="I91" t="str">
        <f>_xlfn.XLOOKUP(A91,Order!R$12:R$859,Order!V$12:V$859,"")</f>
        <v/>
      </c>
      <c r="J91" t="str">
        <f>IFERROR(RANK(F91,F$14:F$213,1)+COUNTIF(F$14:F91,F91)-1,"")</f>
        <v/>
      </c>
      <c r="L91" t="str">
        <f t="shared" si="66"/>
        <v/>
      </c>
      <c r="M91" t="str" cm="1">
        <f t="array" ref="M91">_xlfn.XLOOKUP(A91,J$14:J290,B$14:B290,"")</f>
        <v/>
      </c>
      <c r="N91" t="str" cm="1">
        <f t="array" ref="N91">_xlfn.XLOOKUP(A91,J$14:J290,C$14:C290,"")</f>
        <v/>
      </c>
      <c r="O91" t="str" cm="1">
        <f t="array" ref="O91">_xlfn.XLOOKUP(A91,J$14:J290,E$14:E290,"")</f>
        <v/>
      </c>
      <c r="P91" t="str" cm="1">
        <f t="array" ref="P91">_xlfn.XLOOKUP(A91,J$14:J290,G$14:G290,"")</f>
        <v/>
      </c>
      <c r="Q91" t="str" cm="1">
        <f t="array" ref="Q91">_xlfn.XLOOKUP(A91,J$14:J290,F$14:F290,"")</f>
        <v/>
      </c>
      <c r="R91" t="str" cm="1">
        <f t="array" ref="R91">_xlfn.XLOOKUP(A91,J$14:J290,I$14:I290,"")</f>
        <v/>
      </c>
      <c r="S91" t="str" cm="1">
        <f t="array" ref="S91">_xlfn.XLOOKUP(A91,J$14:J290,H$14:H290,"")</f>
        <v/>
      </c>
      <c r="T91" t="str" cm="1">
        <f t="array" ref="T91">VLOOKUP(ROW(78:78),L$14:S$163,8)</f>
        <v/>
      </c>
      <c r="U91" t="str" cm="1">
        <f t="array" ref="U91">VLOOKUP(ROW(78:78),L$14:M$163,2)</f>
        <v/>
      </c>
      <c r="V91" t="str" cm="1">
        <f t="array" ref="V91">VLOOKUP(ROW(78:78),L$14:O$163,4)</f>
        <v/>
      </c>
      <c r="W91" t="str" cm="1">
        <f t="array" ref="W91">VLOOKUP(ROW(78:78),L$14:Q$163,6)</f>
        <v/>
      </c>
      <c r="X91" cm="1">
        <f t="array" ref="X91">IFERROR(VLOOKUP(ROW(78:78),L$14:P$213,5)+0,0)</f>
        <v>0</v>
      </c>
      <c r="Y91" t="str" cm="1">
        <f t="array" ref="Y91">VLOOKUP(ROW(78:78),L$14:R$163,7)</f>
        <v/>
      </c>
      <c r="Z91">
        <f>IF(Y91&lt;-2,X91+MAX(Z$14:Z90),0)</f>
        <v>0</v>
      </c>
      <c r="AA91">
        <f>IFERROR(IF(AND(SUM(AA92:AA$214)+X91&lt;=Z$10,W91&lt;=Z$12,Z91=0),X91,0),0)</f>
        <v>0</v>
      </c>
      <c r="AB91">
        <f>IFERROR(IF(AND(W91&lt;=Z$12+10,AB$12-X91&gt;=0,SUM(Z91:AA91)=0,SUM(AB$14:AB90)+X91&lt;AB$12),X91,0),0)</f>
        <v>0</v>
      </c>
      <c r="AD91">
        <f>IF(AND(Y91=-2,SUM(Z91:AB91)=0),X91+MAX(AD$14:AD90),0)</f>
        <v>0</v>
      </c>
      <c r="AE91">
        <f>IFERROR(IF(AND(SUM(AE92:AE$214)+X91&lt;=AD$10,W91&lt;=AD$12,SUM(Z91:AD91)=0),X91,0),0)</f>
        <v>0</v>
      </c>
      <c r="AF91">
        <f>IFERROR(IF(AND(W91&lt;=AD$12+10,AF$12-X91&gt;=0,SUM(Z91:AE91)=0,SUM(AF$14:AF90)+X91&lt;AF$12),X91,0),0)</f>
        <v>0</v>
      </c>
      <c r="AG91">
        <f t="shared" si="55"/>
        <v>0</v>
      </c>
      <c r="AI91">
        <f t="shared" si="60"/>
        <v>0</v>
      </c>
      <c r="AJ91" s="493">
        <f t="shared" si="64"/>
        <v>0</v>
      </c>
      <c r="AK91">
        <f>IF(AJ91=0,0,IF(AJ90=0,MAX(AK$13:AK90)+1,IF(W91&lt;&gt;W90,MAX(AK$14:AK90)+1,IF(ROUNDDOWN(AJ91-0.01,0)=ROUNDDOWN(AJ90-0.01,0),AK90,AK90+1))))</f>
        <v>0</v>
      </c>
      <c r="AL91">
        <f t="shared" si="61"/>
        <v>0</v>
      </c>
      <c r="AM91">
        <f t="shared" si="62"/>
        <v>0</v>
      </c>
      <c r="AN91">
        <f>IF(AM91&gt;AN$12,IF(AK91=AK90,AN90,MAX(AN$13:AN90)+1),0)</f>
        <v>0</v>
      </c>
      <c r="AP91">
        <f t="shared" si="56"/>
        <v>0</v>
      </c>
      <c r="AQ91">
        <f>IF(AP91&gt;0,IF(MAX(AQ92:AQ$214)+AP91&gt;ROUNDUP(MAX(AQ92:AQ$214),0),ROUNDUP(MAX(AQ92:AQ$214),0)+AP91,MAX(AQ92:AQ$214)+AP91),0)</f>
        <v>0</v>
      </c>
      <c r="AR91">
        <f t="shared" si="63"/>
        <v>0</v>
      </c>
      <c r="AS91">
        <f t="shared" si="57"/>
        <v>0</v>
      </c>
      <c r="AT91">
        <f t="shared" si="58"/>
        <v>10</v>
      </c>
      <c r="AV91">
        <v>10</v>
      </c>
      <c r="AW91">
        <f t="shared" si="67"/>
        <v>0</v>
      </c>
      <c r="AX91">
        <f t="shared" si="68"/>
        <v>0</v>
      </c>
      <c r="AY91" s="496">
        <f>IF(AND(AX91=AX$81,SUM(AY$82:AY90)=0,AW91=AZ$81,AX$81&lt;&gt;0),AV91,)</f>
        <v>0</v>
      </c>
      <c r="AZ91">
        <f>IF(AND(SUM(AZ$82:AZ90)=0,SUM($AY91:AY91)=0,$AX91&lt;=AY$117,$AX91&gt;0,$AW91&gt;-1),$AV91,0)</f>
        <v>0</v>
      </c>
      <c r="BA91">
        <f>IF(AND(SUM(BA$82:BA90)=0,SUM($AY91:AZ91)=0,$AX91&lt;=AZ$117,$AX91&gt;0,$AW91&gt;-1),$AV91,0)</f>
        <v>0</v>
      </c>
      <c r="BB91">
        <f>IF(AND(SUM(BB$82:BB90)=0,SUM($AY91:BA91)=0,$AX91&lt;=BA$117,$AX91&gt;0,$AW91&gt;-1),$AV91,0)</f>
        <v>0</v>
      </c>
      <c r="BC91">
        <f>IF(AND(SUM(BC$82:BC90)=0,SUM($AY91:BB91)=0,$AX91&lt;=BB$117,$AX91&gt;0,$AW91&gt;-1),$AV91,0)</f>
        <v>0</v>
      </c>
      <c r="BD91">
        <f>IF(AND(SUM(BD$82:BD90)=0,SUM($AY91:BC91)=0,$AX91&lt;=BC$117,$AX91&gt;0,$AW91&gt;-1),$AV91,0)</f>
        <v>0</v>
      </c>
      <c r="BE91">
        <f>IF(AND(SUM(BE$82:BE90)=0,SUM($AY91:BD91)=0,$AX91&lt;=BD$117,$AX91&gt;0,$AW91&gt;-1),$AV91,0)</f>
        <v>0</v>
      </c>
      <c r="BF91">
        <f>IF(AND(SUM(BF$82:BF90)=0,SUM($AY91:BE91)=0,$AX91&lt;=BE$117,$AX91&gt;0,$AW91&gt;-1),$AV91,0)</f>
        <v>0</v>
      </c>
      <c r="BG91">
        <f t="shared" si="65"/>
        <v>0</v>
      </c>
      <c r="BH91" s="494">
        <f t="shared" si="69"/>
        <v>0</v>
      </c>
      <c r="BI91">
        <f t="shared" si="70"/>
        <v>0</v>
      </c>
      <c r="BJ91">
        <v>38</v>
      </c>
      <c r="BK91">
        <f t="shared" si="49"/>
        <v>0</v>
      </c>
      <c r="BL91">
        <f t="shared" si="48"/>
        <v>0</v>
      </c>
      <c r="BM91" s="517"/>
    </row>
    <row r="92" spans="1:65" x14ac:dyDescent="0.25">
      <c r="A92">
        <v>79</v>
      </c>
      <c r="B92" t="str">
        <f>_xlfn.XLOOKUP(A92,Order!R$12:R$859,Order!C$12:C$859,"")</f>
        <v/>
      </c>
      <c r="C92" t="str">
        <f>_xlfn.XLOOKUP(A92,Order!R$12:R$859,Order!S$12:S$859,"")</f>
        <v/>
      </c>
      <c r="D92" t="str">
        <f>_xlfn.XLOOKUP(A92,Order!R$12:R$859,Order!B$12:B$859,"")</f>
        <v/>
      </c>
      <c r="E92" t="str">
        <f>_xlfn.XLOOKUP(A92,Order!R$12:R$859,Order!P$12:P$859,"")</f>
        <v/>
      </c>
      <c r="F92" t="str">
        <f>_xlfn.XLOOKUP(A92,Order!R$12:R$859,Order!T$12:T$859,"")</f>
        <v/>
      </c>
      <c r="G92" t="str">
        <f>_xlfn.XLOOKUP(A92,Order!R$12:R$859,Order!U$12:U$859,"")</f>
        <v/>
      </c>
      <c r="H92" t="str">
        <f>_xlfn.XLOOKUP(A92,Order!R$12:R$859,Order!B$12:B$859,"")</f>
        <v/>
      </c>
      <c r="I92" t="str">
        <f>_xlfn.XLOOKUP(A92,Order!R$12:R$859,Order!V$12:V$859,"")</f>
        <v/>
      </c>
      <c r="J92" t="str">
        <f>IFERROR(RANK(F92,F$14:F$213,1)+COUNTIF(F$14:F92,F92)-1,"")</f>
        <v/>
      </c>
      <c r="L92" t="str">
        <f t="shared" si="66"/>
        <v/>
      </c>
      <c r="M92" t="str" cm="1">
        <f t="array" ref="M92">_xlfn.XLOOKUP(A92,J$14:J291,B$14:B291,"")</f>
        <v/>
      </c>
      <c r="N92" t="str" cm="1">
        <f t="array" ref="N92">_xlfn.XLOOKUP(A92,J$14:J291,C$14:C291,"")</f>
        <v/>
      </c>
      <c r="O92" t="str" cm="1">
        <f t="array" ref="O92">_xlfn.XLOOKUP(A92,J$14:J291,E$14:E291,"")</f>
        <v/>
      </c>
      <c r="P92" t="str" cm="1">
        <f t="array" ref="P92">_xlfn.XLOOKUP(A92,J$14:J291,G$14:G291,"")</f>
        <v/>
      </c>
      <c r="Q92" t="str" cm="1">
        <f t="array" ref="Q92">_xlfn.XLOOKUP(A92,J$14:J291,F$14:F291,"")</f>
        <v/>
      </c>
      <c r="R92" t="str" cm="1">
        <f t="array" ref="R92">_xlfn.XLOOKUP(A92,J$14:J291,I$14:I291,"")</f>
        <v/>
      </c>
      <c r="S92" t="str" cm="1">
        <f t="array" ref="S92">_xlfn.XLOOKUP(A92,J$14:J291,H$14:H291,"")</f>
        <v/>
      </c>
      <c r="T92" t="str" cm="1">
        <f t="array" ref="T92">VLOOKUP(ROW(79:79),L$14:S$163,8)</f>
        <v/>
      </c>
      <c r="U92" t="str" cm="1">
        <f t="array" ref="U92">VLOOKUP(ROW(79:79),L$14:M$163,2)</f>
        <v/>
      </c>
      <c r="V92" t="str" cm="1">
        <f t="array" ref="V92">VLOOKUP(ROW(79:79),L$14:O$163,4)</f>
        <v/>
      </c>
      <c r="W92" t="str" cm="1">
        <f t="array" ref="W92">VLOOKUP(ROW(79:79),L$14:Q$163,6)</f>
        <v/>
      </c>
      <c r="X92" cm="1">
        <f t="array" ref="X92">IFERROR(VLOOKUP(ROW(79:79),L$14:P$213,5)+0,0)</f>
        <v>0</v>
      </c>
      <c r="Y92" t="str" cm="1">
        <f t="array" ref="Y92">VLOOKUP(ROW(79:79),L$14:R$163,7)</f>
        <v/>
      </c>
      <c r="Z92">
        <f>IF(Y92&lt;-2,X92+MAX(Z$14:Z91),0)</f>
        <v>0</v>
      </c>
      <c r="AA92">
        <f>IFERROR(IF(AND(SUM(AA93:AA$214)+X92&lt;=Z$10,W92&lt;=Z$12,Z92=0),X92,0),0)</f>
        <v>0</v>
      </c>
      <c r="AB92">
        <f>IFERROR(IF(AND(W92&lt;=Z$12+10,AB$12-X92&gt;=0,SUM(Z92:AA92)=0,SUM(AB$14:AB91)+X92&lt;AB$12),X92,0),0)</f>
        <v>0</v>
      </c>
      <c r="AD92">
        <f>IF(AND(Y92=-2,SUM(Z92:AB92)=0),X92+MAX(AD$14:AD91),0)</f>
        <v>0</v>
      </c>
      <c r="AE92">
        <f>IFERROR(IF(AND(SUM(AE93:AE$214)+X92&lt;=AD$10,W92&lt;=AD$12,SUM(Z92:AD92)=0),X92,0),0)</f>
        <v>0</v>
      </c>
      <c r="AF92">
        <f>IFERROR(IF(AND(W92&lt;=AD$12+10,AF$12-X92&gt;=0,SUM(Z92:AE92)=0,SUM(AF$14:AF91)+X92&lt;AF$12),X92,0),0)</f>
        <v>0</v>
      </c>
      <c r="AG92">
        <f t="shared" si="55"/>
        <v>0</v>
      </c>
      <c r="AI92">
        <f t="shared" si="60"/>
        <v>0</v>
      </c>
      <c r="AJ92" s="493">
        <f t="shared" si="64"/>
        <v>0</v>
      </c>
      <c r="AK92">
        <f>IF(AJ92=0,0,IF(AJ91=0,MAX(AK$13:AK91)+1,IF(W92&lt;&gt;W91,MAX(AK$14:AK91)+1,IF(ROUNDDOWN(AJ92-0.01,0)=ROUNDDOWN(AJ91-0.01,0),AK91,AK91+1))))</f>
        <v>0</v>
      </c>
      <c r="AL92">
        <f t="shared" si="61"/>
        <v>0</v>
      </c>
      <c r="AM92">
        <f t="shared" si="62"/>
        <v>0</v>
      </c>
      <c r="AN92">
        <f>IF(AM92&gt;AN$12,IF(AK92=AK91,AN91,MAX(AN$13:AN91)+1),0)</f>
        <v>0</v>
      </c>
      <c r="AP92">
        <f t="shared" si="56"/>
        <v>0</v>
      </c>
      <c r="AQ92">
        <f>IF(AP92&gt;0,IF(MAX(AQ93:AQ$214)+AP92&gt;ROUNDUP(MAX(AQ93:AQ$214),0),ROUNDUP(MAX(AQ93:AQ$214),0)+AP92,MAX(AQ93:AQ$214)+AP92),0)</f>
        <v>0</v>
      </c>
      <c r="AR92">
        <f t="shared" si="63"/>
        <v>0</v>
      </c>
      <c r="AS92">
        <f t="shared" si="57"/>
        <v>0</v>
      </c>
      <c r="AT92">
        <f t="shared" si="58"/>
        <v>10</v>
      </c>
      <c r="AV92">
        <v>11</v>
      </c>
      <c r="AW92">
        <f t="shared" si="67"/>
        <v>0</v>
      </c>
      <c r="AX92">
        <f t="shared" si="68"/>
        <v>0</v>
      </c>
      <c r="AY92" s="496">
        <f>IF(AND(AX92=AX$81,SUM(AY$82:AY91)=0,AW92=AZ$81,AX$81&lt;&gt;0),AV92,)</f>
        <v>0</v>
      </c>
      <c r="AZ92">
        <f>IF(AND(SUM(AZ$82:AZ91)=0,SUM($AY92:AY92)=0,$AX92&lt;=AY$117,$AX92&gt;0,$AW92&gt;-1),$AV92,0)</f>
        <v>0</v>
      </c>
      <c r="BA92">
        <f>IF(AND(SUM(BA$82:BA91)=0,SUM($AY92:AZ92)=0,$AX92&lt;=AZ$117,$AX92&gt;0,$AW92&gt;-1),$AV92,0)</f>
        <v>0</v>
      </c>
      <c r="BB92">
        <f>IF(AND(SUM(BB$82:BB91)=0,SUM($AY92:BA92)=0,$AX92&lt;=BA$117,$AX92&gt;0,$AW92&gt;-1),$AV92,0)</f>
        <v>0</v>
      </c>
      <c r="BC92">
        <f>IF(AND(SUM(BC$82:BC91)=0,SUM($AY92:BB92)=0,$AX92&lt;=BB$117,$AX92&gt;0,$AW92&gt;-1),$AV92,0)</f>
        <v>0</v>
      </c>
      <c r="BD92">
        <f>IF(AND(SUM(BD$82:BD91)=0,SUM($AY92:BC92)=0,$AX92&lt;=BC$117,$AX92&gt;0,$AW92&gt;-1),$AV92,0)</f>
        <v>0</v>
      </c>
      <c r="BE92">
        <f>IF(AND(SUM(BE$82:BE91)=0,SUM($AY92:BD92)=0,$AX92&lt;=BD$117,$AX92&gt;0,$AW92&gt;-1),$AV92,0)</f>
        <v>0</v>
      </c>
      <c r="BF92">
        <f>IF(AND(SUM(BF$82:BF91)=0,SUM($AY92:BE92)=0,$AX92&lt;=BE$117,$AX92&gt;0,$AW92&gt;-1),$AV92,0)</f>
        <v>0</v>
      </c>
      <c r="BG92">
        <f t="shared" si="65"/>
        <v>0</v>
      </c>
      <c r="BH92" s="494">
        <f t="shared" si="69"/>
        <v>0</v>
      </c>
      <c r="BI92">
        <f t="shared" si="70"/>
        <v>0</v>
      </c>
      <c r="BJ92">
        <v>39</v>
      </c>
      <c r="BK92">
        <f t="shared" si="49"/>
        <v>0</v>
      </c>
      <c r="BL92">
        <f t="shared" si="48"/>
        <v>0</v>
      </c>
      <c r="BM92" s="517"/>
    </row>
    <row r="93" spans="1:65" x14ac:dyDescent="0.25">
      <c r="A93">
        <v>80</v>
      </c>
      <c r="B93" t="str">
        <f>_xlfn.XLOOKUP(A93,Order!R$12:R$859,Order!C$12:C$859,"")</f>
        <v/>
      </c>
      <c r="C93" t="str">
        <f>_xlfn.XLOOKUP(A93,Order!R$12:R$859,Order!S$12:S$859,"")</f>
        <v/>
      </c>
      <c r="D93" t="str">
        <f>_xlfn.XLOOKUP(A93,Order!R$12:R$859,Order!B$12:B$859,"")</f>
        <v/>
      </c>
      <c r="E93" t="str">
        <f>_xlfn.XLOOKUP(A93,Order!R$12:R$859,Order!P$12:P$859,"")</f>
        <v/>
      </c>
      <c r="F93" t="str">
        <f>_xlfn.XLOOKUP(A93,Order!R$12:R$859,Order!T$12:T$859,"")</f>
        <v/>
      </c>
      <c r="G93" t="str">
        <f>_xlfn.XLOOKUP(A93,Order!R$12:R$859,Order!U$12:U$859,"")</f>
        <v/>
      </c>
      <c r="H93" t="str">
        <f>_xlfn.XLOOKUP(A93,Order!R$12:R$859,Order!B$12:B$859,"")</f>
        <v/>
      </c>
      <c r="I93" t="str">
        <f>_xlfn.XLOOKUP(A93,Order!R$12:R$859,Order!V$12:V$859,"")</f>
        <v/>
      </c>
      <c r="J93" t="str">
        <f>IFERROR(RANK(F93,F$14:F$213,1)+COUNTIF(F$14:F93,F93)-1,"")</f>
        <v/>
      </c>
      <c r="L93" t="str">
        <f t="shared" si="66"/>
        <v/>
      </c>
      <c r="M93" t="str" cm="1">
        <f t="array" ref="M93">_xlfn.XLOOKUP(A93,J$14:J292,B$14:B292,"")</f>
        <v/>
      </c>
      <c r="N93" t="str" cm="1">
        <f t="array" ref="N93">_xlfn.XLOOKUP(A93,J$14:J292,C$14:C292,"")</f>
        <v/>
      </c>
      <c r="O93" t="str" cm="1">
        <f t="array" ref="O93">_xlfn.XLOOKUP(A93,J$14:J292,E$14:E292,"")</f>
        <v/>
      </c>
      <c r="P93" t="str" cm="1">
        <f t="array" ref="P93">_xlfn.XLOOKUP(A93,J$14:J292,G$14:G292,"")</f>
        <v/>
      </c>
      <c r="Q93" t="str" cm="1">
        <f t="array" ref="Q93">_xlfn.XLOOKUP(A93,J$14:J292,F$14:F292,"")</f>
        <v/>
      </c>
      <c r="R93" t="str" cm="1">
        <f t="array" ref="R93">_xlfn.XLOOKUP(A93,J$14:J292,I$14:I292,"")</f>
        <v/>
      </c>
      <c r="S93" t="str" cm="1">
        <f t="array" ref="S93">_xlfn.XLOOKUP(A93,J$14:J292,H$14:H292,"")</f>
        <v/>
      </c>
      <c r="T93" t="str" cm="1">
        <f t="array" ref="T93">VLOOKUP(ROW(80:80),L$14:S$163,8)</f>
        <v/>
      </c>
      <c r="U93" t="str" cm="1">
        <f t="array" ref="U93">VLOOKUP(ROW(80:80),L$14:M$163,2)</f>
        <v/>
      </c>
      <c r="V93" t="str" cm="1">
        <f t="array" ref="V93">VLOOKUP(ROW(80:80),L$14:O$163,4)</f>
        <v/>
      </c>
      <c r="W93" t="str" cm="1">
        <f t="array" ref="W93">VLOOKUP(ROW(80:80),L$14:Q$163,6)</f>
        <v/>
      </c>
      <c r="X93" cm="1">
        <f t="array" ref="X93">IFERROR(VLOOKUP(ROW(80:80),L$14:P$213,5)+0,0)</f>
        <v>0</v>
      </c>
      <c r="Y93" t="str" cm="1">
        <f t="array" ref="Y93">VLOOKUP(ROW(80:80),L$14:R$163,7)</f>
        <v/>
      </c>
      <c r="Z93">
        <f>IF(Y93&lt;-2,X93+MAX(Z$14:Z92),0)</f>
        <v>0</v>
      </c>
      <c r="AA93">
        <f>IFERROR(IF(AND(SUM(AA94:AA$214)+X93&lt;=Z$10,W93&lt;=Z$12,Z93=0),X93,0),0)</f>
        <v>0</v>
      </c>
      <c r="AB93">
        <f>IFERROR(IF(AND(W93&lt;=Z$12+10,AB$12-X93&gt;=0,SUM(Z93:AA93)=0,SUM(AB$14:AB92)+X93&lt;AB$12),X93,0),0)</f>
        <v>0</v>
      </c>
      <c r="AD93">
        <f>IF(AND(Y93=-2,SUM(Z93:AB93)=0),X93+MAX(AD$14:AD92),0)</f>
        <v>0</v>
      </c>
      <c r="AE93">
        <f>IFERROR(IF(AND(SUM(AE94:AE$214)+X93&lt;=AD$10,W93&lt;=AD$12,SUM(Z93:AD93)=0),X93,0),0)</f>
        <v>0</v>
      </c>
      <c r="AF93">
        <f>IFERROR(IF(AND(W93&lt;=AD$12+10,AF$12-X93&gt;=0,SUM(Z93:AE93)=0,SUM(AF$14:AF92)+X93&lt;AF$12),X93,0),0)</f>
        <v>0</v>
      </c>
      <c r="AG93">
        <f t="shared" si="55"/>
        <v>0</v>
      </c>
      <c r="AI93">
        <f t="shared" si="60"/>
        <v>0</v>
      </c>
      <c r="AJ93" s="493">
        <f t="shared" si="64"/>
        <v>0</v>
      </c>
      <c r="AK93">
        <f>IF(AJ93=0,0,IF(AJ92=0,MAX(AK$13:AK92)+1,IF(W93&lt;&gt;W92,MAX(AK$14:AK92)+1,IF(ROUNDDOWN(AJ93-0.01,0)=ROUNDDOWN(AJ92-0.01,0),AK92,AK92+1))))</f>
        <v>0</v>
      </c>
      <c r="AL93">
        <f t="shared" si="61"/>
        <v>0</v>
      </c>
      <c r="AM93">
        <f t="shared" si="62"/>
        <v>0</v>
      </c>
      <c r="AN93">
        <f>IF(AM93&gt;AN$12,IF(AK93=AK92,AN92,MAX(AN$13:AN92)+1),0)</f>
        <v>0</v>
      </c>
      <c r="AP93">
        <f t="shared" si="56"/>
        <v>0</v>
      </c>
      <c r="AQ93">
        <f>IF(AP93&gt;0,IF(MAX(AQ94:AQ$214)+AP93&gt;ROUNDUP(MAX(AQ94:AQ$214),0),ROUNDUP(MAX(AQ94:AQ$214),0)+AP93,MAX(AQ94:AQ$214)+AP93),0)</f>
        <v>0</v>
      </c>
      <c r="AR93">
        <f t="shared" si="63"/>
        <v>0</v>
      </c>
      <c r="AS93">
        <f t="shared" si="57"/>
        <v>0</v>
      </c>
      <c r="AT93">
        <f t="shared" si="58"/>
        <v>10</v>
      </c>
      <c r="AV93">
        <v>12</v>
      </c>
      <c r="AW93">
        <f t="shared" si="67"/>
        <v>0</v>
      </c>
      <c r="AX93">
        <f t="shared" si="68"/>
        <v>0</v>
      </c>
      <c r="AY93" s="496">
        <f>IF(AND(AX93=AX$81,SUM(AY$82:AY92)=0,AW93=AZ$81,AX$81&lt;&gt;0),AV93,)</f>
        <v>0</v>
      </c>
      <c r="AZ93">
        <f>IF(AND(SUM(AZ$82:AZ92)=0,SUM($AY93:AY93)=0,$AX93&lt;=AY$117,$AX93&gt;0,$AW93&gt;-1),$AV93,0)</f>
        <v>0</v>
      </c>
      <c r="BA93">
        <f>IF(AND(SUM(BA$82:BA92)=0,SUM($AY93:AZ93)=0,$AX93&lt;=AZ$117,$AX93&gt;0,$AW93&gt;-1),$AV93,0)</f>
        <v>0</v>
      </c>
      <c r="BB93">
        <f>IF(AND(SUM(BB$82:BB92)=0,SUM($AY93:BA93)=0,$AX93&lt;=BA$117,$AX93&gt;0,$AW93&gt;-1),$AV93,0)</f>
        <v>0</v>
      </c>
      <c r="BC93">
        <f>IF(AND(SUM(BC$82:BC92)=0,SUM($AY93:BB93)=0,$AX93&lt;=BB$117,$AX93&gt;0,$AW93&gt;-1),$AV93,0)</f>
        <v>0</v>
      </c>
      <c r="BD93">
        <f>IF(AND(SUM(BD$82:BD92)=0,SUM($AY93:BC93)=0,$AX93&lt;=BC$117,$AX93&gt;0,$AW93&gt;-1),$AV93,0)</f>
        <v>0</v>
      </c>
      <c r="BE93">
        <f>IF(AND(SUM(BE$82:BE92)=0,SUM($AY93:BD93)=0,$AX93&lt;=BD$117,$AX93&gt;0,$AW93&gt;-1),$AV93,0)</f>
        <v>0</v>
      </c>
      <c r="BF93">
        <f>IF(AND(SUM(BF$82:BF92)=0,SUM($AY93:BE93)=0,$AX93&lt;=BE$117,$AX93&gt;0,$AW93&gt;-1),$AV93,0)</f>
        <v>0</v>
      </c>
      <c r="BG93">
        <f t="shared" si="65"/>
        <v>0</v>
      </c>
      <c r="BH93" s="494">
        <f t="shared" si="69"/>
        <v>0</v>
      </c>
      <c r="BI93">
        <f t="shared" si="70"/>
        <v>0</v>
      </c>
      <c r="BJ93">
        <v>40</v>
      </c>
      <c r="BK93">
        <f t="shared" si="49"/>
        <v>0</v>
      </c>
      <c r="BL93">
        <f t="shared" si="48"/>
        <v>0</v>
      </c>
      <c r="BM93" s="517"/>
    </row>
    <row r="94" spans="1:65" x14ac:dyDescent="0.25">
      <c r="A94">
        <v>81</v>
      </c>
      <c r="B94" t="str">
        <f>_xlfn.XLOOKUP(A94,Order!R$12:R$859,Order!C$12:C$859,"")</f>
        <v/>
      </c>
      <c r="C94" t="str">
        <f>_xlfn.XLOOKUP(A94,Order!R$12:R$859,Order!S$12:S$859,"")</f>
        <v/>
      </c>
      <c r="D94" t="str">
        <f>_xlfn.XLOOKUP(A94,Order!R$12:R$859,Order!B$12:B$859,"")</f>
        <v/>
      </c>
      <c r="E94" t="str">
        <f>_xlfn.XLOOKUP(A94,Order!R$12:R$859,Order!P$12:P$859,"")</f>
        <v/>
      </c>
      <c r="F94" t="str">
        <f>_xlfn.XLOOKUP(A94,Order!R$12:R$859,Order!T$12:T$859,"")</f>
        <v/>
      </c>
      <c r="G94" t="str">
        <f>_xlfn.XLOOKUP(A94,Order!R$12:R$859,Order!U$12:U$859,"")</f>
        <v/>
      </c>
      <c r="H94" t="str">
        <f>_xlfn.XLOOKUP(A94,Order!R$12:R$859,Order!B$12:B$859,"")</f>
        <v/>
      </c>
      <c r="I94" t="str">
        <f>_xlfn.XLOOKUP(A94,Order!R$12:R$859,Order!V$12:V$859,"")</f>
        <v/>
      </c>
      <c r="J94" t="str">
        <f>IFERROR(RANK(F94,F$14:F$213,1)+COUNTIF(F$14:F94,F94)-1,"")</f>
        <v/>
      </c>
      <c r="L94" t="str">
        <f t="shared" si="66"/>
        <v/>
      </c>
      <c r="M94" t="str" cm="1">
        <f t="array" ref="M94">_xlfn.XLOOKUP(A94,J$14:J293,B$14:B293,"")</f>
        <v/>
      </c>
      <c r="N94" t="str" cm="1">
        <f t="array" ref="N94">_xlfn.XLOOKUP(A94,J$14:J293,C$14:C293,"")</f>
        <v/>
      </c>
      <c r="O94" t="str" cm="1">
        <f t="array" ref="O94">_xlfn.XLOOKUP(A94,J$14:J293,E$14:E293,"")</f>
        <v/>
      </c>
      <c r="P94" t="str" cm="1">
        <f t="array" ref="P94">_xlfn.XLOOKUP(A94,J$14:J293,G$14:G293,"")</f>
        <v/>
      </c>
      <c r="Q94" t="str" cm="1">
        <f t="array" ref="Q94">_xlfn.XLOOKUP(A94,J$14:J293,F$14:F293,"")</f>
        <v/>
      </c>
      <c r="R94" t="str" cm="1">
        <f t="array" ref="R94">_xlfn.XLOOKUP(A94,J$14:J293,I$14:I293,"")</f>
        <v/>
      </c>
      <c r="S94" t="str" cm="1">
        <f t="array" ref="S94">_xlfn.XLOOKUP(A94,J$14:J293,H$14:H293,"")</f>
        <v/>
      </c>
      <c r="T94" t="str" cm="1">
        <f t="array" ref="T94">VLOOKUP(ROW(81:81),L$14:S$163,8)</f>
        <v/>
      </c>
      <c r="U94" t="str" cm="1">
        <f t="array" ref="U94">VLOOKUP(ROW(81:81),L$14:M$163,2)</f>
        <v/>
      </c>
      <c r="V94" t="str" cm="1">
        <f t="array" ref="V94">VLOOKUP(ROW(81:81),L$14:O$163,4)</f>
        <v/>
      </c>
      <c r="W94" t="str" cm="1">
        <f t="array" ref="W94">VLOOKUP(ROW(81:81),L$14:Q$163,6)</f>
        <v/>
      </c>
      <c r="X94" cm="1">
        <f t="array" ref="X94">IFERROR(VLOOKUP(ROW(81:81),L$14:P$213,5)+0,0)</f>
        <v>0</v>
      </c>
      <c r="Y94" t="str" cm="1">
        <f t="array" ref="Y94">VLOOKUP(ROW(81:81),L$14:R$163,7)</f>
        <v/>
      </c>
      <c r="Z94">
        <f>IF(Y94&lt;-2,X94+MAX(Z$14:Z93),0)</f>
        <v>0</v>
      </c>
      <c r="AA94">
        <f>IFERROR(IF(AND(SUM(AA95:AA$214)+X94&lt;=Z$10,W94&lt;=Z$12,Z94=0),X94,0),0)</f>
        <v>0</v>
      </c>
      <c r="AB94">
        <f>IFERROR(IF(AND(W94&lt;=Z$12+10,AB$12-X94&gt;=0,SUM(Z94:AA94)=0,SUM(AB$14:AB93)+X94&lt;AB$12),X94,0),0)</f>
        <v>0</v>
      </c>
      <c r="AD94">
        <f>IF(AND(Y94=-2,SUM(Z94:AB94)=0),X94+MAX(AD$14:AD93),0)</f>
        <v>0</v>
      </c>
      <c r="AE94">
        <f>IFERROR(IF(AND(SUM(AE95:AE$214)+X94&lt;=AD$10,W94&lt;=AD$12,SUM(Z94:AD94)=0),X94,0),0)</f>
        <v>0</v>
      </c>
      <c r="AF94">
        <f>IFERROR(IF(AND(W94&lt;=AD$12+10,AF$12-X94&gt;=0,SUM(Z94:AE94)=0,SUM(AF$14:AF93)+X94&lt;AF$12),X94,0),0)</f>
        <v>0</v>
      </c>
      <c r="AG94">
        <f t="shared" si="55"/>
        <v>0</v>
      </c>
      <c r="AI94">
        <f t="shared" si="60"/>
        <v>0</v>
      </c>
      <c r="AJ94" s="493">
        <f t="shared" si="64"/>
        <v>0</v>
      </c>
      <c r="AK94">
        <f>IF(AJ94=0,0,IF(AJ93=0,MAX(AK$13:AK93)+1,IF(W94&lt;&gt;W93,MAX(AK$14:AK93)+1,IF(ROUNDDOWN(AJ94-0.01,0)=ROUNDDOWN(AJ93-0.01,0),AK93,AK93+1))))</f>
        <v>0</v>
      </c>
      <c r="AL94">
        <f t="shared" si="61"/>
        <v>0</v>
      </c>
      <c r="AM94">
        <f t="shared" si="62"/>
        <v>0</v>
      </c>
      <c r="AN94">
        <f>IF(AM94&gt;AN$12,IF(AK94=AK93,AN93,MAX(AN$13:AN93)+1),0)</f>
        <v>0</v>
      </c>
      <c r="AP94">
        <f t="shared" si="56"/>
        <v>0</v>
      </c>
      <c r="AQ94">
        <f>IF(AP94&gt;0,IF(MAX(AQ95:AQ$214)+AP94&gt;ROUNDUP(MAX(AQ95:AQ$214),0),ROUNDUP(MAX(AQ95:AQ$214),0)+AP94,MAX(AQ95:AQ$214)+AP94),0)</f>
        <v>0</v>
      </c>
      <c r="AR94">
        <f t="shared" si="63"/>
        <v>0</v>
      </c>
      <c r="AS94">
        <f t="shared" si="57"/>
        <v>0</v>
      </c>
      <c r="AT94">
        <f t="shared" si="58"/>
        <v>10</v>
      </c>
      <c r="AV94">
        <v>13</v>
      </c>
      <c r="AW94">
        <f t="shared" si="67"/>
        <v>0</v>
      </c>
      <c r="AX94">
        <f t="shared" si="68"/>
        <v>0</v>
      </c>
      <c r="AY94" s="496">
        <f>IF(AND(AX94=AX$81,SUM(AY$82:AY93)=0,AW94=AZ$81,AX$81&lt;&gt;0),AV94,)</f>
        <v>0</v>
      </c>
      <c r="AZ94">
        <f>IF(AND(SUM(AZ$82:AZ93)=0,SUM($AY94:AY94)=0,$AX94&lt;=AY$117,$AX94&gt;0,$AW94&gt;-1),$AV94,0)</f>
        <v>0</v>
      </c>
      <c r="BA94">
        <f>IF(AND(SUM(BA$82:BA93)=0,SUM($AY94:AZ94)=0,$AX94&lt;=AZ$117,$AX94&gt;0,$AW94&gt;-1),$AV94,0)</f>
        <v>0</v>
      </c>
      <c r="BB94">
        <f>IF(AND(SUM(BB$82:BB93)=0,SUM($AY94:BA94)=0,$AX94&lt;=BA$117,$AX94&gt;0,$AW94&gt;-1),$AV94,0)</f>
        <v>0</v>
      </c>
      <c r="BC94">
        <f>IF(AND(SUM(BC$82:BC93)=0,SUM($AY94:BB94)=0,$AX94&lt;=BB$117,$AX94&gt;0,$AW94&gt;-1),$AV94,0)</f>
        <v>0</v>
      </c>
      <c r="BD94">
        <f>IF(AND(SUM(BD$82:BD93)=0,SUM($AY94:BC94)=0,$AX94&lt;=BC$117,$AX94&gt;0,$AW94&gt;-1),$AV94,0)</f>
        <v>0</v>
      </c>
      <c r="BE94">
        <f>IF(AND(SUM(BE$82:BE93)=0,SUM($AY94:BD94)=0,$AX94&lt;=BD$117,$AX94&gt;0,$AW94&gt;-1),$AV94,0)</f>
        <v>0</v>
      </c>
      <c r="BF94">
        <f>IF(AND(SUM(BF$82:BF93)=0,SUM($AY94:BE94)=0,$AX94&lt;=BE$117,$AX94&gt;0,$AW94&gt;-1),$AV94,0)</f>
        <v>0</v>
      </c>
      <c r="BG94">
        <f t="shared" si="65"/>
        <v>0</v>
      </c>
      <c r="BH94" s="494">
        <f t="shared" si="69"/>
        <v>0</v>
      </c>
      <c r="BI94">
        <f t="shared" si="70"/>
        <v>0</v>
      </c>
    </row>
    <row r="95" spans="1:65" x14ac:dyDescent="0.25">
      <c r="A95">
        <v>82</v>
      </c>
      <c r="B95" t="str">
        <f>_xlfn.XLOOKUP(A95,Order!R$12:R$859,Order!C$12:C$859,"")</f>
        <v/>
      </c>
      <c r="C95" t="str">
        <f>_xlfn.XLOOKUP(A95,Order!R$12:R$859,Order!S$12:S$859,"")</f>
        <v/>
      </c>
      <c r="D95" t="str">
        <f>_xlfn.XLOOKUP(A95,Order!R$12:R$859,Order!B$12:B$859,"")</f>
        <v/>
      </c>
      <c r="E95" t="str">
        <f>_xlfn.XLOOKUP(A95,Order!R$12:R$859,Order!P$12:P$859,"")</f>
        <v/>
      </c>
      <c r="F95" t="str">
        <f>_xlfn.XLOOKUP(A95,Order!R$12:R$859,Order!T$12:T$859,"")</f>
        <v/>
      </c>
      <c r="G95" t="str">
        <f>_xlfn.XLOOKUP(A95,Order!R$12:R$859,Order!U$12:U$859,"")</f>
        <v/>
      </c>
      <c r="H95" t="str">
        <f>_xlfn.XLOOKUP(A95,Order!R$12:R$859,Order!B$12:B$859,"")</f>
        <v/>
      </c>
      <c r="I95" t="str">
        <f>_xlfn.XLOOKUP(A95,Order!R$12:R$859,Order!V$12:V$859,"")</f>
        <v/>
      </c>
      <c r="J95" t="str">
        <f>IFERROR(RANK(F95,F$14:F$213,1)+COUNTIF(F$14:F95,F95)-1,"")</f>
        <v/>
      </c>
      <c r="L95" t="str">
        <f t="shared" si="66"/>
        <v/>
      </c>
      <c r="M95" t="str" cm="1">
        <f t="array" ref="M95">_xlfn.XLOOKUP(A95,J$14:J294,B$14:B294,"")</f>
        <v/>
      </c>
      <c r="N95" t="str" cm="1">
        <f t="array" ref="N95">_xlfn.XLOOKUP(A95,J$14:J294,C$14:C294,"")</f>
        <v/>
      </c>
      <c r="O95" t="str" cm="1">
        <f t="array" ref="O95">_xlfn.XLOOKUP(A95,J$14:J294,E$14:E294,"")</f>
        <v/>
      </c>
      <c r="P95" t="str" cm="1">
        <f t="array" ref="P95">_xlfn.XLOOKUP(A95,J$14:J294,G$14:G294,"")</f>
        <v/>
      </c>
      <c r="Q95" t="str" cm="1">
        <f t="array" ref="Q95">_xlfn.XLOOKUP(A95,J$14:J294,F$14:F294,"")</f>
        <v/>
      </c>
      <c r="R95" t="str" cm="1">
        <f t="array" ref="R95">_xlfn.XLOOKUP(A95,J$14:J294,I$14:I294,"")</f>
        <v/>
      </c>
      <c r="S95" t="str" cm="1">
        <f t="array" ref="S95">_xlfn.XLOOKUP(A95,J$14:J294,H$14:H294,"")</f>
        <v/>
      </c>
      <c r="T95" t="str" cm="1">
        <f t="array" ref="T95">VLOOKUP(ROW(82:82),L$14:S$163,8)</f>
        <v/>
      </c>
      <c r="U95" t="str" cm="1">
        <f t="array" ref="U95">VLOOKUP(ROW(82:82),L$14:M$163,2)</f>
        <v/>
      </c>
      <c r="V95" t="str" cm="1">
        <f t="array" ref="V95">VLOOKUP(ROW(82:82),L$14:O$163,4)</f>
        <v/>
      </c>
      <c r="W95" t="str" cm="1">
        <f t="array" ref="W95">VLOOKUP(ROW(82:82),L$14:Q$163,6)</f>
        <v/>
      </c>
      <c r="X95" cm="1">
        <f t="array" ref="X95">IFERROR(VLOOKUP(ROW(82:82),L$14:P$213,5)+0,0)</f>
        <v>0</v>
      </c>
      <c r="Y95" t="str" cm="1">
        <f t="array" ref="Y95">VLOOKUP(ROW(82:82),L$14:R$163,7)</f>
        <v/>
      </c>
      <c r="Z95">
        <f>IF(Y95&lt;-2,X95+MAX(Z$14:Z94),0)</f>
        <v>0</v>
      </c>
      <c r="AA95">
        <f>IFERROR(IF(AND(SUM(AA96:AA$214)+X95&lt;=Z$10,W95&lt;=Z$12,Z95=0),X95,0),0)</f>
        <v>0</v>
      </c>
      <c r="AB95">
        <f>IFERROR(IF(AND(W95&lt;=Z$12+10,AB$12-X95&gt;=0,SUM(Z95:AA95)=0,SUM(AB$14:AB94)+X95&lt;AB$12),X95,0),0)</f>
        <v>0</v>
      </c>
      <c r="AD95">
        <f>IF(AND(Y95=-2,SUM(Z95:AB95)=0),X95+MAX(AD$14:AD94),0)</f>
        <v>0</v>
      </c>
      <c r="AE95">
        <f>IFERROR(IF(AND(SUM(AE96:AE$214)+X95&lt;=AD$10,W95&lt;=AD$12,SUM(Z95:AD95)=0),X95,0),0)</f>
        <v>0</v>
      </c>
      <c r="AF95">
        <f>IFERROR(IF(AND(W95&lt;=AD$12+10,AF$12-X95&gt;=0,SUM(Z95:AE95)=0,SUM(AF$14:AF94)+X95&lt;AF$12),X95,0),0)</f>
        <v>0</v>
      </c>
      <c r="AG95">
        <f t="shared" si="55"/>
        <v>0</v>
      </c>
      <c r="AI95">
        <f t="shared" si="60"/>
        <v>0</v>
      </c>
      <c r="AJ95" s="493">
        <f>IF(AG95=0,0,IF(W95&lt;&gt;W94,AG95,IF(AG95+AJ94&gt;ROUNDUP(AJ94,0),ROUNDUP(AJ94,0)+AG95,AJ94+AG95)))</f>
        <v>0</v>
      </c>
      <c r="AK95">
        <f>IF(AJ95=0,0,IF(AJ94=0,MAX(AK$13:AK94)+1,IF(W95&lt;&gt;W94,MAX(AK$14:AK94)+1,IF(ROUNDDOWN(AJ95-0.01,0)=ROUNDDOWN(AJ94-0.01,0),AK94,AK94+1))))</f>
        <v>0</v>
      </c>
      <c r="AL95">
        <f t="shared" si="61"/>
        <v>0</v>
      </c>
      <c r="AM95">
        <f t="shared" si="62"/>
        <v>0</v>
      </c>
      <c r="AN95">
        <f>IF(AM95&gt;AN$12,IF(AK95=AK94,AN94,MAX(AN$13:AN94)+1),0)</f>
        <v>0</v>
      </c>
      <c r="AP95">
        <f t="shared" si="56"/>
        <v>0</v>
      </c>
      <c r="AQ95">
        <f>IF(AP95&gt;0,IF(MAX(AQ96:AQ$214)+AP95&gt;ROUNDUP(MAX(AQ96:AQ$214),0),ROUNDUP(MAX(AQ96:AQ$214),0)+AP95,MAX(AQ96:AQ$214)+AP95),0)</f>
        <v>0</v>
      </c>
      <c r="AR95">
        <f t="shared" si="63"/>
        <v>0</v>
      </c>
      <c r="AS95">
        <f t="shared" si="57"/>
        <v>0</v>
      </c>
      <c r="AT95">
        <f t="shared" si="58"/>
        <v>10</v>
      </c>
      <c r="AV95">
        <v>14</v>
      </c>
      <c r="AW95">
        <f t="shared" si="67"/>
        <v>0</v>
      </c>
      <c r="AX95">
        <f t="shared" si="68"/>
        <v>0</v>
      </c>
      <c r="AY95" s="496">
        <f>IF(AND(AX95=AX$81,SUM(AY$82:AY94)=0,AW95=AZ$81,AX$81&lt;&gt;0),AV95,)</f>
        <v>0</v>
      </c>
      <c r="AZ95">
        <f>IF(AND(SUM(AZ$82:AZ94)=0,SUM($AY95:AY95)=0,$AX95&lt;=AY$117,$AX95&gt;0,$AW95&gt;-1),$AV95,0)</f>
        <v>0</v>
      </c>
      <c r="BA95">
        <f>IF(AND(SUM(BA$82:BA94)=0,SUM($AY95:AZ95)=0,$AX95&lt;=AZ$117,$AX95&gt;0,$AW95&gt;-1),$AV95,0)</f>
        <v>0</v>
      </c>
      <c r="BB95">
        <f>IF(AND(SUM(BB$82:BB94)=0,SUM($AY95:BA95)=0,$AX95&lt;=BA$117,$AX95&gt;0,$AW95&gt;-1),$AV95,0)</f>
        <v>0</v>
      </c>
      <c r="BC95">
        <f>IF(AND(SUM(BC$82:BC94)=0,SUM($AY95:BB95)=0,$AX95&lt;=BB$117,$AX95&gt;0,$AW95&gt;-1),$AV95,0)</f>
        <v>0</v>
      </c>
      <c r="BD95">
        <f>IF(AND(SUM(BD$82:BD94)=0,SUM($AY95:BC95)=0,$AX95&lt;=BC$117,$AX95&gt;0,$AW95&gt;-1),$AV95,0)</f>
        <v>0</v>
      </c>
      <c r="BE95">
        <f>IF(AND(SUM(BE$82:BE94)=0,SUM($AY95:BD95)=0,$AX95&lt;=BD$117,$AX95&gt;0,$AW95&gt;-1),$AV95,0)</f>
        <v>0</v>
      </c>
      <c r="BF95">
        <f>IF(AND(SUM(BF$82:BF94)=0,SUM($AY95:BE95)=0,$AX95&lt;=BE$117,$AX95&gt;0,$AW95&gt;-1),$AV95,0)</f>
        <v>0</v>
      </c>
      <c r="BG95">
        <f t="shared" si="65"/>
        <v>0</v>
      </c>
      <c r="BH95" s="494">
        <f t="shared" si="69"/>
        <v>0</v>
      </c>
      <c r="BI95">
        <f t="shared" si="70"/>
        <v>0</v>
      </c>
      <c r="BK95">
        <f>MAX(BK54:BK93)</f>
        <v>0</v>
      </c>
      <c r="BL95" t="s">
        <v>1161</v>
      </c>
    </row>
    <row r="96" spans="1:65" x14ac:dyDescent="0.25">
      <c r="A96">
        <v>83</v>
      </c>
      <c r="B96" t="str">
        <f>_xlfn.XLOOKUP(A96,Order!R$12:R$859,Order!C$12:C$859,"")</f>
        <v/>
      </c>
      <c r="C96" t="str">
        <f>_xlfn.XLOOKUP(A96,Order!R$12:R$859,Order!S$12:S$859,"")</f>
        <v/>
      </c>
      <c r="D96" t="str">
        <f>_xlfn.XLOOKUP(A96,Order!R$12:R$859,Order!B$12:B$859,"")</f>
        <v/>
      </c>
      <c r="E96" t="str">
        <f>_xlfn.XLOOKUP(A96,Order!R$12:R$859,Order!P$12:P$859,"")</f>
        <v/>
      </c>
      <c r="F96" t="str">
        <f>_xlfn.XLOOKUP(A96,Order!R$12:R$859,Order!T$12:T$859,"")</f>
        <v/>
      </c>
      <c r="G96" t="str">
        <f>_xlfn.XLOOKUP(A96,Order!R$12:R$859,Order!U$12:U$859,"")</f>
        <v/>
      </c>
      <c r="H96" t="str">
        <f>_xlfn.XLOOKUP(A96,Order!R$12:R$859,Order!B$12:B$859,"")</f>
        <v/>
      </c>
      <c r="I96" t="str">
        <f>_xlfn.XLOOKUP(A96,Order!R$12:R$859,Order!V$12:V$859,"")</f>
        <v/>
      </c>
      <c r="J96" t="str">
        <f>IFERROR(RANK(F96,F$14:F$213,1)+COUNTIF(F$14:F96,F96)-1,"")</f>
        <v/>
      </c>
      <c r="L96" t="str">
        <f t="shared" si="66"/>
        <v/>
      </c>
      <c r="M96" t="str" cm="1">
        <f t="array" ref="M96">_xlfn.XLOOKUP(A96,J$14:J295,B$14:B295,"")</f>
        <v/>
      </c>
      <c r="N96" t="str" cm="1">
        <f t="array" ref="N96">_xlfn.XLOOKUP(A96,J$14:J295,C$14:C295,"")</f>
        <v/>
      </c>
      <c r="O96" t="str" cm="1">
        <f t="array" ref="O96">_xlfn.XLOOKUP(A96,J$14:J295,E$14:E295,"")</f>
        <v/>
      </c>
      <c r="P96" t="str" cm="1">
        <f t="array" ref="P96">_xlfn.XLOOKUP(A96,J$14:J295,G$14:G295,"")</f>
        <v/>
      </c>
      <c r="Q96" t="str" cm="1">
        <f t="array" ref="Q96">_xlfn.XLOOKUP(A96,J$14:J295,F$14:F295,"")</f>
        <v/>
      </c>
      <c r="R96" t="str" cm="1">
        <f t="array" ref="R96">_xlfn.XLOOKUP(A96,J$14:J295,I$14:I295,"")</f>
        <v/>
      </c>
      <c r="S96" t="str" cm="1">
        <f t="array" ref="S96">_xlfn.XLOOKUP(A96,J$14:J295,H$14:H295,"")</f>
        <v/>
      </c>
      <c r="T96" t="str" cm="1">
        <f t="array" ref="T96">VLOOKUP(ROW(83:83),L$14:S$163,8)</f>
        <v/>
      </c>
      <c r="U96" t="str" cm="1">
        <f t="array" ref="U96">VLOOKUP(ROW(83:83),L$14:M$163,2)</f>
        <v/>
      </c>
      <c r="V96" t="str" cm="1">
        <f t="array" ref="V96">VLOOKUP(ROW(83:83),L$14:O$163,4)</f>
        <v/>
      </c>
      <c r="W96" t="str" cm="1">
        <f t="array" ref="W96">VLOOKUP(ROW(83:83),L$14:Q$163,6)</f>
        <v/>
      </c>
      <c r="X96" cm="1">
        <f t="array" ref="X96">IFERROR(VLOOKUP(ROW(83:83),L$14:P$213,5)+0,0)</f>
        <v>0</v>
      </c>
      <c r="Y96" t="str" cm="1">
        <f t="array" ref="Y96">VLOOKUP(ROW(83:83),L$14:R$163,7)</f>
        <v/>
      </c>
      <c r="Z96">
        <f>IF(Y96&lt;-2,X96+MAX(Z$14:Z95),0)</f>
        <v>0</v>
      </c>
      <c r="AA96">
        <f>IFERROR(IF(AND(SUM(AA97:AA$214)+X96&lt;=Z$10,W96&lt;=Z$12,Z96=0),X96,0),0)</f>
        <v>0</v>
      </c>
      <c r="AB96">
        <f>IFERROR(IF(AND(W96&lt;=Z$12+10,AB$12-X96&gt;=0,SUM(Z96:AA96)=0,SUM(AB$14:AB95)+X96&lt;AB$12),X96,0),0)</f>
        <v>0</v>
      </c>
      <c r="AD96">
        <f>IF(AND(Y96=-2,SUM(Z96:AB96)=0),X96+MAX(AD$14:AD95),0)</f>
        <v>0</v>
      </c>
      <c r="AE96">
        <f>IFERROR(IF(AND(SUM(AE97:AE$214)+X96&lt;=AD$10,W96&lt;=AD$12,SUM(Z96:AD96)=0),X96,0),0)</f>
        <v>0</v>
      </c>
      <c r="AF96">
        <f>IFERROR(IF(AND(W96&lt;=AD$12+10,AF$12-X96&gt;=0,SUM(Z96:AE96)=0,SUM(AF$14:AF95)+X96&lt;AF$12),X96,0),0)</f>
        <v>0</v>
      </c>
      <c r="AG96">
        <f t="shared" si="55"/>
        <v>0</v>
      </c>
      <c r="AI96">
        <f t="shared" si="60"/>
        <v>0</v>
      </c>
      <c r="AJ96" s="493">
        <f t="shared" si="64"/>
        <v>0</v>
      </c>
      <c r="AK96">
        <f>IF(AJ96=0,0,IF(AJ95=0,MAX(AK$13:AK95)+1,IF(W96&lt;&gt;W95,MAX(AK$14:AK95)+1,IF(ROUNDDOWN(AJ96-0.01,0)=ROUNDDOWN(AJ95-0.01,0),AK95,AK95+1))))</f>
        <v>0</v>
      </c>
      <c r="AL96">
        <f t="shared" si="61"/>
        <v>0</v>
      </c>
      <c r="AM96">
        <f t="shared" si="62"/>
        <v>0</v>
      </c>
      <c r="AN96">
        <f>IF(AM96&gt;AN$12,IF(AK96=AK95,AN95,MAX(AN$13:AN95)+1),0)</f>
        <v>0</v>
      </c>
      <c r="AP96">
        <f t="shared" si="56"/>
        <v>0</v>
      </c>
      <c r="AQ96">
        <f>IF(AP96&gt;0,IF(MAX(AQ97:AQ$214)+AP96&gt;ROUNDUP(MAX(AQ97:AQ$214),0),ROUNDUP(MAX(AQ97:AQ$214),0)+AP96,MAX(AQ97:AQ$214)+AP96),0)</f>
        <v>0</v>
      </c>
      <c r="AR96">
        <f t="shared" si="63"/>
        <v>0</v>
      </c>
      <c r="AS96">
        <f t="shared" si="57"/>
        <v>0</v>
      </c>
      <c r="AT96">
        <f t="shared" si="58"/>
        <v>10</v>
      </c>
      <c r="AV96">
        <v>15</v>
      </c>
      <c r="AW96">
        <f t="shared" si="67"/>
        <v>0</v>
      </c>
      <c r="AX96">
        <f t="shared" si="68"/>
        <v>0</v>
      </c>
      <c r="AY96" s="496">
        <f>IF(AND(AX96=AX$81,SUM(AY$82:AY95)=0,AW96=AZ$81,AX$81&lt;&gt;0),AV96,)</f>
        <v>0</v>
      </c>
      <c r="AZ96">
        <f>IF(AND(SUM(AZ$82:AZ95)=0,SUM($AY96:AY96)=0,$AX96&lt;=AY$117,$AX96&gt;0,$AW96&gt;-1),$AV96,0)</f>
        <v>0</v>
      </c>
      <c r="BA96">
        <f>IF(AND(SUM(BA$82:BA95)=0,SUM($AY96:AZ96)=0,$AX96&lt;=AZ$117,$AX96&gt;0,$AW96&gt;-1),$AV96,0)</f>
        <v>0</v>
      </c>
      <c r="BB96">
        <f>IF(AND(SUM(BB$82:BB95)=0,SUM($AY96:BA96)=0,$AX96&lt;=BA$117,$AX96&gt;0,$AW96&gt;-1),$AV96,0)</f>
        <v>0</v>
      </c>
      <c r="BC96">
        <f>IF(AND(SUM(BC$82:BC95)=0,SUM($AY96:BB96)=0,$AX96&lt;=BB$117,$AX96&gt;0,$AW96&gt;-1),$AV96,0)</f>
        <v>0</v>
      </c>
      <c r="BD96">
        <f>IF(AND(SUM(BD$82:BD95)=0,SUM($AY96:BC96)=0,$AX96&lt;=BC$117,$AX96&gt;0,$AW96&gt;-1),$AV96,0)</f>
        <v>0</v>
      </c>
      <c r="BE96">
        <f>IF(AND(SUM(BE$82:BE95)=0,SUM($AY96:BD96)=0,$AX96&lt;=BD$117,$AX96&gt;0,$AW96&gt;-1),$AV96,0)</f>
        <v>0</v>
      </c>
      <c r="BF96">
        <f>IF(AND(SUM(BF$82:BF95)=0,SUM($AY96:BE96)=0,$AX96&lt;=BE$117,$AX96&gt;0,$AW96&gt;-1),$AV96,0)</f>
        <v>0</v>
      </c>
      <c r="BG96">
        <f t="shared" si="65"/>
        <v>0</v>
      </c>
      <c r="BH96" s="494">
        <f t="shared" si="69"/>
        <v>0</v>
      </c>
      <c r="BI96">
        <f t="shared" si="70"/>
        <v>0</v>
      </c>
      <c r="BK96">
        <f>SUM(BK54:BK93)-BK95-AR1</f>
        <v>-160</v>
      </c>
      <c r="BL96" t="s">
        <v>1162</v>
      </c>
    </row>
    <row r="97" spans="1:66" x14ac:dyDescent="0.25">
      <c r="A97">
        <v>84</v>
      </c>
      <c r="B97" t="str">
        <f>_xlfn.XLOOKUP(A97,Order!R$12:R$859,Order!C$12:C$859,"")</f>
        <v/>
      </c>
      <c r="C97" t="str">
        <f>_xlfn.XLOOKUP(A97,Order!R$12:R$859,Order!S$12:S$859,"")</f>
        <v/>
      </c>
      <c r="D97" t="str">
        <f>_xlfn.XLOOKUP(A97,Order!R$12:R$859,Order!B$12:B$859,"")</f>
        <v/>
      </c>
      <c r="E97" t="str">
        <f>_xlfn.XLOOKUP(A97,Order!R$12:R$859,Order!P$12:P$859,"")</f>
        <v/>
      </c>
      <c r="F97" t="str">
        <f>_xlfn.XLOOKUP(A97,Order!R$12:R$859,Order!T$12:T$859,"")</f>
        <v/>
      </c>
      <c r="G97" t="str">
        <f>_xlfn.XLOOKUP(A97,Order!R$12:R$859,Order!U$12:U$859,"")</f>
        <v/>
      </c>
      <c r="H97" t="str">
        <f>_xlfn.XLOOKUP(A97,Order!R$12:R$859,Order!B$12:B$859,"")</f>
        <v/>
      </c>
      <c r="I97" t="str">
        <f>_xlfn.XLOOKUP(A97,Order!R$12:R$859,Order!V$12:V$859,"")</f>
        <v/>
      </c>
      <c r="J97" t="str">
        <f>IFERROR(RANK(F97,F$14:F$213,1)+COUNTIF(F$14:F97,F97)-1,"")</f>
        <v/>
      </c>
      <c r="L97" t="str">
        <f t="shared" si="66"/>
        <v/>
      </c>
      <c r="M97" t="str" cm="1">
        <f t="array" ref="M97">_xlfn.XLOOKUP(A97,J$14:J296,B$14:B296,"")</f>
        <v/>
      </c>
      <c r="N97" t="str" cm="1">
        <f t="array" ref="N97">_xlfn.XLOOKUP(A97,J$14:J296,C$14:C296,"")</f>
        <v/>
      </c>
      <c r="O97" t="str" cm="1">
        <f t="array" ref="O97">_xlfn.XLOOKUP(A97,J$14:J296,E$14:E296,"")</f>
        <v/>
      </c>
      <c r="P97" t="str" cm="1">
        <f t="array" ref="P97">_xlfn.XLOOKUP(A97,J$14:J296,G$14:G296,"")</f>
        <v/>
      </c>
      <c r="Q97" t="str" cm="1">
        <f t="array" ref="Q97">_xlfn.XLOOKUP(A97,J$14:J296,F$14:F296,"")</f>
        <v/>
      </c>
      <c r="R97" t="str" cm="1">
        <f t="array" ref="R97">_xlfn.XLOOKUP(A97,J$14:J296,I$14:I296,"")</f>
        <v/>
      </c>
      <c r="S97" t="str" cm="1">
        <f t="array" ref="S97">_xlfn.XLOOKUP(A97,J$14:J296,H$14:H296,"")</f>
        <v/>
      </c>
      <c r="T97" t="str" cm="1">
        <f t="array" ref="T97">VLOOKUP(ROW(84:84),L$14:S$163,8)</f>
        <v/>
      </c>
      <c r="U97" t="str" cm="1">
        <f t="array" ref="U97">VLOOKUP(ROW(84:84),L$14:M$163,2)</f>
        <v/>
      </c>
      <c r="V97" t="str" cm="1">
        <f t="array" ref="V97">VLOOKUP(ROW(84:84),L$14:O$163,4)</f>
        <v/>
      </c>
      <c r="W97" t="str" cm="1">
        <f t="array" ref="W97">VLOOKUP(ROW(84:84),L$14:Q$163,6)</f>
        <v/>
      </c>
      <c r="X97" cm="1">
        <f t="array" ref="X97">IFERROR(VLOOKUP(ROW(84:84),L$14:P$213,5)+0,0)</f>
        <v>0</v>
      </c>
      <c r="Y97" t="str" cm="1">
        <f t="array" ref="Y97">VLOOKUP(ROW(84:84),L$14:R$163,7)</f>
        <v/>
      </c>
      <c r="Z97">
        <f>IF(Y97&lt;-2,X97+MAX(Z$14:Z96),0)</f>
        <v>0</v>
      </c>
      <c r="AA97">
        <f>IFERROR(IF(AND(SUM(AA98:AA$214)+X97&lt;=Z$10,W97&lt;=Z$12,Z97=0),X97,0),0)</f>
        <v>0</v>
      </c>
      <c r="AB97">
        <f>IFERROR(IF(AND(W97&lt;=Z$12+10,AB$12-X97&gt;=0,SUM(Z97:AA97)=0,SUM(AB$14:AB96)+X97&lt;AB$12),X97,0),0)</f>
        <v>0</v>
      </c>
      <c r="AD97">
        <f>IF(AND(Y97=-2,SUM(Z97:AB97)=0),X97+MAX(AD$14:AD96),0)</f>
        <v>0</v>
      </c>
      <c r="AE97">
        <f>IFERROR(IF(AND(SUM(AE98:AE$214)+X97&lt;=AD$10,W97&lt;=AD$12,SUM(Z97:AD97)=0),X97,0),0)</f>
        <v>0</v>
      </c>
      <c r="AF97">
        <f>IFERROR(IF(AND(W97&lt;=AD$12+10,AF$12-X97&gt;=0,SUM(Z97:AE97)=0,SUM(AF$14:AF96)+X97&lt;AF$12),X97,0),0)</f>
        <v>0</v>
      </c>
      <c r="AG97">
        <f t="shared" si="55"/>
        <v>0</v>
      </c>
      <c r="AI97">
        <f t="shared" si="60"/>
        <v>0</v>
      </c>
      <c r="AJ97" s="493">
        <f t="shared" si="64"/>
        <v>0</v>
      </c>
      <c r="AK97">
        <f>IF(AJ97=0,0,IF(AJ96=0,MAX(AK$13:AK96)+1,IF(W97&lt;&gt;W96,MAX(AK$14:AK96)+1,IF(ROUNDDOWN(AJ97-0.01,0)=ROUNDDOWN(AJ96-0.01,0),AK96,AK96+1))))</f>
        <v>0</v>
      </c>
      <c r="AL97">
        <f t="shared" si="61"/>
        <v>0</v>
      </c>
      <c r="AM97">
        <f t="shared" si="62"/>
        <v>0</v>
      </c>
      <c r="AN97">
        <f>IF(AM97&gt;AN$12,IF(AK97=AK96,AN96,MAX(AN$13:AN96)+1),0)</f>
        <v>0</v>
      </c>
      <c r="AP97">
        <f t="shared" si="56"/>
        <v>0</v>
      </c>
      <c r="AQ97">
        <f>IF(AP97&gt;0,IF(MAX(AQ98:AQ$214)+AP97&gt;ROUNDUP(MAX(AQ98:AQ$214),0),ROUNDUP(MAX(AQ98:AQ$214),0)+AP97,MAX(AQ98:AQ$214)+AP97),0)</f>
        <v>0</v>
      </c>
      <c r="AR97">
        <f t="shared" si="63"/>
        <v>0</v>
      </c>
      <c r="AS97">
        <f t="shared" si="57"/>
        <v>0</v>
      </c>
      <c r="AT97">
        <f t="shared" si="58"/>
        <v>10</v>
      </c>
      <c r="AV97">
        <v>16</v>
      </c>
      <c r="AW97">
        <f t="shared" si="67"/>
        <v>0</v>
      </c>
      <c r="AX97">
        <f t="shared" si="68"/>
        <v>0</v>
      </c>
      <c r="AY97" s="496">
        <f>IF(AND(AX97=AX$81,SUM(AY$82:AY96)=0,AW97=AZ$81,AX$81&lt;&gt;0),AV97,)</f>
        <v>0</v>
      </c>
      <c r="AZ97">
        <f>IF(AND(SUM(AZ$82:AZ96)=0,SUM($AY97:AY97)=0,$AX97&lt;=AY$117,$AX97&gt;0,$AW97&gt;-1),$AV97,0)</f>
        <v>0</v>
      </c>
      <c r="BA97">
        <f>IF(AND(SUM(BA$82:BA96)=0,SUM($AY97:AZ97)=0,$AX97&lt;=AZ$117,$AX97&gt;0,$AW97&gt;-1),$AV97,0)</f>
        <v>0</v>
      </c>
      <c r="BB97">
        <f>IF(AND(SUM(BB$82:BB96)=0,SUM($AY97:BA97)=0,$AX97&lt;=BA$117,$AX97&gt;0,$AW97&gt;-1),$AV97,0)</f>
        <v>0</v>
      </c>
      <c r="BC97">
        <f>IF(AND(SUM(BC$82:BC96)=0,SUM($AY97:BB97)=0,$AX97&lt;=BB$117,$AX97&gt;0,$AW97&gt;-1),$AV97,0)</f>
        <v>0</v>
      </c>
      <c r="BD97">
        <f>IF(AND(SUM(BD$82:BD96)=0,SUM($AY97:BC97)=0,$AX97&lt;=BC$117,$AX97&gt;0,$AW97&gt;-1),$AV97,0)</f>
        <v>0</v>
      </c>
      <c r="BE97">
        <f>IF(AND(SUM(BE$82:BE96)=0,SUM($AY97:BD97)=0,$AX97&lt;=BD$117,$AX97&gt;0,$AW97&gt;-1),$AV97,0)</f>
        <v>0</v>
      </c>
      <c r="BF97">
        <f>IF(AND(SUM(BF$82:BF96)=0,SUM($AY97:BE97)=0,$AX97&lt;=BE$117,$AX97&gt;0,$AW97&gt;-1),$AV97,0)</f>
        <v>0</v>
      </c>
      <c r="BG97">
        <f t="shared" si="65"/>
        <v>0</v>
      </c>
      <c r="BH97" s="494">
        <f t="shared" si="69"/>
        <v>0</v>
      </c>
      <c r="BI97">
        <f t="shared" si="70"/>
        <v>0</v>
      </c>
      <c r="BK97">
        <f>LARGE(BK54:BK93,2)</f>
        <v>0</v>
      </c>
      <c r="BL97" t="s">
        <v>1163</v>
      </c>
    </row>
    <row r="98" spans="1:66" x14ac:dyDescent="0.25">
      <c r="A98">
        <v>85</v>
      </c>
      <c r="B98" t="str">
        <f>_xlfn.XLOOKUP(A98,Order!R$12:R$859,Order!C$12:C$859,"")</f>
        <v/>
      </c>
      <c r="C98" t="str">
        <f>_xlfn.XLOOKUP(A98,Order!R$12:R$859,Order!S$12:S$859,"")</f>
        <v/>
      </c>
      <c r="D98" t="str">
        <f>_xlfn.XLOOKUP(A98,Order!R$12:R$859,Order!B$12:B$859,"")</f>
        <v/>
      </c>
      <c r="E98" t="str">
        <f>_xlfn.XLOOKUP(A98,Order!R$12:R$859,Order!P$12:P$859,"")</f>
        <v/>
      </c>
      <c r="F98" t="str">
        <f>_xlfn.XLOOKUP(A98,Order!R$12:R$859,Order!T$12:T$859,"")</f>
        <v/>
      </c>
      <c r="G98" t="str">
        <f>_xlfn.XLOOKUP(A98,Order!R$12:R$859,Order!U$12:U$859,"")</f>
        <v/>
      </c>
      <c r="H98" t="str">
        <f>_xlfn.XLOOKUP(A98,Order!R$12:R$859,Order!B$12:B$859,"")</f>
        <v/>
      </c>
      <c r="I98" t="str">
        <f>_xlfn.XLOOKUP(A98,Order!R$12:R$859,Order!V$12:V$859,"")</f>
        <v/>
      </c>
      <c r="J98" t="str">
        <f>IFERROR(RANK(F98,F$14:F$213,1)+COUNTIF(F$14:F98,F98)-1,"")</f>
        <v/>
      </c>
      <c r="L98" t="str">
        <f t="shared" si="66"/>
        <v/>
      </c>
      <c r="M98" t="str" cm="1">
        <f t="array" ref="M98">_xlfn.XLOOKUP(A98,J$14:J297,B$14:B297,"")</f>
        <v/>
      </c>
      <c r="N98" t="str" cm="1">
        <f t="array" ref="N98">_xlfn.XLOOKUP(A98,J$14:J297,C$14:C297,"")</f>
        <v/>
      </c>
      <c r="O98" t="str" cm="1">
        <f t="array" ref="O98">_xlfn.XLOOKUP(A98,J$14:J297,E$14:E297,"")</f>
        <v/>
      </c>
      <c r="P98" t="str" cm="1">
        <f t="array" ref="P98">_xlfn.XLOOKUP(A98,J$14:J297,G$14:G297,"")</f>
        <v/>
      </c>
      <c r="Q98" t="str" cm="1">
        <f t="array" ref="Q98">_xlfn.XLOOKUP(A98,J$14:J297,F$14:F297,"")</f>
        <v/>
      </c>
      <c r="R98" t="str" cm="1">
        <f t="array" ref="R98">_xlfn.XLOOKUP(A98,J$14:J297,I$14:I297,"")</f>
        <v/>
      </c>
      <c r="S98" t="str" cm="1">
        <f t="array" ref="S98">_xlfn.XLOOKUP(A98,J$14:J297,H$14:H297,"")</f>
        <v/>
      </c>
      <c r="T98" t="str" cm="1">
        <f t="array" ref="T98">VLOOKUP(ROW(85:85),L$14:S$163,8)</f>
        <v/>
      </c>
      <c r="U98" t="str" cm="1">
        <f t="array" ref="U98">VLOOKUP(ROW(85:85),L$14:M$163,2)</f>
        <v/>
      </c>
      <c r="V98" t="str" cm="1">
        <f t="array" ref="V98">VLOOKUP(ROW(85:85),L$14:O$163,4)</f>
        <v/>
      </c>
      <c r="W98" t="str" cm="1">
        <f t="array" ref="W98">VLOOKUP(ROW(85:85),L$14:Q$163,6)</f>
        <v/>
      </c>
      <c r="X98" cm="1">
        <f t="array" ref="X98">IFERROR(VLOOKUP(ROW(85:85),L$14:P$213,5)+0,0)</f>
        <v>0</v>
      </c>
      <c r="Y98" t="str" cm="1">
        <f t="array" ref="Y98">VLOOKUP(ROW(85:85),L$14:R$163,7)</f>
        <v/>
      </c>
      <c r="Z98">
        <f>IF(Y98&lt;-2,X98+MAX(Z$14:Z97),0)</f>
        <v>0</v>
      </c>
      <c r="AA98">
        <f>IFERROR(IF(AND(SUM(AA99:AA$214)+X98&lt;=Z$10,W98&lt;=Z$12,Z98=0),X98,0),0)</f>
        <v>0</v>
      </c>
      <c r="AB98">
        <f>IFERROR(IF(AND(W98&lt;=Z$12+10,AB$12-X98&gt;=0,SUM(Z98:AA98)=0,SUM(AB$14:AB97)+X98&lt;AB$12),X98,0),0)</f>
        <v>0</v>
      </c>
      <c r="AD98">
        <f>IF(AND(Y98=-2,SUM(Z98:AB98)=0),X98+MAX(AD$14:AD97),0)</f>
        <v>0</v>
      </c>
      <c r="AE98">
        <f>IFERROR(IF(AND(SUM(AE99:AE$214)+X98&lt;=AD$10,W98&lt;=AD$12,SUM(Z98:AD98)=0),X98,0),0)</f>
        <v>0</v>
      </c>
      <c r="AF98">
        <f>IFERROR(IF(AND(W98&lt;=AD$12+10,AF$12-X98&gt;=0,SUM(Z98:AE98)=0,SUM(AF$14:AF97)+X98&lt;AF$12),X98,0),0)</f>
        <v>0</v>
      </c>
      <c r="AG98">
        <f t="shared" si="55"/>
        <v>0</v>
      </c>
      <c r="AI98">
        <f t="shared" si="60"/>
        <v>0</v>
      </c>
      <c r="AJ98" s="493">
        <f t="shared" si="64"/>
        <v>0</v>
      </c>
      <c r="AK98">
        <f>IF(AJ98=0,0,IF(AJ97=0,MAX(AK$13:AK97)+1,IF(W98&lt;&gt;W97,MAX(AK$14:AK97)+1,IF(ROUNDDOWN(AJ98-0.01,0)=ROUNDDOWN(AJ97-0.01,0),AK97,AK97+1))))</f>
        <v>0</v>
      </c>
      <c r="AL98">
        <f t="shared" si="61"/>
        <v>0</v>
      </c>
      <c r="AM98">
        <f t="shared" si="62"/>
        <v>0</v>
      </c>
      <c r="AN98">
        <f>IF(AM98&gt;AN$12,IF(AK98=AK97,AN97,MAX(AN$13:AN97)+1),0)</f>
        <v>0</v>
      </c>
      <c r="AP98">
        <f t="shared" si="56"/>
        <v>0</v>
      </c>
      <c r="AQ98">
        <f>IF(AP98&gt;0,IF(MAX(AQ99:AQ$214)+AP98&gt;ROUNDUP(MAX(AQ99:AQ$214),0),ROUNDUP(MAX(AQ99:AQ$214),0)+AP98,MAX(AQ99:AQ$214)+AP98),0)</f>
        <v>0</v>
      </c>
      <c r="AR98">
        <f t="shared" si="63"/>
        <v>0</v>
      </c>
      <c r="AS98">
        <f t="shared" si="57"/>
        <v>0</v>
      </c>
      <c r="AT98">
        <f t="shared" si="58"/>
        <v>10</v>
      </c>
      <c r="AV98">
        <v>17</v>
      </c>
      <c r="AW98">
        <f t="shared" si="67"/>
        <v>0</v>
      </c>
      <c r="AX98">
        <f t="shared" si="68"/>
        <v>0</v>
      </c>
      <c r="AY98" s="496">
        <f>IF(AND(AX98=AX$81,SUM(AY$82:AY97)=0,AW98=AZ$81,AX$81&lt;&gt;0),AV98,)</f>
        <v>0</v>
      </c>
      <c r="AZ98">
        <f>IF(AND(SUM(AZ$82:AZ97)=0,SUM($AY98:AY98)=0,$AX98&lt;=AY$117,$AX98&gt;0,$AW98&gt;-1),$AV98,0)</f>
        <v>0</v>
      </c>
      <c r="BA98">
        <f>IF(AND(SUM(BA$82:BA97)=0,SUM($AY98:AZ98)=0,$AX98&lt;=AZ$117,$AX98&gt;0,$AW98&gt;-1),$AV98,0)</f>
        <v>0</v>
      </c>
      <c r="BB98">
        <f>IF(AND(SUM(BB$82:BB97)=0,SUM($AY98:BA98)=0,$AX98&lt;=BA$117,$AX98&gt;0,$AW98&gt;-1),$AV98,0)</f>
        <v>0</v>
      </c>
      <c r="BC98">
        <f>IF(AND(SUM(BC$82:BC97)=0,SUM($AY98:BB98)=0,$AX98&lt;=BB$117,$AX98&gt;0,$AW98&gt;-1),$AV98,0)</f>
        <v>0</v>
      </c>
      <c r="BD98">
        <f>IF(AND(SUM(BD$82:BD97)=0,SUM($AY98:BC98)=0,$AX98&lt;=BC$117,$AX98&gt;0,$AW98&gt;-1),$AV98,0)</f>
        <v>0</v>
      </c>
      <c r="BE98">
        <f>IF(AND(SUM(BE$82:BE97)=0,SUM($AY98:BD98)=0,$AX98&lt;=BD$117,$AX98&gt;0,$AW98&gt;-1),$AV98,0)</f>
        <v>0</v>
      </c>
      <c r="BF98">
        <f>IF(AND(SUM(BF$82:BF97)=0,SUM($AY98:BE98)=0,$AX98&lt;=BE$117,$AX98&gt;0,$AW98&gt;-1),$AV98,0)</f>
        <v>0</v>
      </c>
      <c r="BG98">
        <f t="shared" si="65"/>
        <v>0</v>
      </c>
      <c r="BH98" s="494">
        <f t="shared" si="69"/>
        <v>0</v>
      </c>
      <c r="BI98">
        <f t="shared" si="70"/>
        <v>0</v>
      </c>
      <c r="BK98">
        <f>BK96-BK97-AR1</f>
        <v>-320</v>
      </c>
      <c r="BL98" t="s">
        <v>1162</v>
      </c>
    </row>
    <row r="99" spans="1:66" x14ac:dyDescent="0.25">
      <c r="A99">
        <v>86</v>
      </c>
      <c r="B99" t="str">
        <f>_xlfn.XLOOKUP(A99,Order!R$12:R$859,Order!C$12:C$859,"")</f>
        <v/>
      </c>
      <c r="C99" t="str">
        <f>_xlfn.XLOOKUP(A99,Order!R$12:R$859,Order!S$12:S$859,"")</f>
        <v/>
      </c>
      <c r="D99" t="str">
        <f>_xlfn.XLOOKUP(A99,Order!R$12:R$859,Order!B$12:B$859,"")</f>
        <v/>
      </c>
      <c r="E99" t="str">
        <f>_xlfn.XLOOKUP(A99,Order!R$12:R$859,Order!P$12:P$859,"")</f>
        <v/>
      </c>
      <c r="F99" t="str">
        <f>_xlfn.XLOOKUP(A99,Order!R$12:R$859,Order!T$12:T$859,"")</f>
        <v/>
      </c>
      <c r="G99" t="str">
        <f>_xlfn.XLOOKUP(A99,Order!R$12:R$859,Order!U$12:U$859,"")</f>
        <v/>
      </c>
      <c r="H99" t="str">
        <f>_xlfn.XLOOKUP(A99,Order!R$12:R$859,Order!B$12:B$859,"")</f>
        <v/>
      </c>
      <c r="I99" t="str">
        <f>_xlfn.XLOOKUP(A99,Order!R$12:R$859,Order!V$12:V$859,"")</f>
        <v/>
      </c>
      <c r="J99" t="str">
        <f>IFERROR(RANK(F99,F$14:F$213,1)+COUNTIF(F$14:F99,F99)-1,"")</f>
        <v/>
      </c>
      <c r="L99" t="str">
        <f t="shared" si="66"/>
        <v/>
      </c>
      <c r="M99" t="str" cm="1">
        <f t="array" ref="M99">_xlfn.XLOOKUP(A99,J$14:J298,B$14:B298,"")</f>
        <v/>
      </c>
      <c r="N99" t="str" cm="1">
        <f t="array" ref="N99">_xlfn.XLOOKUP(A99,J$14:J298,C$14:C298,"")</f>
        <v/>
      </c>
      <c r="O99" t="str" cm="1">
        <f t="array" ref="O99">_xlfn.XLOOKUP(A99,J$14:J298,E$14:E298,"")</f>
        <v/>
      </c>
      <c r="P99" t="str" cm="1">
        <f t="array" ref="P99">_xlfn.XLOOKUP(A99,J$14:J298,G$14:G298,"")</f>
        <v/>
      </c>
      <c r="Q99" t="str" cm="1">
        <f t="array" ref="Q99">_xlfn.XLOOKUP(A99,J$14:J298,F$14:F298,"")</f>
        <v/>
      </c>
      <c r="R99" t="str" cm="1">
        <f t="array" ref="R99">_xlfn.XLOOKUP(A99,J$14:J298,I$14:I298,"")</f>
        <v/>
      </c>
      <c r="S99" t="str" cm="1">
        <f t="array" ref="S99">_xlfn.XLOOKUP(A99,J$14:J298,H$14:H298,"")</f>
        <v/>
      </c>
      <c r="T99" t="str" cm="1">
        <f t="array" ref="T99">VLOOKUP(ROW(86:86),L$14:S$163,8)</f>
        <v/>
      </c>
      <c r="U99" t="str" cm="1">
        <f t="array" ref="U99">VLOOKUP(ROW(86:86),L$14:M$163,2)</f>
        <v/>
      </c>
      <c r="V99" t="str" cm="1">
        <f t="array" ref="V99">VLOOKUP(ROW(86:86),L$14:O$163,4)</f>
        <v/>
      </c>
      <c r="W99" t="str" cm="1">
        <f t="array" ref="W99">VLOOKUP(ROW(86:86),L$14:Q$163,6)</f>
        <v/>
      </c>
      <c r="X99" cm="1">
        <f t="array" ref="X99">IFERROR(VLOOKUP(ROW(86:86),L$14:P$213,5)+0,0)</f>
        <v>0</v>
      </c>
      <c r="Y99" t="str" cm="1">
        <f t="array" ref="Y99">VLOOKUP(ROW(86:86),L$14:R$163,7)</f>
        <v/>
      </c>
      <c r="Z99">
        <f>IF(Y99&lt;-2,X99+MAX(Z$14:Z98),0)</f>
        <v>0</v>
      </c>
      <c r="AA99">
        <f>IFERROR(IF(AND(SUM(AA100:AA$214)+X99&lt;=Z$10,W99&lt;=Z$12,Z99=0),X99,0),0)</f>
        <v>0</v>
      </c>
      <c r="AB99">
        <f>IFERROR(IF(AND(W99&lt;=Z$12+10,AB$12-X99&gt;=0,SUM(Z99:AA99)=0,SUM(AB$14:AB98)+X99&lt;AB$12),X99,0),0)</f>
        <v>0</v>
      </c>
      <c r="AD99">
        <f>IF(AND(Y99=-2,SUM(Z99:AB99)=0),X99+MAX(AD$14:AD98),0)</f>
        <v>0</v>
      </c>
      <c r="AE99">
        <f>IFERROR(IF(AND(SUM(AE100:AE$214)+X99&lt;=AD$10,W99&lt;=AD$12,SUM(Z99:AD99)=0),X99,0),0)</f>
        <v>0</v>
      </c>
      <c r="AF99">
        <f>IFERROR(IF(AND(W99&lt;=AD$12+10,AF$12-X99&gt;=0,SUM(Z99:AE99)=0,SUM(AF$14:AF98)+X99&lt;AF$12),X99,0),0)</f>
        <v>0</v>
      </c>
      <c r="AG99">
        <f t="shared" si="55"/>
        <v>0</v>
      </c>
      <c r="AI99">
        <f t="shared" si="60"/>
        <v>0</v>
      </c>
      <c r="AJ99" s="493">
        <f t="shared" si="64"/>
        <v>0</v>
      </c>
      <c r="AK99">
        <f>IF(AJ99=0,0,IF(AJ98=0,MAX(AK$13:AK98)+1,IF(W99&lt;&gt;W98,MAX(AK$14:AK98)+1,IF(ROUNDDOWN(AJ99-0.01,0)=ROUNDDOWN(AJ98-0.01,0),AK98,AK98+1))))</f>
        <v>0</v>
      </c>
      <c r="AL99">
        <f t="shared" si="61"/>
        <v>0</v>
      </c>
      <c r="AM99">
        <f t="shared" si="62"/>
        <v>0</v>
      </c>
      <c r="AN99">
        <f>IF(AM99&gt;AN$12,IF(AK99=AK98,AN98,MAX(AN$13:AN98)+1),0)</f>
        <v>0</v>
      </c>
      <c r="AP99">
        <f t="shared" si="56"/>
        <v>0</v>
      </c>
      <c r="AQ99">
        <f>IF(AP99&gt;0,IF(MAX(AQ100:AQ$214)+AP99&gt;ROUNDUP(MAX(AQ100:AQ$214),0),ROUNDUP(MAX(AQ100:AQ$214),0)+AP99,MAX(AQ100:AQ$214)+AP99),0)</f>
        <v>0</v>
      </c>
      <c r="AR99">
        <f t="shared" si="63"/>
        <v>0</v>
      </c>
      <c r="AS99">
        <f t="shared" si="57"/>
        <v>0</v>
      </c>
      <c r="AT99">
        <f t="shared" si="58"/>
        <v>10</v>
      </c>
      <c r="AV99">
        <v>18</v>
      </c>
      <c r="AW99">
        <f t="shared" si="67"/>
        <v>0</v>
      </c>
      <c r="AX99">
        <f t="shared" si="68"/>
        <v>0</v>
      </c>
      <c r="AY99" s="496">
        <f>IF(AND(AX99=AX$81,SUM(AY$82:AY98)=0,AW99=AZ$81,AX$81&lt;&gt;0),AV99,)</f>
        <v>0</v>
      </c>
      <c r="AZ99">
        <f>IF(AND(SUM(AZ$82:AZ98)=0,SUM($AY99:AY99)=0,$AX99&lt;=AY$117,$AX99&gt;0,$AW99&gt;-1),$AV99,0)</f>
        <v>0</v>
      </c>
      <c r="BA99">
        <f>IF(AND(SUM(BA$82:BA98)=0,SUM($AY99:AZ99)=0,$AX99&lt;=AZ$117,$AX99&gt;0,$AW99&gt;-1),$AV99,0)</f>
        <v>0</v>
      </c>
      <c r="BB99">
        <f>IF(AND(SUM(BB$82:BB98)=0,SUM($AY99:BA99)=0,$AX99&lt;=BA$117,$AX99&gt;0,$AW99&gt;-1),$AV99,0)</f>
        <v>0</v>
      </c>
      <c r="BC99">
        <f>IF(AND(SUM(BC$82:BC98)=0,SUM($AY99:BB99)=0,$AX99&lt;=BB$117,$AX99&gt;0,$AW99&gt;-1),$AV99,0)</f>
        <v>0</v>
      </c>
      <c r="BD99">
        <f>IF(AND(SUM(BD$82:BD98)=0,SUM($AY99:BC99)=0,$AX99&lt;=BC$117,$AX99&gt;0,$AW99&gt;-1),$AV99,0)</f>
        <v>0</v>
      </c>
      <c r="BE99">
        <f>IF(AND(SUM(BE$82:BE98)=0,SUM($AY99:BD99)=0,$AX99&lt;=BD$117,$AX99&gt;0,$AW99&gt;-1),$AV99,0)</f>
        <v>0</v>
      </c>
      <c r="BF99">
        <f>IF(AND(SUM(BF$82:BF98)=0,SUM($AY99:BE99)=0,$AX99&lt;=BE$117,$AX99&gt;0,$AW99&gt;-1),$AV99,0)</f>
        <v>0</v>
      </c>
      <c r="BG99">
        <f t="shared" si="65"/>
        <v>0</v>
      </c>
      <c r="BH99" s="494">
        <f t="shared" si="69"/>
        <v>0</v>
      </c>
      <c r="BI99">
        <f t="shared" si="70"/>
        <v>0</v>
      </c>
      <c r="BK99">
        <f>LARGE(BK54:BK93,3)</f>
        <v>0</v>
      </c>
      <c r="BL99" t="s">
        <v>1164</v>
      </c>
    </row>
    <row r="100" spans="1:66" x14ac:dyDescent="0.25">
      <c r="A100">
        <v>87</v>
      </c>
      <c r="B100" t="str">
        <f>_xlfn.XLOOKUP(A100,Order!R$12:R$859,Order!C$12:C$859,"")</f>
        <v/>
      </c>
      <c r="C100" t="str">
        <f>_xlfn.XLOOKUP(A100,Order!R$12:R$859,Order!S$12:S$859,"")</f>
        <v/>
      </c>
      <c r="D100" t="str">
        <f>_xlfn.XLOOKUP(A100,Order!R$12:R$859,Order!B$12:B$859,"")</f>
        <v/>
      </c>
      <c r="E100" t="str">
        <f>_xlfn.XLOOKUP(A100,Order!R$12:R$859,Order!P$12:P$859,"")</f>
        <v/>
      </c>
      <c r="F100" t="str">
        <f>_xlfn.XLOOKUP(A100,Order!R$12:R$859,Order!T$12:T$859,"")</f>
        <v/>
      </c>
      <c r="G100" t="str">
        <f>_xlfn.XLOOKUP(A100,Order!R$12:R$859,Order!U$12:U$859,"")</f>
        <v/>
      </c>
      <c r="H100" t="str">
        <f>_xlfn.XLOOKUP(A100,Order!R$12:R$859,Order!B$12:B$859,"")</f>
        <v/>
      </c>
      <c r="I100" t="str">
        <f>_xlfn.XLOOKUP(A100,Order!R$12:R$859,Order!V$12:V$859,"")</f>
        <v/>
      </c>
      <c r="J100" t="str">
        <f>IFERROR(RANK(F100,F$14:F$213,1)+COUNTIF(F$14:F100,F100)-1,"")</f>
        <v/>
      </c>
      <c r="L100" t="str">
        <f t="shared" si="66"/>
        <v/>
      </c>
      <c r="M100" t="str" cm="1">
        <f t="array" ref="M100">_xlfn.XLOOKUP(A100,J$14:J299,B$14:B299,"")</f>
        <v/>
      </c>
      <c r="N100" t="str" cm="1">
        <f t="array" ref="N100">_xlfn.XLOOKUP(A100,J$14:J299,C$14:C299,"")</f>
        <v/>
      </c>
      <c r="O100" t="str" cm="1">
        <f t="array" ref="O100">_xlfn.XLOOKUP(A100,J$14:J299,E$14:E299,"")</f>
        <v/>
      </c>
      <c r="P100" t="str" cm="1">
        <f t="array" ref="P100">_xlfn.XLOOKUP(A100,J$14:J299,G$14:G299,"")</f>
        <v/>
      </c>
      <c r="Q100" t="str" cm="1">
        <f t="array" ref="Q100">_xlfn.XLOOKUP(A100,J$14:J299,F$14:F299,"")</f>
        <v/>
      </c>
      <c r="R100" t="str" cm="1">
        <f t="array" ref="R100">_xlfn.XLOOKUP(A100,J$14:J299,I$14:I299,"")</f>
        <v/>
      </c>
      <c r="S100" t="str" cm="1">
        <f t="array" ref="S100">_xlfn.XLOOKUP(A100,J$14:J299,H$14:H299,"")</f>
        <v/>
      </c>
      <c r="T100" t="str" cm="1">
        <f t="array" ref="T100">VLOOKUP(ROW(87:87),L$14:S$163,8)</f>
        <v/>
      </c>
      <c r="U100" t="str" cm="1">
        <f t="array" ref="U100">VLOOKUP(ROW(87:87),L$14:M$163,2)</f>
        <v/>
      </c>
      <c r="V100" t="str" cm="1">
        <f t="array" ref="V100">VLOOKUP(ROW(87:87),L$14:O$163,4)</f>
        <v/>
      </c>
      <c r="W100" t="str" cm="1">
        <f t="array" ref="W100">VLOOKUP(ROW(87:87),L$14:Q$163,6)</f>
        <v/>
      </c>
      <c r="X100" cm="1">
        <f t="array" ref="X100">IFERROR(VLOOKUP(ROW(87:87),L$14:P$213,5)+0,0)</f>
        <v>0</v>
      </c>
      <c r="Y100" t="str" cm="1">
        <f t="array" ref="Y100">VLOOKUP(ROW(87:87),L$14:R$163,7)</f>
        <v/>
      </c>
      <c r="Z100">
        <f>IF(Y100&lt;-2,X100+MAX(Z$14:Z99),0)</f>
        <v>0</v>
      </c>
      <c r="AA100">
        <f>IFERROR(IF(AND(SUM(AA101:AA$214)+X100&lt;=Z$10,W100&lt;=Z$12,Z100=0),X100,0),0)</f>
        <v>0</v>
      </c>
      <c r="AB100">
        <f>IFERROR(IF(AND(W100&lt;=Z$12+10,AB$12-X100&gt;=0,SUM(Z100:AA100)=0,SUM(AB$14:AB99)+X100&lt;AB$12),X100,0),0)</f>
        <v>0</v>
      </c>
      <c r="AD100">
        <f>IF(AND(Y100=-2,SUM(Z100:AB100)=0),X100+MAX(AD$14:AD99),0)</f>
        <v>0</v>
      </c>
      <c r="AE100">
        <f>IFERROR(IF(AND(SUM(AE101:AE$214)+X100&lt;=AD$10,W100&lt;=AD$12,SUM(Z100:AD100)=0),X100,0),0)</f>
        <v>0</v>
      </c>
      <c r="AF100">
        <f>IFERROR(IF(AND(W100&lt;=AD$12+10,AF$12-X100&gt;=0,SUM(Z100:AE100)=0,SUM(AF$14:AF99)+X100&lt;AF$12),X100,0),0)</f>
        <v>0</v>
      </c>
      <c r="AG100">
        <f t="shared" si="55"/>
        <v>0</v>
      </c>
      <c r="AI100">
        <f t="shared" si="60"/>
        <v>0</v>
      </c>
      <c r="AJ100" s="493">
        <f t="shared" si="64"/>
        <v>0</v>
      </c>
      <c r="AK100">
        <f>IF(AJ100=0,0,IF(AJ99=0,MAX(AK$13:AK99)+1,IF(W100&lt;&gt;W99,MAX(AK$14:AK99)+1,IF(ROUNDDOWN(AJ100-0.01,0)=ROUNDDOWN(AJ99-0.01,0),AK99,AK99+1))))</f>
        <v>0</v>
      </c>
      <c r="AL100">
        <f t="shared" si="61"/>
        <v>0</v>
      </c>
      <c r="AM100">
        <f t="shared" si="62"/>
        <v>0</v>
      </c>
      <c r="AN100">
        <f>IF(AM100&gt;AN$12,IF(AK100=AK99,AN99,MAX(AN$13:AN99)+1),0)</f>
        <v>0</v>
      </c>
      <c r="AP100">
        <f t="shared" si="56"/>
        <v>0</v>
      </c>
      <c r="AQ100">
        <f>IF(AP100&gt;0,IF(MAX(AQ101:AQ$214)+AP100&gt;ROUNDUP(MAX(AQ101:AQ$214),0),ROUNDUP(MAX(AQ101:AQ$214),0)+AP100,MAX(AQ101:AQ$214)+AP100),0)</f>
        <v>0</v>
      </c>
      <c r="AR100">
        <f t="shared" si="63"/>
        <v>0</v>
      </c>
      <c r="AS100">
        <f t="shared" si="57"/>
        <v>0</v>
      </c>
      <c r="AT100">
        <f t="shared" si="58"/>
        <v>10</v>
      </c>
      <c r="AV100">
        <v>19</v>
      </c>
      <c r="AW100">
        <f t="shared" si="67"/>
        <v>0</v>
      </c>
      <c r="AX100">
        <f t="shared" si="68"/>
        <v>0</v>
      </c>
      <c r="AY100" s="496">
        <f>IF(AND(AX100=AX$81,SUM(AY$82:AY99)=0,AW100=AZ$81,AX$81&lt;&gt;0),AV100,)</f>
        <v>0</v>
      </c>
      <c r="AZ100">
        <f>IF(AND(SUM(AZ$82:AZ99)=0,SUM($AY100:AY100)=0,$AX100&lt;=AY$117,$AX100&gt;0,$AW100&gt;-1),$AV100,0)</f>
        <v>0</v>
      </c>
      <c r="BA100">
        <f>IF(AND(SUM(BA$82:BA99)=0,SUM($AY100:AZ100)=0,$AX100&lt;=AZ$117,$AX100&gt;0,$AW100&gt;-1),$AV100,0)</f>
        <v>0</v>
      </c>
      <c r="BB100">
        <f>IF(AND(SUM(BB$82:BB99)=0,SUM($AY100:BA100)=0,$AX100&lt;=BA$117,$AX100&gt;0,$AW100&gt;-1),$AV100,0)</f>
        <v>0</v>
      </c>
      <c r="BC100">
        <f>IF(AND(SUM(BC$82:BC99)=0,SUM($AY100:BB100)=0,$AX100&lt;=BB$117,$AX100&gt;0,$AW100&gt;-1),$AV100,0)</f>
        <v>0</v>
      </c>
      <c r="BD100">
        <f>IF(AND(SUM(BD$82:BD99)=0,SUM($AY100:BC100)=0,$AX100&lt;=BC$117,$AX100&gt;0,$AW100&gt;-1),$AV100,0)</f>
        <v>0</v>
      </c>
      <c r="BE100">
        <f>IF(AND(SUM(BE$82:BE99)=0,SUM($AY100:BD100)=0,$AX100&lt;=BD$117,$AX100&gt;0,$AW100&gt;-1),$AV100,0)</f>
        <v>0</v>
      </c>
      <c r="BF100">
        <f>IF(AND(SUM(BF$82:BF99)=0,SUM($AY100:BE100)=0,$AX100&lt;=BE$117,$AX100&gt;0,$AW100&gt;-1),$AV100,0)</f>
        <v>0</v>
      </c>
      <c r="BG100">
        <f t="shared" si="65"/>
        <v>0</v>
      </c>
      <c r="BH100" s="494">
        <f t="shared" si="69"/>
        <v>0</v>
      </c>
      <c r="BI100">
        <f t="shared" si="70"/>
        <v>0</v>
      </c>
      <c r="BK100">
        <f>BK98-BK99-AR1</f>
        <v>-480</v>
      </c>
      <c r="BL100" t="s">
        <v>1162</v>
      </c>
    </row>
    <row r="101" spans="1:66" x14ac:dyDescent="0.25">
      <c r="A101">
        <v>88</v>
      </c>
      <c r="B101" t="str">
        <f>_xlfn.XLOOKUP(A101,Order!R$12:R$859,Order!C$12:C$859,"")</f>
        <v/>
      </c>
      <c r="C101" t="str">
        <f>_xlfn.XLOOKUP(A101,Order!R$12:R$859,Order!S$12:S$859,"")</f>
        <v/>
      </c>
      <c r="D101" t="str">
        <f>_xlfn.XLOOKUP(A101,Order!R$12:R$859,Order!B$12:B$859,"")</f>
        <v/>
      </c>
      <c r="E101" t="str">
        <f>_xlfn.XLOOKUP(A101,Order!R$12:R$859,Order!P$12:P$859,"")</f>
        <v/>
      </c>
      <c r="F101" t="str">
        <f>_xlfn.XLOOKUP(A101,Order!R$12:R$859,Order!T$12:T$859,"")</f>
        <v/>
      </c>
      <c r="G101" t="str">
        <f>_xlfn.XLOOKUP(A101,Order!R$12:R$859,Order!U$12:U$859,"")</f>
        <v/>
      </c>
      <c r="H101" t="str">
        <f>_xlfn.XLOOKUP(A101,Order!R$12:R$859,Order!B$12:B$859,"")</f>
        <v/>
      </c>
      <c r="I101" t="str">
        <f>_xlfn.XLOOKUP(A101,Order!R$12:R$859,Order!V$12:V$859,"")</f>
        <v/>
      </c>
      <c r="J101" t="str">
        <f>IFERROR(RANK(F101,F$14:F$213,1)+COUNTIF(F$14:F101,F101)-1,"")</f>
        <v/>
      </c>
      <c r="L101" t="str">
        <f t="shared" si="66"/>
        <v/>
      </c>
      <c r="M101" t="str" cm="1">
        <f t="array" ref="M101">_xlfn.XLOOKUP(A101,J$14:J300,B$14:B300,"")</f>
        <v/>
      </c>
      <c r="N101" t="str" cm="1">
        <f t="array" ref="N101">_xlfn.XLOOKUP(A101,J$14:J300,C$14:C300,"")</f>
        <v/>
      </c>
      <c r="O101" t="str" cm="1">
        <f t="array" ref="O101">_xlfn.XLOOKUP(A101,J$14:J300,E$14:E300,"")</f>
        <v/>
      </c>
      <c r="P101" t="str" cm="1">
        <f t="array" ref="P101">_xlfn.XLOOKUP(A101,J$14:J300,G$14:G300,"")</f>
        <v/>
      </c>
      <c r="Q101" t="str" cm="1">
        <f t="array" ref="Q101">_xlfn.XLOOKUP(A101,J$14:J300,F$14:F300,"")</f>
        <v/>
      </c>
      <c r="R101" t="str" cm="1">
        <f t="array" ref="R101">_xlfn.XLOOKUP(A101,J$14:J300,I$14:I300,"")</f>
        <v/>
      </c>
      <c r="S101" t="str" cm="1">
        <f t="array" ref="S101">_xlfn.XLOOKUP(A101,J$14:J300,H$14:H300,"")</f>
        <v/>
      </c>
      <c r="T101" t="str" cm="1">
        <f t="array" ref="T101">VLOOKUP(ROW(88:88),L$14:S$163,8)</f>
        <v/>
      </c>
      <c r="U101" t="str" cm="1">
        <f t="array" ref="U101">VLOOKUP(ROW(88:88),L$14:M$163,2)</f>
        <v/>
      </c>
      <c r="V101" t="str" cm="1">
        <f t="array" ref="V101">VLOOKUP(ROW(88:88),L$14:O$163,4)</f>
        <v/>
      </c>
      <c r="W101" t="str" cm="1">
        <f t="array" ref="W101">VLOOKUP(ROW(88:88),L$14:Q$163,6)</f>
        <v/>
      </c>
      <c r="X101" cm="1">
        <f t="array" ref="X101">IFERROR(VLOOKUP(ROW(88:88),L$14:P$213,5)+0,0)</f>
        <v>0</v>
      </c>
      <c r="Y101" t="str" cm="1">
        <f t="array" ref="Y101">VLOOKUP(ROW(88:88),L$14:R$163,7)</f>
        <v/>
      </c>
      <c r="Z101">
        <f>IF(Y101&lt;-2,X101+MAX(Z$14:Z100),0)</f>
        <v>0</v>
      </c>
      <c r="AA101">
        <f>IFERROR(IF(AND(SUM(AA102:AA$214)+X101&lt;=Z$10,W101&lt;=Z$12,Z101=0),X101,0),0)</f>
        <v>0</v>
      </c>
      <c r="AB101">
        <f>IFERROR(IF(AND(W101&lt;=Z$12+10,AB$12-X101&gt;=0,SUM(Z101:AA101)=0,SUM(AB$14:AB100)+X101&lt;AB$12),X101,0),0)</f>
        <v>0</v>
      </c>
      <c r="AD101">
        <f>IF(AND(Y101=-2,SUM(Z101:AB101)=0),X101+MAX(AD$14:AD100),0)</f>
        <v>0</v>
      </c>
      <c r="AE101">
        <f>IFERROR(IF(AND(SUM(AE102:AE$214)+X101&lt;=AD$10,W101&lt;=AD$12,SUM(Z101:AD101)=0),X101,0),0)</f>
        <v>0</v>
      </c>
      <c r="AF101">
        <f>IFERROR(IF(AND(W101&lt;=AD$12+10,AF$12-X101&gt;=0,SUM(Z101:AE101)=0,SUM(AF$14:AF100)+X101&lt;AF$12),X101,0),0)</f>
        <v>0</v>
      </c>
      <c r="AG101">
        <f t="shared" si="55"/>
        <v>0</v>
      </c>
      <c r="AI101">
        <f t="shared" si="60"/>
        <v>0</v>
      </c>
      <c r="AJ101" s="493">
        <f t="shared" si="64"/>
        <v>0</v>
      </c>
      <c r="AK101">
        <f>IF(AJ101=0,0,IF(AJ100=0,MAX(AK$13:AK100)+1,IF(W101&lt;&gt;W100,MAX(AK$14:AK100)+1,IF(ROUNDDOWN(AJ101-0.01,0)=ROUNDDOWN(AJ100-0.01,0),AK100,AK100+1))))</f>
        <v>0</v>
      </c>
      <c r="AL101">
        <f t="shared" si="61"/>
        <v>0</v>
      </c>
      <c r="AM101">
        <f t="shared" si="62"/>
        <v>0</v>
      </c>
      <c r="AN101">
        <f>IF(AM101&gt;AN$12,IF(AK101=AK100,AN100,MAX(AN$13:AN100)+1),0)</f>
        <v>0</v>
      </c>
      <c r="AP101">
        <f t="shared" si="56"/>
        <v>0</v>
      </c>
      <c r="AQ101">
        <f>IF(AP101&gt;0,IF(MAX(AQ102:AQ$214)+AP101&gt;ROUNDUP(MAX(AQ102:AQ$214),0),ROUNDUP(MAX(AQ102:AQ$214),0)+AP101,MAX(AQ102:AQ$214)+AP101),0)</f>
        <v>0</v>
      </c>
      <c r="AR101">
        <f t="shared" si="63"/>
        <v>0</v>
      </c>
      <c r="AS101">
        <f t="shared" si="57"/>
        <v>0</v>
      </c>
      <c r="AT101">
        <f t="shared" si="58"/>
        <v>10</v>
      </c>
      <c r="AV101">
        <v>20</v>
      </c>
      <c r="AW101">
        <f t="shared" si="67"/>
        <v>0</v>
      </c>
      <c r="AX101">
        <f t="shared" si="68"/>
        <v>0</v>
      </c>
      <c r="AY101" s="496">
        <f>IF(AND(AX101=AX$81,SUM(AY$82:AY100)=0,AW101=AZ$81,AX$81&lt;&gt;0),AV101,)</f>
        <v>0</v>
      </c>
      <c r="AZ101">
        <f>IF(AND(SUM(AZ$82:AZ100)=0,SUM($AY101:AY101)=0,$AX101&lt;=AY$117,$AX101&gt;0,$AW101&gt;-1),$AV101,0)</f>
        <v>0</v>
      </c>
      <c r="BA101">
        <f>IF(AND(SUM(BA$82:BA100)=0,SUM($AY101:AZ101)=0,$AX101&lt;=AZ$117,$AX101&gt;0,$AW101&gt;-1),$AV101,0)</f>
        <v>0</v>
      </c>
      <c r="BB101">
        <f>IF(AND(SUM(BB$82:BB100)=0,SUM($AY101:BA101)=0,$AX101&lt;=BA$117,$AX101&gt;0,$AW101&gt;-1),$AV101,0)</f>
        <v>0</v>
      </c>
      <c r="BC101">
        <f>IF(AND(SUM(BC$82:BC100)=0,SUM($AY101:BB101)=0,$AX101&lt;=BB$117,$AX101&gt;0,$AW101&gt;-1),$AV101,0)</f>
        <v>0</v>
      </c>
      <c r="BD101">
        <f>IF(AND(SUM(BD$82:BD100)=0,SUM($AY101:BC101)=0,$AX101&lt;=BC$117,$AX101&gt;0,$AW101&gt;-1),$AV101,0)</f>
        <v>0</v>
      </c>
      <c r="BE101">
        <f>IF(AND(SUM(BE$82:BE100)=0,SUM($AY101:BD101)=0,$AX101&lt;=BD$117,$AX101&gt;0,$AW101&gt;-1),$AV101,0)</f>
        <v>0</v>
      </c>
      <c r="BF101">
        <f>IF(AND(SUM(BF$82:BF100)=0,SUM($AY101:BE101)=0,$AX101&lt;=BE$117,$AX101&gt;0,$AW101&gt;-1),$AV101,0)</f>
        <v>0</v>
      </c>
      <c r="BG101">
        <f t="shared" si="65"/>
        <v>0</v>
      </c>
      <c r="BH101" s="494">
        <f t="shared" si="69"/>
        <v>0</v>
      </c>
      <c r="BI101">
        <f t="shared" si="70"/>
        <v>0</v>
      </c>
      <c r="BK101">
        <f>LARGE(BK54:BK93,4)</f>
        <v>0</v>
      </c>
      <c r="BL101" t="s">
        <v>1165</v>
      </c>
    </row>
    <row r="102" spans="1:66" x14ac:dyDescent="0.25">
      <c r="A102">
        <v>89</v>
      </c>
      <c r="B102" t="str">
        <f>_xlfn.XLOOKUP(A102,Order!R$12:R$859,Order!C$12:C$859,"")</f>
        <v/>
      </c>
      <c r="C102" t="str">
        <f>_xlfn.XLOOKUP(A102,Order!R$12:R$859,Order!S$12:S$859,"")</f>
        <v/>
      </c>
      <c r="D102" t="str">
        <f>_xlfn.XLOOKUP(A102,Order!R$12:R$859,Order!B$12:B$859,"")</f>
        <v/>
      </c>
      <c r="E102" t="str">
        <f>_xlfn.XLOOKUP(A102,Order!R$12:R$859,Order!P$12:P$859,"")</f>
        <v/>
      </c>
      <c r="F102" t="str">
        <f>_xlfn.XLOOKUP(A102,Order!R$12:R$859,Order!T$12:T$859,"")</f>
        <v/>
      </c>
      <c r="G102" t="str">
        <f>_xlfn.XLOOKUP(A102,Order!R$12:R$859,Order!U$12:U$859,"")</f>
        <v/>
      </c>
      <c r="H102" t="str">
        <f>_xlfn.XLOOKUP(A102,Order!R$12:R$859,Order!B$12:B$859,"")</f>
        <v/>
      </c>
      <c r="I102" t="str">
        <f>_xlfn.XLOOKUP(A102,Order!R$12:R$859,Order!V$12:V$859,"")</f>
        <v/>
      </c>
      <c r="J102" t="str">
        <f>IFERROR(RANK(F102,F$14:F$213,1)+COUNTIF(F$14:F102,F102)-1,"")</f>
        <v/>
      </c>
      <c r="L102" t="str">
        <f t="shared" si="66"/>
        <v/>
      </c>
      <c r="M102" t="str" cm="1">
        <f t="array" ref="M102">_xlfn.XLOOKUP(A102,J$14:J301,B$14:B301,"")</f>
        <v/>
      </c>
      <c r="N102" t="str" cm="1">
        <f t="array" ref="N102">_xlfn.XLOOKUP(A102,J$14:J301,C$14:C301,"")</f>
        <v/>
      </c>
      <c r="O102" t="str" cm="1">
        <f t="array" ref="O102">_xlfn.XLOOKUP(A102,J$14:J301,E$14:E301,"")</f>
        <v/>
      </c>
      <c r="P102" t="str" cm="1">
        <f t="array" ref="P102">_xlfn.XLOOKUP(A102,J$14:J301,G$14:G301,"")</f>
        <v/>
      </c>
      <c r="Q102" t="str" cm="1">
        <f t="array" ref="Q102">_xlfn.XLOOKUP(A102,J$14:J301,F$14:F301,"")</f>
        <v/>
      </c>
      <c r="R102" t="str" cm="1">
        <f t="array" ref="R102">_xlfn.XLOOKUP(A102,J$14:J301,I$14:I301,"")</f>
        <v/>
      </c>
      <c r="S102" t="str" cm="1">
        <f t="array" ref="S102">_xlfn.XLOOKUP(A102,J$14:J301,H$14:H301,"")</f>
        <v/>
      </c>
      <c r="T102" t="str" cm="1">
        <f t="array" ref="T102">VLOOKUP(ROW(89:89),L$14:S$163,8)</f>
        <v/>
      </c>
      <c r="U102" t="str" cm="1">
        <f t="array" ref="U102">VLOOKUP(ROW(89:89),L$14:M$163,2)</f>
        <v/>
      </c>
      <c r="V102" t="str" cm="1">
        <f t="array" ref="V102">VLOOKUP(ROW(89:89),L$14:O$163,4)</f>
        <v/>
      </c>
      <c r="W102" t="str" cm="1">
        <f t="array" ref="W102">VLOOKUP(ROW(89:89),L$14:Q$163,6)</f>
        <v/>
      </c>
      <c r="X102" cm="1">
        <f t="array" ref="X102">IFERROR(VLOOKUP(ROW(89:89),L$14:P$213,5)+0,0)</f>
        <v>0</v>
      </c>
      <c r="Y102" t="str" cm="1">
        <f t="array" ref="Y102">VLOOKUP(ROW(89:89),L$14:R$163,7)</f>
        <v/>
      </c>
      <c r="Z102">
        <f>IF(Y102&lt;-2,X102+MAX(Z$14:Z101),0)</f>
        <v>0</v>
      </c>
      <c r="AA102">
        <f>IFERROR(IF(AND(SUM(AA103:AA$214)+X102&lt;=Z$10,W102&lt;=Z$12,Z102=0),X102,0),0)</f>
        <v>0</v>
      </c>
      <c r="AB102">
        <f>IFERROR(IF(AND(W102&lt;=Z$12+10,AB$12-X102&gt;=0,SUM(Z102:AA102)=0,SUM(AB$14:AB101)+X102&lt;AB$12),X102,0),0)</f>
        <v>0</v>
      </c>
      <c r="AD102">
        <f>IF(AND(Y102=-2,SUM(Z102:AB102)=0),X102+MAX(AD$14:AD101),0)</f>
        <v>0</v>
      </c>
      <c r="AE102">
        <f>IFERROR(IF(AND(SUM(AE103:AE$214)+X102&lt;=AD$10,W102&lt;=AD$12,SUM(Z102:AD102)=0),X102,0),0)</f>
        <v>0</v>
      </c>
      <c r="AF102">
        <f>IFERROR(IF(AND(W102&lt;=AD$12+10,AF$12-X102&gt;=0,SUM(Z102:AE102)=0,SUM(AF$14:AF101)+X102&lt;AF$12),X102,0),0)</f>
        <v>0</v>
      </c>
      <c r="AG102">
        <f t="shared" si="55"/>
        <v>0</v>
      </c>
      <c r="AI102">
        <f t="shared" si="60"/>
        <v>0</v>
      </c>
      <c r="AJ102" s="493">
        <f t="shared" si="64"/>
        <v>0</v>
      </c>
      <c r="AK102">
        <f>IF(AJ102=0,0,IF(AJ101=0,MAX(AK$13:AK101)+1,IF(W102&lt;&gt;W101,MAX(AK$14:AK101)+1,IF(ROUNDDOWN(AJ102-0.01,0)=ROUNDDOWN(AJ101-0.01,0),AK101,AK101+1))))</f>
        <v>0</v>
      </c>
      <c r="AL102">
        <f t="shared" si="61"/>
        <v>0</v>
      </c>
      <c r="AM102">
        <f t="shared" si="62"/>
        <v>0</v>
      </c>
      <c r="AN102">
        <f>IF(AM102&gt;AN$12,IF(AK102=AK101,AN101,MAX(AN$13:AN101)+1),0)</f>
        <v>0</v>
      </c>
      <c r="AP102">
        <f t="shared" si="56"/>
        <v>0</v>
      </c>
      <c r="AQ102">
        <f>IF(AP102&gt;0,IF(MAX(AQ103:AQ$214)+AP102&gt;ROUNDUP(MAX(AQ103:AQ$214),0),ROUNDUP(MAX(AQ103:AQ$214),0)+AP102,MAX(AQ103:AQ$214)+AP102),0)</f>
        <v>0</v>
      </c>
      <c r="AR102">
        <f t="shared" si="63"/>
        <v>0</v>
      </c>
      <c r="AS102">
        <f t="shared" si="57"/>
        <v>0</v>
      </c>
      <c r="AT102">
        <f t="shared" si="58"/>
        <v>10</v>
      </c>
      <c r="AV102">
        <v>21</v>
      </c>
      <c r="AW102">
        <f t="shared" si="67"/>
        <v>0</v>
      </c>
      <c r="AX102">
        <f t="shared" si="68"/>
        <v>0</v>
      </c>
      <c r="AY102" s="496">
        <f>IF(AND(AX102=AX$81,SUM(AY$82:AY101)=0,AW102=AZ$81,AX$81&lt;&gt;0),AV102,)</f>
        <v>0</v>
      </c>
      <c r="AZ102">
        <f>IF(AND(SUM(AZ$82:AZ101)=0,SUM($AY102:AY102)=0,$AX102&lt;=AY$117,$AX102&gt;0,$AW102&gt;-1),$AV102,0)</f>
        <v>0</v>
      </c>
      <c r="BA102">
        <f>IF(AND(SUM(BA$82:BA101)=0,SUM($AY102:AZ102)=0,$AX102&lt;=AZ$117,$AX102&gt;0,$AW102&gt;-1),$AV102,0)</f>
        <v>0</v>
      </c>
      <c r="BB102">
        <f>IF(AND(SUM(BB$82:BB101)=0,SUM($AY102:BA102)=0,$AX102&lt;=BA$117,$AX102&gt;0,$AW102&gt;-1),$AV102,0)</f>
        <v>0</v>
      </c>
      <c r="BC102">
        <f>IF(AND(SUM(BC$82:BC101)=0,SUM($AY102:BB102)=0,$AX102&lt;=BB$117,$AX102&gt;0,$AW102&gt;-1),$AV102,0)</f>
        <v>0</v>
      </c>
      <c r="BD102">
        <f>IF(AND(SUM(BD$82:BD101)=0,SUM($AY102:BC102)=0,$AX102&lt;=BC$117,$AX102&gt;0,$AW102&gt;-1),$AV102,0)</f>
        <v>0</v>
      </c>
      <c r="BE102">
        <f>IF(AND(SUM(BE$82:BE101)=0,SUM($AY102:BD102)=0,$AX102&lt;=BD$117,$AX102&gt;0,$AW102&gt;-1),$AV102,0)</f>
        <v>0</v>
      </c>
      <c r="BF102">
        <f>IF(AND(SUM(BF$82:BF101)=0,SUM($AY102:BE102)=0,$AX102&lt;=BE$117,$AX102&gt;0,$AW102&gt;-1),$AV102,0)</f>
        <v>0</v>
      </c>
      <c r="BG102">
        <f t="shared" si="65"/>
        <v>0</v>
      </c>
      <c r="BH102" s="494">
        <f t="shared" si="69"/>
        <v>0</v>
      </c>
      <c r="BI102">
        <f t="shared" si="70"/>
        <v>0</v>
      </c>
      <c r="BK102">
        <f>BK100-BK101-AR1</f>
        <v>-640</v>
      </c>
      <c r="BL102" t="s">
        <v>1162</v>
      </c>
    </row>
    <row r="103" spans="1:66" x14ac:dyDescent="0.25">
      <c r="A103">
        <v>90</v>
      </c>
      <c r="B103" t="str">
        <f>_xlfn.XLOOKUP(A103,Order!R$12:R$859,Order!C$12:C$859,"")</f>
        <v/>
      </c>
      <c r="C103" t="str">
        <f>_xlfn.XLOOKUP(A103,Order!R$12:R$859,Order!S$12:S$859,"")</f>
        <v/>
      </c>
      <c r="D103" t="str">
        <f>_xlfn.XLOOKUP(A103,Order!R$12:R$859,Order!B$12:B$859,"")</f>
        <v/>
      </c>
      <c r="E103" t="str">
        <f>_xlfn.XLOOKUP(A103,Order!R$12:R$859,Order!P$12:P$859,"")</f>
        <v/>
      </c>
      <c r="F103" t="str">
        <f>_xlfn.XLOOKUP(A103,Order!R$12:R$859,Order!T$12:T$859,"")</f>
        <v/>
      </c>
      <c r="G103" t="str">
        <f>_xlfn.XLOOKUP(A103,Order!R$12:R$859,Order!U$12:U$859,"")</f>
        <v/>
      </c>
      <c r="H103" t="str">
        <f>_xlfn.XLOOKUP(A103,Order!R$12:R$859,Order!B$12:B$859,"")</f>
        <v/>
      </c>
      <c r="I103" t="str">
        <f>_xlfn.XLOOKUP(A103,Order!R$12:R$859,Order!V$12:V$859,"")</f>
        <v/>
      </c>
      <c r="J103" t="str">
        <f>IFERROR(RANK(F103,F$14:F$213,1)+COUNTIF(F$14:F103,F103)-1,"")</f>
        <v/>
      </c>
      <c r="L103" t="str">
        <f t="shared" si="66"/>
        <v/>
      </c>
      <c r="M103" t="str" cm="1">
        <f t="array" ref="M103">_xlfn.XLOOKUP(A103,J$14:J302,B$14:B302,"")</f>
        <v/>
      </c>
      <c r="N103" t="str" cm="1">
        <f t="array" ref="N103">_xlfn.XLOOKUP(A103,J$14:J302,C$14:C302,"")</f>
        <v/>
      </c>
      <c r="O103" t="str" cm="1">
        <f t="array" ref="O103">_xlfn.XLOOKUP(A103,J$14:J302,E$14:E302,"")</f>
        <v/>
      </c>
      <c r="P103" t="str" cm="1">
        <f t="array" ref="P103">_xlfn.XLOOKUP(A103,J$14:J302,G$14:G302,"")</f>
        <v/>
      </c>
      <c r="Q103" t="str" cm="1">
        <f t="array" ref="Q103">_xlfn.XLOOKUP(A103,J$14:J302,F$14:F302,"")</f>
        <v/>
      </c>
      <c r="R103" t="str" cm="1">
        <f t="array" ref="R103">_xlfn.XLOOKUP(A103,J$14:J302,I$14:I302,"")</f>
        <v/>
      </c>
      <c r="S103" t="str" cm="1">
        <f t="array" ref="S103">_xlfn.XLOOKUP(A103,J$14:J302,H$14:H302,"")</f>
        <v/>
      </c>
      <c r="T103" t="str" cm="1">
        <f t="array" ref="T103">VLOOKUP(ROW(90:90),L$14:S$163,8)</f>
        <v/>
      </c>
      <c r="U103" t="str" cm="1">
        <f t="array" ref="U103">VLOOKUP(ROW(90:90),L$14:M$163,2)</f>
        <v/>
      </c>
      <c r="V103" t="str" cm="1">
        <f t="array" ref="V103">VLOOKUP(ROW(90:90),L$14:O$163,4)</f>
        <v/>
      </c>
      <c r="W103" t="str" cm="1">
        <f t="array" ref="W103">VLOOKUP(ROW(90:90),L$14:Q$163,6)</f>
        <v/>
      </c>
      <c r="X103" cm="1">
        <f t="array" ref="X103">IFERROR(VLOOKUP(ROW(90:90),L$14:P$213,5)+0,0)</f>
        <v>0</v>
      </c>
      <c r="Y103" t="str" cm="1">
        <f t="array" ref="Y103">VLOOKUP(ROW(90:90),L$14:R$163,7)</f>
        <v/>
      </c>
      <c r="Z103">
        <f>IF(Y103&lt;-2,X103+MAX(Z$14:Z102),0)</f>
        <v>0</v>
      </c>
      <c r="AA103">
        <f>IFERROR(IF(AND(SUM(AA104:AA$214)+X103&lt;=Z$10,W103&lt;=Z$12,Z103=0),X103,0),0)</f>
        <v>0</v>
      </c>
      <c r="AB103">
        <f>IFERROR(IF(AND(W103&lt;=Z$12+10,AB$12-X103&gt;=0,SUM(Z103:AA103)=0,SUM(AB$14:AB102)+X103&lt;AB$12),X103,0),0)</f>
        <v>0</v>
      </c>
      <c r="AD103">
        <f>IF(AND(Y103=-2,SUM(Z103:AB103)=0),X103+MAX(AD$14:AD102),0)</f>
        <v>0</v>
      </c>
      <c r="AE103">
        <f>IFERROR(IF(AND(SUM(AE104:AE$214)+X103&lt;=AD$10,W103&lt;=AD$12,SUM(Z103:AD103)=0),X103,0),0)</f>
        <v>0</v>
      </c>
      <c r="AF103">
        <f>IFERROR(IF(AND(W103&lt;=AD$12+10,AF$12-X103&gt;=0,SUM(Z103:AE103)=0,SUM(AF$14:AF102)+X103&lt;AF$12),X103,0),0)</f>
        <v>0</v>
      </c>
      <c r="AG103">
        <f t="shared" si="55"/>
        <v>0</v>
      </c>
      <c r="AI103">
        <f t="shared" si="60"/>
        <v>0</v>
      </c>
      <c r="AJ103" s="493">
        <f t="shared" si="64"/>
        <v>0</v>
      </c>
      <c r="AK103">
        <f>IF(AJ103=0,0,IF(AJ102=0,MAX(AK$13:AK102)+1,IF(W103&lt;&gt;W102,MAX(AK$14:AK102)+1,IF(ROUNDDOWN(AJ103-0.01,0)=ROUNDDOWN(AJ102-0.01,0),AK102,AK102+1))))</f>
        <v>0</v>
      </c>
      <c r="AL103">
        <f t="shared" si="61"/>
        <v>0</v>
      </c>
      <c r="AM103">
        <f t="shared" si="62"/>
        <v>0</v>
      </c>
      <c r="AN103">
        <f>IF(AM103&gt;AN$12,IF(AK103=AK102,AN102,MAX(AN$13:AN102)+1),0)</f>
        <v>0</v>
      </c>
      <c r="AP103">
        <f t="shared" si="56"/>
        <v>0</v>
      </c>
      <c r="AQ103">
        <f>IF(AP103&gt;0,IF(MAX(AQ104:AQ$214)+AP103&gt;ROUNDUP(MAX(AQ104:AQ$214),0),ROUNDUP(MAX(AQ104:AQ$214),0)+AP103,MAX(AQ104:AQ$214)+AP103),0)</f>
        <v>0</v>
      </c>
      <c r="AR103">
        <f t="shared" si="63"/>
        <v>0</v>
      </c>
      <c r="AS103">
        <f t="shared" si="57"/>
        <v>0</v>
      </c>
      <c r="AT103">
        <f t="shared" si="58"/>
        <v>10</v>
      </c>
      <c r="AV103">
        <v>22</v>
      </c>
      <c r="AW103">
        <f t="shared" si="67"/>
        <v>0</v>
      </c>
      <c r="AX103">
        <f t="shared" si="68"/>
        <v>0</v>
      </c>
      <c r="AY103" s="496">
        <f>IF(AND(AX103=AX$81,SUM(AY$82:AY102)=0,AW103=AZ$81,AX$81&lt;&gt;0),AV103,)</f>
        <v>0</v>
      </c>
      <c r="AZ103">
        <f>IF(AND(SUM(AZ$82:AZ102)=0,SUM($AY103:AY103)=0,$AX103&lt;=AY$117,$AX103&gt;0,$AW103&gt;-1),$AV103,0)</f>
        <v>0</v>
      </c>
      <c r="BA103">
        <f>IF(AND(SUM(BA$82:BA102)=0,SUM($AY103:AZ103)=0,$AX103&lt;=AZ$117,$AX103&gt;0,$AW103&gt;-1),$AV103,0)</f>
        <v>0</v>
      </c>
      <c r="BB103">
        <f>IF(AND(SUM(BB$82:BB102)=0,SUM($AY103:BA103)=0,$AX103&lt;=BA$117,$AX103&gt;0,$AW103&gt;-1),$AV103,0)</f>
        <v>0</v>
      </c>
      <c r="BC103">
        <f>IF(AND(SUM(BC$82:BC102)=0,SUM($AY103:BB103)=0,$AX103&lt;=BB$117,$AX103&gt;0,$AW103&gt;-1),$AV103,0)</f>
        <v>0</v>
      </c>
      <c r="BD103">
        <f>IF(AND(SUM(BD$82:BD102)=0,SUM($AY103:BC103)=0,$AX103&lt;=BC$117,$AX103&gt;0,$AW103&gt;-1),$AV103,0)</f>
        <v>0</v>
      </c>
      <c r="BE103">
        <f>IF(AND(SUM(BE$82:BE102)=0,SUM($AY103:BD103)=0,$AX103&lt;=BD$117,$AX103&gt;0,$AW103&gt;-1),$AV103,0)</f>
        <v>0</v>
      </c>
      <c r="BF103">
        <f>IF(AND(SUM(BF$82:BF102)=0,SUM($AY103:BE103)=0,$AX103&lt;=BE$117,$AX103&gt;0,$AW103&gt;-1),$AV103,0)</f>
        <v>0</v>
      </c>
      <c r="BG103">
        <f t="shared" si="65"/>
        <v>0</v>
      </c>
      <c r="BH103" s="494">
        <f t="shared" si="69"/>
        <v>0</v>
      </c>
      <c r="BI103">
        <f t="shared" si="70"/>
        <v>0</v>
      </c>
    </row>
    <row r="104" spans="1:66" x14ac:dyDescent="0.25">
      <c r="A104">
        <v>91</v>
      </c>
      <c r="B104" t="str">
        <f>_xlfn.XLOOKUP(A104,Order!R$12:R$859,Order!C$12:C$859,"")</f>
        <v/>
      </c>
      <c r="C104" t="str">
        <f>_xlfn.XLOOKUP(A104,Order!R$12:R$859,Order!S$12:S$859,"")</f>
        <v/>
      </c>
      <c r="D104" t="str">
        <f>_xlfn.XLOOKUP(A104,Order!R$12:R$859,Order!B$12:B$859,"")</f>
        <v/>
      </c>
      <c r="E104" t="str">
        <f>_xlfn.XLOOKUP(A104,Order!R$12:R$859,Order!P$12:P$859,"")</f>
        <v/>
      </c>
      <c r="F104" t="str">
        <f>_xlfn.XLOOKUP(A104,Order!R$12:R$859,Order!T$12:T$859,"")</f>
        <v/>
      </c>
      <c r="G104" t="str">
        <f>_xlfn.XLOOKUP(A104,Order!R$12:R$859,Order!U$12:U$859,"")</f>
        <v/>
      </c>
      <c r="H104" t="str">
        <f>_xlfn.XLOOKUP(A104,Order!R$12:R$859,Order!B$12:B$859,"")</f>
        <v/>
      </c>
      <c r="I104" t="str">
        <f>_xlfn.XLOOKUP(A104,Order!R$12:R$859,Order!V$12:V$859,"")</f>
        <v/>
      </c>
      <c r="J104" t="str">
        <f>IFERROR(RANK(F104,F$14:F$213,1)+COUNTIF(F$14:F104,F104)-1,"")</f>
        <v/>
      </c>
      <c r="L104" t="str">
        <f t="shared" si="66"/>
        <v/>
      </c>
      <c r="M104" t="str" cm="1">
        <f t="array" ref="M104">_xlfn.XLOOKUP(A104,J$14:J303,B$14:B303,"")</f>
        <v/>
      </c>
      <c r="N104" t="str" cm="1">
        <f t="array" ref="N104">_xlfn.XLOOKUP(A104,J$14:J303,C$14:C303,"")</f>
        <v/>
      </c>
      <c r="O104" t="str" cm="1">
        <f t="array" ref="O104">_xlfn.XLOOKUP(A104,J$14:J303,E$14:E303,"")</f>
        <v/>
      </c>
      <c r="P104" t="str" cm="1">
        <f t="array" ref="P104">_xlfn.XLOOKUP(A104,J$14:J303,G$14:G303,"")</f>
        <v/>
      </c>
      <c r="Q104" t="str" cm="1">
        <f t="array" ref="Q104">_xlfn.XLOOKUP(A104,J$14:J303,F$14:F303,"")</f>
        <v/>
      </c>
      <c r="R104" t="str" cm="1">
        <f t="array" ref="R104">_xlfn.XLOOKUP(A104,J$14:J303,I$14:I303,"")</f>
        <v/>
      </c>
      <c r="S104" t="str" cm="1">
        <f t="array" ref="S104">_xlfn.XLOOKUP(A104,J$14:J303,H$14:H303,"")</f>
        <v/>
      </c>
      <c r="T104" t="str" cm="1">
        <f t="array" ref="T104">VLOOKUP(ROW(91:91),L$14:S$163,8)</f>
        <v/>
      </c>
      <c r="U104" t="str" cm="1">
        <f t="array" ref="U104">VLOOKUP(ROW(91:91),L$14:M$163,2)</f>
        <v/>
      </c>
      <c r="V104" t="str" cm="1">
        <f t="array" ref="V104">VLOOKUP(ROW(91:91),L$14:O$163,4)</f>
        <v/>
      </c>
      <c r="W104" t="str" cm="1">
        <f t="array" ref="W104">VLOOKUP(ROW(91:91),L$14:Q$163,6)</f>
        <v/>
      </c>
      <c r="X104" cm="1">
        <f t="array" ref="X104">IFERROR(VLOOKUP(ROW(91:91),L$14:P$213,5)+0,0)</f>
        <v>0</v>
      </c>
      <c r="Y104" t="str" cm="1">
        <f t="array" ref="Y104">VLOOKUP(ROW(91:91),L$14:R$163,7)</f>
        <v/>
      </c>
      <c r="Z104">
        <f>IF(Y104&lt;-2,X104+MAX(Z$14:Z103),0)</f>
        <v>0</v>
      </c>
      <c r="AA104">
        <f>IFERROR(IF(AND(SUM(AA105:AA$214)+X104&lt;=Z$10,W104&lt;=Z$12,Z104=0),X104,0),0)</f>
        <v>0</v>
      </c>
      <c r="AB104">
        <f>IFERROR(IF(AND(W104&lt;=Z$12+10,AB$12-X104&gt;=0,SUM(Z104:AA104)=0,SUM(AB$14:AB103)+X104&lt;AB$12),X104,0),0)</f>
        <v>0</v>
      </c>
      <c r="AD104">
        <f>IF(AND(Y104=-2,SUM(Z104:AB104)=0),X104+MAX(AD$14:AD103),0)</f>
        <v>0</v>
      </c>
      <c r="AE104">
        <f>IFERROR(IF(AND(SUM(AE105:AE$214)+X104&lt;=AD$10,W104&lt;=AD$12,SUM(Z104:AD104)=0),X104,0),0)</f>
        <v>0</v>
      </c>
      <c r="AF104">
        <f>IFERROR(IF(AND(W104&lt;=AD$12+10,AF$12-X104&gt;=0,SUM(Z104:AE104)=0,SUM(AF$14:AF103)+X104&lt;AF$12),X104,0),0)</f>
        <v>0</v>
      </c>
      <c r="AG104">
        <f t="shared" si="55"/>
        <v>0</v>
      </c>
      <c r="AI104">
        <f t="shared" si="60"/>
        <v>0</v>
      </c>
      <c r="AJ104" s="493">
        <f t="shared" si="64"/>
        <v>0</v>
      </c>
      <c r="AK104">
        <f>IF(AJ104=0,0,IF(AJ103=0,MAX(AK$13:AK103)+1,IF(W104&lt;&gt;W103,MAX(AK$14:AK103)+1,IF(ROUNDDOWN(AJ104-0.01,0)=ROUNDDOWN(AJ103-0.01,0),AK103,AK103+1))))</f>
        <v>0</v>
      </c>
      <c r="AL104">
        <f t="shared" si="61"/>
        <v>0</v>
      </c>
      <c r="AM104">
        <f t="shared" si="62"/>
        <v>0</v>
      </c>
      <c r="AN104">
        <f>IF(AM104&gt;AN$12,IF(AK104=AK103,AN103,MAX(AN$13:AN103)+1),0)</f>
        <v>0</v>
      </c>
      <c r="AP104">
        <f t="shared" si="56"/>
        <v>0</v>
      </c>
      <c r="AQ104">
        <f>IF(AP104&gt;0,IF(MAX(AQ105:AQ$214)+AP104&gt;ROUNDUP(MAX(AQ105:AQ$214),0),ROUNDUP(MAX(AQ105:AQ$214),0)+AP104,MAX(AQ105:AQ$214)+AP104),0)</f>
        <v>0</v>
      </c>
      <c r="AR104">
        <f t="shared" si="63"/>
        <v>0</v>
      </c>
      <c r="AS104">
        <f t="shared" si="57"/>
        <v>0</v>
      </c>
      <c r="AT104">
        <f t="shared" si="58"/>
        <v>10</v>
      </c>
      <c r="AV104">
        <v>23</v>
      </c>
      <c r="AW104">
        <f t="shared" si="67"/>
        <v>0</v>
      </c>
      <c r="AX104">
        <f t="shared" si="68"/>
        <v>0</v>
      </c>
      <c r="AY104" s="496">
        <f>IF(AND(AX104=AX$81,SUM(AY$82:AY103)=0,AW104=AZ$81,AX$81&lt;&gt;0),AV104,)</f>
        <v>0</v>
      </c>
      <c r="AZ104">
        <f>IF(AND(SUM(AZ$82:AZ103)=0,SUM($AY104:AY104)=0,$AX104&lt;=AY$117,$AX104&gt;0,$AW104&gt;-1),$AV104,0)</f>
        <v>0</v>
      </c>
      <c r="BA104">
        <f>IF(AND(SUM(BA$82:BA103)=0,SUM($AY104:AZ104)=0,$AX104&lt;=AZ$117,$AX104&gt;0,$AW104&gt;-1),$AV104,0)</f>
        <v>0</v>
      </c>
      <c r="BB104">
        <f>IF(AND(SUM(BB$82:BB103)=0,SUM($AY104:BA104)=0,$AX104&lt;=BA$117,$AX104&gt;0,$AW104&gt;-1),$AV104,0)</f>
        <v>0</v>
      </c>
      <c r="BC104">
        <f>IF(AND(SUM(BC$82:BC103)=0,SUM($AY104:BB104)=0,$AX104&lt;=BB$117,$AX104&gt;0,$AW104&gt;-1),$AV104,0)</f>
        <v>0</v>
      </c>
      <c r="BD104">
        <f>IF(AND(SUM(BD$82:BD103)=0,SUM($AY104:BC104)=0,$AX104&lt;=BC$117,$AX104&gt;0,$AW104&gt;-1),$AV104,0)</f>
        <v>0</v>
      </c>
      <c r="BE104">
        <f>IF(AND(SUM(BE$82:BE103)=0,SUM($AY104:BD104)=0,$AX104&lt;=BD$117,$AX104&gt;0,$AW104&gt;-1),$AV104,0)</f>
        <v>0</v>
      </c>
      <c r="BF104">
        <f>IF(AND(SUM(BF$82:BF103)=0,SUM($AY104:BE104)=0,$AX104&lt;=BE$117,$AX104&gt;0,$AW104&gt;-1),$AV104,0)</f>
        <v>0</v>
      </c>
      <c r="BG104">
        <f t="shared" si="65"/>
        <v>0</v>
      </c>
      <c r="BH104" s="494">
        <f t="shared" si="69"/>
        <v>0</v>
      </c>
      <c r="BI104">
        <f t="shared" si="70"/>
        <v>0</v>
      </c>
    </row>
    <row r="105" spans="1:66" x14ac:dyDescent="0.25">
      <c r="A105">
        <v>92</v>
      </c>
      <c r="B105" t="str">
        <f>_xlfn.XLOOKUP(A105,Order!R$12:R$859,Order!C$12:C$859,"")</f>
        <v/>
      </c>
      <c r="C105" t="str">
        <f>_xlfn.XLOOKUP(A105,Order!R$12:R$859,Order!S$12:S$859,"")</f>
        <v/>
      </c>
      <c r="D105" t="str">
        <f>_xlfn.XLOOKUP(A105,Order!R$12:R$859,Order!B$12:B$859,"")</f>
        <v/>
      </c>
      <c r="E105" t="str">
        <f>_xlfn.XLOOKUP(A105,Order!R$12:R$859,Order!P$12:P$859,"")</f>
        <v/>
      </c>
      <c r="F105" t="str">
        <f>_xlfn.XLOOKUP(A105,Order!R$12:R$859,Order!T$12:T$859,"")</f>
        <v/>
      </c>
      <c r="G105" t="str">
        <f>_xlfn.XLOOKUP(A105,Order!R$12:R$859,Order!U$12:U$859,"")</f>
        <v/>
      </c>
      <c r="H105" t="str">
        <f>_xlfn.XLOOKUP(A105,Order!R$12:R$859,Order!B$12:B$859,"")</f>
        <v/>
      </c>
      <c r="I105" t="str">
        <f>_xlfn.XLOOKUP(A105,Order!R$12:R$859,Order!V$12:V$859,"")</f>
        <v/>
      </c>
      <c r="J105" t="str">
        <f>IFERROR(RANK(F105,F$14:F$213,1)+COUNTIF(F$14:F105,F105)-1,"")</f>
        <v/>
      </c>
      <c r="L105" t="str">
        <f t="shared" si="66"/>
        <v/>
      </c>
      <c r="M105" t="str" cm="1">
        <f t="array" ref="M105">_xlfn.XLOOKUP(A105,J$14:J304,B$14:B304,"")</f>
        <v/>
      </c>
      <c r="N105" t="str" cm="1">
        <f t="array" ref="N105">_xlfn.XLOOKUP(A105,J$14:J304,C$14:C304,"")</f>
        <v/>
      </c>
      <c r="O105" t="str" cm="1">
        <f t="array" ref="O105">_xlfn.XLOOKUP(A105,J$14:J304,E$14:E304,"")</f>
        <v/>
      </c>
      <c r="P105" t="str" cm="1">
        <f t="array" ref="P105">_xlfn.XLOOKUP(A105,J$14:J304,G$14:G304,"")</f>
        <v/>
      </c>
      <c r="Q105" t="str" cm="1">
        <f t="array" ref="Q105">_xlfn.XLOOKUP(A105,J$14:J304,F$14:F304,"")</f>
        <v/>
      </c>
      <c r="R105" t="str" cm="1">
        <f t="array" ref="R105">_xlfn.XLOOKUP(A105,J$14:J304,I$14:I304,"")</f>
        <v/>
      </c>
      <c r="S105" t="str" cm="1">
        <f t="array" ref="S105">_xlfn.XLOOKUP(A105,J$14:J304,H$14:H304,"")</f>
        <v/>
      </c>
      <c r="T105" t="str" cm="1">
        <f t="array" ref="T105">VLOOKUP(ROW(92:92),L$14:S$163,8)</f>
        <v/>
      </c>
      <c r="U105" t="str" cm="1">
        <f t="array" ref="U105">VLOOKUP(ROW(92:92),L$14:M$163,2)</f>
        <v/>
      </c>
      <c r="V105" t="str" cm="1">
        <f t="array" ref="V105">VLOOKUP(ROW(92:92),L$14:O$163,4)</f>
        <v/>
      </c>
      <c r="W105" t="str" cm="1">
        <f t="array" ref="W105">VLOOKUP(ROW(92:92),L$14:Q$163,6)</f>
        <v/>
      </c>
      <c r="X105" cm="1">
        <f t="array" ref="X105">IFERROR(VLOOKUP(ROW(92:92),L$14:P$213,5)+0,0)</f>
        <v>0</v>
      </c>
      <c r="Y105" t="str" cm="1">
        <f t="array" ref="Y105">VLOOKUP(ROW(92:92),L$14:R$163,7)</f>
        <v/>
      </c>
      <c r="Z105">
        <f>IF(Y105&lt;-2,X105+MAX(Z$14:Z104),0)</f>
        <v>0</v>
      </c>
      <c r="AA105">
        <f>IFERROR(IF(AND(SUM(AA106:AA$214)+X105&lt;=Z$10,W105&lt;=Z$12,Z105=0),X105,0),0)</f>
        <v>0</v>
      </c>
      <c r="AB105">
        <f>IFERROR(IF(AND(W105&lt;=Z$12+10,AB$12-X105&gt;=0,SUM(Z105:AA105)=0,SUM(AB$14:AB104)+X105&lt;AB$12),X105,0),0)</f>
        <v>0</v>
      </c>
      <c r="AD105">
        <f>IF(AND(Y105=-2,SUM(Z105:AB105)=0),X105+MAX(AD$14:AD104),0)</f>
        <v>0</v>
      </c>
      <c r="AE105">
        <f>IFERROR(IF(AND(SUM(AE106:AE$214)+X105&lt;=AD$10,W105&lt;=AD$12,SUM(Z105:AD105)=0),X105,0),0)</f>
        <v>0</v>
      </c>
      <c r="AF105">
        <f>IFERROR(IF(AND(W105&lt;=AD$12+10,AF$12-X105&gt;=0,SUM(Z105:AE105)=0,SUM(AF$14:AF104)+X105&lt;AF$12),X105,0),0)</f>
        <v>0</v>
      </c>
      <c r="AG105">
        <f t="shared" si="55"/>
        <v>0</v>
      </c>
      <c r="AI105">
        <f t="shared" si="60"/>
        <v>0</v>
      </c>
      <c r="AJ105" s="493">
        <f t="shared" si="64"/>
        <v>0</v>
      </c>
      <c r="AK105">
        <f>IF(AJ105=0,0,IF(AJ104=0,MAX(AK$13:AK104)+1,IF(W105&lt;&gt;W104,MAX(AK$14:AK104)+1,IF(ROUNDDOWN(AJ105-0.01,0)=ROUNDDOWN(AJ104-0.01,0),AK104,AK104+1))))</f>
        <v>0</v>
      </c>
      <c r="AL105">
        <f t="shared" si="61"/>
        <v>0</v>
      </c>
      <c r="AM105">
        <f t="shared" si="62"/>
        <v>0</v>
      </c>
      <c r="AN105">
        <f>IF(AM105&gt;AN$12,IF(AK105=AK104,AN104,MAX(AN$13:AN104)+1),0)</f>
        <v>0</v>
      </c>
      <c r="AP105">
        <f t="shared" si="56"/>
        <v>0</v>
      </c>
      <c r="AQ105">
        <f>IF(AP105&gt;0,IF(MAX(AQ106:AQ$214)+AP105&gt;ROUNDUP(MAX(AQ106:AQ$214),0),ROUNDUP(MAX(AQ106:AQ$214),0)+AP105,MAX(AQ106:AQ$214)+AP105),0)</f>
        <v>0</v>
      </c>
      <c r="AR105">
        <f t="shared" si="63"/>
        <v>0</v>
      </c>
      <c r="AS105">
        <f t="shared" si="57"/>
        <v>0</v>
      </c>
      <c r="AT105">
        <f t="shared" si="58"/>
        <v>10</v>
      </c>
      <c r="AV105">
        <v>24</v>
      </c>
      <c r="AW105">
        <f t="shared" si="67"/>
        <v>0</v>
      </c>
      <c r="AX105">
        <f t="shared" si="68"/>
        <v>0</v>
      </c>
      <c r="AY105" s="496">
        <f>IF(AND(AX105=AX$81,SUM(AY$82:AY104)=0,AW105=AZ$81,AX$81&lt;&gt;0),AV105,)</f>
        <v>0</v>
      </c>
      <c r="AZ105">
        <f>IF(AND(SUM(AZ$82:AZ104)=0,SUM($AY105:AY105)=0,$AX105&lt;=AY$117,$AX105&gt;0,$AW105&gt;-1),$AV105,0)</f>
        <v>0</v>
      </c>
      <c r="BA105">
        <f>IF(AND(SUM(BA$82:BA104)=0,SUM($AY105:AZ105)=0,$AX105&lt;=AZ$117,$AX105&gt;0,$AW105&gt;-1),$AV105,0)</f>
        <v>0</v>
      </c>
      <c r="BB105">
        <f>IF(AND(SUM(BB$82:BB104)=0,SUM($AY105:BA105)=0,$AX105&lt;=BA$117,$AX105&gt;0,$AW105&gt;-1),$AV105,0)</f>
        <v>0</v>
      </c>
      <c r="BC105">
        <f>IF(AND(SUM(BC$82:BC104)=0,SUM($AY105:BB105)=0,$AX105&lt;=BB$117,$AX105&gt;0,$AW105&gt;-1),$AV105,0)</f>
        <v>0</v>
      </c>
      <c r="BD105">
        <f>IF(AND(SUM(BD$82:BD104)=0,SUM($AY105:BC105)=0,$AX105&lt;=BC$117,$AX105&gt;0,$AW105&gt;-1),$AV105,0)</f>
        <v>0</v>
      </c>
      <c r="BE105">
        <f>IF(AND(SUM(BE$82:BE104)=0,SUM($AY105:BD105)=0,$AX105&lt;=BD$117,$AX105&gt;0,$AW105&gt;-1),$AV105,0)</f>
        <v>0</v>
      </c>
      <c r="BF105">
        <f>IF(AND(SUM(BF$82:BF104)=0,SUM($AY105:BE105)=0,$AX105&lt;=BE$117,$AX105&gt;0,$AW105&gt;-1),$AV105,0)</f>
        <v>0</v>
      </c>
      <c r="BG105">
        <f t="shared" si="65"/>
        <v>0</v>
      </c>
      <c r="BH105" s="494">
        <f t="shared" si="69"/>
        <v>0</v>
      </c>
      <c r="BI105">
        <f t="shared" si="70"/>
        <v>0</v>
      </c>
      <c r="BK105" t="s">
        <v>1167</v>
      </c>
      <c r="BL105">
        <f>IF(BK96&lt;=0,1,IF(BK96-BK97&lt;=AR1,2,IF(BK98-BK99&lt;=AR1,3,IF(BK100-BK101&lt;=AR1,4,IF(BK102&lt;=AR1,5,6)))))</f>
        <v>1</v>
      </c>
    </row>
    <row r="106" spans="1:66" x14ac:dyDescent="0.25">
      <c r="A106">
        <v>93</v>
      </c>
      <c r="B106" t="str">
        <f>_xlfn.XLOOKUP(A106,Order!R$12:R$859,Order!C$12:C$859,"")</f>
        <v/>
      </c>
      <c r="C106" t="str">
        <f>_xlfn.XLOOKUP(A106,Order!R$12:R$859,Order!S$12:S$859,"")</f>
        <v/>
      </c>
      <c r="D106" t="str">
        <f>_xlfn.XLOOKUP(A106,Order!R$12:R$859,Order!B$12:B$859,"")</f>
        <v/>
      </c>
      <c r="E106" t="str">
        <f>_xlfn.XLOOKUP(A106,Order!R$12:R$859,Order!P$12:P$859,"")</f>
        <v/>
      </c>
      <c r="F106" t="str">
        <f>_xlfn.XLOOKUP(A106,Order!R$12:R$859,Order!T$12:T$859,"")</f>
        <v/>
      </c>
      <c r="G106" t="str">
        <f>_xlfn.XLOOKUP(A106,Order!R$12:R$859,Order!U$12:U$859,"")</f>
        <v/>
      </c>
      <c r="H106" t="str">
        <f>_xlfn.XLOOKUP(A106,Order!R$12:R$859,Order!B$12:B$859,"")</f>
        <v/>
      </c>
      <c r="I106" t="str">
        <f>_xlfn.XLOOKUP(A106,Order!R$12:R$859,Order!V$12:V$859,"")</f>
        <v/>
      </c>
      <c r="J106" t="str">
        <f>IFERROR(RANK(F106,F$14:F$213,1)+COUNTIF(F$14:F106,F106)-1,"")</f>
        <v/>
      </c>
      <c r="L106" t="str">
        <f t="shared" si="66"/>
        <v/>
      </c>
      <c r="M106" t="str" cm="1">
        <f t="array" ref="M106">_xlfn.XLOOKUP(A106,J$14:J305,B$14:B305,"")</f>
        <v/>
      </c>
      <c r="N106" t="str" cm="1">
        <f t="array" ref="N106">_xlfn.XLOOKUP(A106,J$14:J305,C$14:C305,"")</f>
        <v/>
      </c>
      <c r="O106" t="str" cm="1">
        <f t="array" ref="O106">_xlfn.XLOOKUP(A106,J$14:J305,E$14:E305,"")</f>
        <v/>
      </c>
      <c r="P106" t="str" cm="1">
        <f t="array" ref="P106">_xlfn.XLOOKUP(A106,J$14:J305,G$14:G305,"")</f>
        <v/>
      </c>
      <c r="Q106" t="str" cm="1">
        <f t="array" ref="Q106">_xlfn.XLOOKUP(A106,J$14:J305,F$14:F305,"")</f>
        <v/>
      </c>
      <c r="R106" t="str" cm="1">
        <f t="array" ref="R106">_xlfn.XLOOKUP(A106,J$14:J305,I$14:I305,"")</f>
        <v/>
      </c>
      <c r="S106" t="str" cm="1">
        <f t="array" ref="S106">_xlfn.XLOOKUP(A106,J$14:J305,H$14:H305,"")</f>
        <v/>
      </c>
      <c r="T106" t="str" cm="1">
        <f t="array" ref="T106">VLOOKUP(ROW(93:93),L$14:S$163,8)</f>
        <v/>
      </c>
      <c r="U106" t="str" cm="1">
        <f t="array" ref="U106">VLOOKUP(ROW(93:93),L$14:M$163,2)</f>
        <v/>
      </c>
      <c r="V106" t="str" cm="1">
        <f t="array" ref="V106">VLOOKUP(ROW(93:93),L$14:O$163,4)</f>
        <v/>
      </c>
      <c r="W106" t="str" cm="1">
        <f t="array" ref="W106">VLOOKUP(ROW(93:93),L$14:Q$163,6)</f>
        <v/>
      </c>
      <c r="X106" cm="1">
        <f t="array" ref="X106">IFERROR(VLOOKUP(ROW(93:93),L$14:P$213,5)+0,0)</f>
        <v>0</v>
      </c>
      <c r="Y106" t="str" cm="1">
        <f t="array" ref="Y106">VLOOKUP(ROW(93:93),L$14:R$163,7)</f>
        <v/>
      </c>
      <c r="Z106">
        <f>IF(Y106&lt;-2,X106+MAX(Z$14:Z105),0)</f>
        <v>0</v>
      </c>
      <c r="AA106">
        <f>IFERROR(IF(AND(SUM(AA107:AA$214)+X106&lt;=Z$10,W106&lt;=Z$12,Z106=0),X106,0),0)</f>
        <v>0</v>
      </c>
      <c r="AB106">
        <f>IFERROR(IF(AND(W106&lt;=Z$12+10,AB$12-X106&gt;=0,SUM(Z106:AA106)=0,SUM(AB$14:AB105)+X106&lt;AB$12),X106,0),0)</f>
        <v>0</v>
      </c>
      <c r="AD106">
        <f>IF(AND(Y106=-2,SUM(Z106:AB106)=0),X106+MAX(AD$14:AD105),0)</f>
        <v>0</v>
      </c>
      <c r="AE106">
        <f>IFERROR(IF(AND(SUM(AE107:AE$214)+X106&lt;=AD$10,W106&lt;=AD$12,SUM(Z106:AD106)=0),X106,0),0)</f>
        <v>0</v>
      </c>
      <c r="AF106">
        <f>IFERROR(IF(AND(W106&lt;=AD$12+10,AF$12-X106&gt;=0,SUM(Z106:AE106)=0,SUM(AF$14:AF105)+X106&lt;AF$12),X106,0),0)</f>
        <v>0</v>
      </c>
      <c r="AG106">
        <f t="shared" si="55"/>
        <v>0</v>
      </c>
      <c r="AI106">
        <f t="shared" si="60"/>
        <v>0</v>
      </c>
      <c r="AJ106" s="493">
        <f t="shared" si="64"/>
        <v>0</v>
      </c>
      <c r="AK106">
        <f>IF(AJ106=0,0,IF(AJ105=0,MAX(AK$13:AK105)+1,IF(W106&lt;&gt;W105,MAX(AK$14:AK105)+1,IF(ROUNDDOWN(AJ106-0.01,0)=ROUNDDOWN(AJ105-0.01,0),AK105,AK105+1))))</f>
        <v>0</v>
      </c>
      <c r="AL106">
        <f t="shared" si="61"/>
        <v>0</v>
      </c>
      <c r="AM106">
        <f t="shared" si="62"/>
        <v>0</v>
      </c>
      <c r="AN106">
        <f>IF(AM106&gt;AN$12,IF(AK106=AK105,AN105,MAX(AN$13:AN105)+1),0)</f>
        <v>0</v>
      </c>
      <c r="AP106">
        <f t="shared" si="56"/>
        <v>0</v>
      </c>
      <c r="AQ106">
        <f>IF(AP106&gt;0,IF(MAX(AQ107:AQ$214)+AP106&gt;ROUNDUP(MAX(AQ107:AQ$214),0),ROUNDUP(MAX(AQ107:AQ$214),0)+AP106,MAX(AQ107:AQ$214)+AP106),0)</f>
        <v>0</v>
      </c>
      <c r="AR106">
        <f t="shared" si="63"/>
        <v>0</v>
      </c>
      <c r="AS106">
        <f t="shared" si="57"/>
        <v>0</v>
      </c>
      <c r="AT106">
        <f t="shared" si="58"/>
        <v>10</v>
      </c>
      <c r="AV106">
        <v>25</v>
      </c>
      <c r="AW106">
        <f t="shared" si="67"/>
        <v>0</v>
      </c>
      <c r="AX106">
        <f t="shared" si="68"/>
        <v>0</v>
      </c>
      <c r="AY106" s="496">
        <f>IF(AND(AX106=AX$81,SUM(AY$82:AY105)=0,AW106=AZ$81,AX$81&lt;&gt;0),AV106,)</f>
        <v>0</v>
      </c>
      <c r="AZ106">
        <f>IF(AND(SUM(AZ$82:AZ105)=0,SUM($AY106:AY106)=0,$AX106&lt;=AY$117,$AX106&gt;0,$AW106&gt;-1),$AV106,0)</f>
        <v>0</v>
      </c>
      <c r="BA106">
        <f>IF(AND(SUM(BA$82:BA105)=0,SUM($AY106:AZ106)=0,$AX106&lt;=AZ$117,$AX106&gt;0,$AW106&gt;-1),$AV106,0)</f>
        <v>0</v>
      </c>
      <c r="BB106">
        <f>IF(AND(SUM(BB$82:BB105)=0,SUM($AY106:BA106)=0,$AX106&lt;=BA$117,$AX106&gt;0,$AW106&gt;-1),$AV106,0)</f>
        <v>0</v>
      </c>
      <c r="BC106">
        <f>IF(AND(SUM(BC$82:BC105)=0,SUM($AY106:BB106)=0,$AX106&lt;=BB$117,$AX106&gt;0,$AW106&gt;-1),$AV106,0)</f>
        <v>0</v>
      </c>
      <c r="BD106">
        <f>IF(AND(SUM(BD$82:BD105)=0,SUM($AY106:BC106)=0,$AX106&lt;=BC$117,$AX106&gt;0,$AW106&gt;-1),$AV106,0)</f>
        <v>0</v>
      </c>
      <c r="BE106">
        <f>IF(AND(SUM(BE$82:BE105)=0,SUM($AY106:BD106)=0,$AX106&lt;=BD$117,$AX106&gt;0,$AW106&gt;-1),$AV106,0)</f>
        <v>0</v>
      </c>
      <c r="BF106">
        <f>IF(AND(SUM(BF$82:BF105)=0,SUM($AY106:BE106)=0,$AX106&lt;=BE$117,$AX106&gt;0,$AW106&gt;-1),$AV106,0)</f>
        <v>0</v>
      </c>
      <c r="BG106">
        <f t="shared" si="65"/>
        <v>0</v>
      </c>
      <c r="BH106" s="494">
        <f t="shared" si="69"/>
        <v>0</v>
      </c>
      <c r="BI106">
        <f t="shared" si="70"/>
        <v>0</v>
      </c>
      <c r="BK106" t="s">
        <v>1166</v>
      </c>
      <c r="BL106">
        <f>AB10</f>
        <v>0</v>
      </c>
    </row>
    <row r="107" spans="1:66" x14ac:dyDescent="0.25">
      <c r="A107">
        <v>94</v>
      </c>
      <c r="B107" t="str">
        <f>_xlfn.XLOOKUP(A107,Order!R$12:R$859,Order!C$12:C$859,"")</f>
        <v/>
      </c>
      <c r="C107" t="str">
        <f>_xlfn.XLOOKUP(A107,Order!R$12:R$859,Order!S$12:S$859,"")</f>
        <v/>
      </c>
      <c r="D107" t="str">
        <f>_xlfn.XLOOKUP(A107,Order!R$12:R$859,Order!B$12:B$859,"")</f>
        <v/>
      </c>
      <c r="E107" t="str">
        <f>_xlfn.XLOOKUP(A107,Order!R$12:R$859,Order!P$12:P$859,"")</f>
        <v/>
      </c>
      <c r="F107" t="str">
        <f>_xlfn.XLOOKUP(A107,Order!R$12:R$859,Order!T$12:T$859,"")</f>
        <v/>
      </c>
      <c r="G107" t="str">
        <f>_xlfn.XLOOKUP(A107,Order!R$12:R$859,Order!U$12:U$859,"")</f>
        <v/>
      </c>
      <c r="H107" t="str">
        <f>_xlfn.XLOOKUP(A107,Order!R$12:R$859,Order!B$12:B$859,"")</f>
        <v/>
      </c>
      <c r="I107" t="str">
        <f>_xlfn.XLOOKUP(A107,Order!R$12:R$859,Order!V$12:V$859,"")</f>
        <v/>
      </c>
      <c r="J107" t="str">
        <f>IFERROR(RANK(F107,F$14:F$213,1)+COUNTIF(F$14:F107,F107)-1,"")</f>
        <v/>
      </c>
      <c r="L107" t="str">
        <f t="shared" si="66"/>
        <v/>
      </c>
      <c r="M107" t="str" cm="1">
        <f t="array" ref="M107">_xlfn.XLOOKUP(A107,J$14:J306,B$14:B306,"")</f>
        <v/>
      </c>
      <c r="N107" t="str" cm="1">
        <f t="array" ref="N107">_xlfn.XLOOKUP(A107,J$14:J306,C$14:C306,"")</f>
        <v/>
      </c>
      <c r="O107" t="str" cm="1">
        <f t="array" ref="O107">_xlfn.XLOOKUP(A107,J$14:J306,E$14:E306,"")</f>
        <v/>
      </c>
      <c r="P107" t="str" cm="1">
        <f t="array" ref="P107">_xlfn.XLOOKUP(A107,J$14:J306,G$14:G306,"")</f>
        <v/>
      </c>
      <c r="Q107" t="str" cm="1">
        <f t="array" ref="Q107">_xlfn.XLOOKUP(A107,J$14:J306,F$14:F306,"")</f>
        <v/>
      </c>
      <c r="R107" t="str" cm="1">
        <f t="array" ref="R107">_xlfn.XLOOKUP(A107,J$14:J306,I$14:I306,"")</f>
        <v/>
      </c>
      <c r="S107" t="str" cm="1">
        <f t="array" ref="S107">_xlfn.XLOOKUP(A107,J$14:J306,H$14:H306,"")</f>
        <v/>
      </c>
      <c r="T107" t="str" cm="1">
        <f t="array" ref="T107">VLOOKUP(ROW(94:94),L$14:S$163,8)</f>
        <v/>
      </c>
      <c r="U107" t="str" cm="1">
        <f t="array" ref="U107">VLOOKUP(ROW(94:94),L$14:M$163,2)</f>
        <v/>
      </c>
      <c r="V107" t="str" cm="1">
        <f t="array" ref="V107">VLOOKUP(ROW(94:94),L$14:O$163,4)</f>
        <v/>
      </c>
      <c r="W107" t="str" cm="1">
        <f t="array" ref="W107">VLOOKUP(ROW(94:94),L$14:Q$163,6)</f>
        <v/>
      </c>
      <c r="X107" cm="1">
        <f t="array" ref="X107">IFERROR(VLOOKUP(ROW(94:94),L$14:P$213,5)+0,0)</f>
        <v>0</v>
      </c>
      <c r="Y107" t="str" cm="1">
        <f t="array" ref="Y107">VLOOKUP(ROW(94:94),L$14:R$163,7)</f>
        <v/>
      </c>
      <c r="Z107">
        <f>IF(Y107&lt;-2,X107+MAX(Z$14:Z106),0)</f>
        <v>0</v>
      </c>
      <c r="AA107">
        <f>IFERROR(IF(AND(SUM(AA108:AA$214)+X107&lt;=Z$10,W107&lt;=Z$12,Z107=0),X107,0),0)</f>
        <v>0</v>
      </c>
      <c r="AB107">
        <f>IFERROR(IF(AND(W107&lt;=Z$12+10,AB$12-X107&gt;=0,SUM(Z107:AA107)=0,SUM(AB$14:AB106)+X107&lt;AB$12),X107,0),0)</f>
        <v>0</v>
      </c>
      <c r="AD107">
        <f>IF(AND(Y107=-2,SUM(Z107:AB107)=0),X107+MAX(AD$14:AD106),0)</f>
        <v>0</v>
      </c>
      <c r="AE107">
        <f>IFERROR(IF(AND(SUM(AE108:AE$214)+X107&lt;=AD$10,W107&lt;=AD$12,SUM(Z107:AD107)=0),X107,0),0)</f>
        <v>0</v>
      </c>
      <c r="AF107">
        <f>IFERROR(IF(AND(W107&lt;=AD$12+10,AF$12-X107&gt;=0,SUM(Z107:AE107)=0,SUM(AF$14:AF106)+X107&lt;AF$12),X107,0),0)</f>
        <v>0</v>
      </c>
      <c r="AG107">
        <f t="shared" si="55"/>
        <v>0</v>
      </c>
      <c r="AI107">
        <f t="shared" si="60"/>
        <v>0</v>
      </c>
      <c r="AJ107" s="493">
        <f t="shared" si="64"/>
        <v>0</v>
      </c>
      <c r="AK107">
        <f>IF(AJ107=0,0,IF(AJ106=0,MAX(AK$13:AK106)+1,IF(W107&lt;&gt;W106,MAX(AK$14:AK106)+1,IF(ROUNDDOWN(AJ107-0.01,0)=ROUNDDOWN(AJ106-0.01,0),AK106,AK106+1))))</f>
        <v>0</v>
      </c>
      <c r="AL107">
        <f t="shared" si="61"/>
        <v>0</v>
      </c>
      <c r="AM107">
        <f t="shared" si="62"/>
        <v>0</v>
      </c>
      <c r="AN107">
        <f>IF(AM107&gt;AN$12,IF(AK107=AK106,AN106,MAX(AN$13:AN106)+1),0)</f>
        <v>0</v>
      </c>
      <c r="AP107">
        <f t="shared" si="56"/>
        <v>0</v>
      </c>
      <c r="AQ107">
        <f>IF(AP107&gt;0,IF(MAX(AQ108:AQ$214)+AP107&gt;ROUNDUP(MAX(AQ108:AQ$214),0),ROUNDUP(MAX(AQ108:AQ$214),0)+AP107,MAX(AQ108:AQ$214)+AP107),0)</f>
        <v>0</v>
      </c>
      <c r="AR107">
        <f t="shared" si="63"/>
        <v>0</v>
      </c>
      <c r="AS107">
        <f t="shared" si="57"/>
        <v>0</v>
      </c>
      <c r="AT107">
        <f t="shared" si="58"/>
        <v>10</v>
      </c>
      <c r="AV107">
        <v>26</v>
      </c>
      <c r="AW107">
        <f t="shared" si="67"/>
        <v>0</v>
      </c>
      <c r="AX107">
        <f t="shared" si="68"/>
        <v>0</v>
      </c>
      <c r="AY107" s="496">
        <f>IF(AND(AX107=AX$81,SUM(AY$82:AY106)=0,AW107=AZ$81,AX$81&lt;&gt;0),AV107,)</f>
        <v>0</v>
      </c>
      <c r="AZ107">
        <f>IF(AND(SUM(AZ$82:AZ106)=0,SUM($AY107:AY107)=0,$AX107&lt;=AY$117,$AX107&gt;0,$AW107&gt;-1),$AV107,0)</f>
        <v>0</v>
      </c>
      <c r="BA107">
        <f>IF(AND(SUM(BA$82:BA106)=0,SUM($AY107:AZ107)=0,$AX107&lt;=AZ$117,$AX107&gt;0,$AW107&gt;-1),$AV107,0)</f>
        <v>0</v>
      </c>
      <c r="BB107">
        <f>IF(AND(SUM(BB$82:BB106)=0,SUM($AY107:BA107)=0,$AX107&lt;=BA$117,$AX107&gt;0,$AW107&gt;-1),$AV107,0)</f>
        <v>0</v>
      </c>
      <c r="BC107">
        <f>IF(AND(SUM(BC$82:BC106)=0,SUM($AY107:BB107)=0,$AX107&lt;=BB$117,$AX107&gt;0,$AW107&gt;-1),$AV107,0)</f>
        <v>0</v>
      </c>
      <c r="BD107">
        <f>IF(AND(SUM(BD$82:BD106)=0,SUM($AY107:BC107)=0,$AX107&lt;=BC$117,$AX107&gt;0,$AW107&gt;-1),$AV107,0)</f>
        <v>0</v>
      </c>
      <c r="BE107">
        <f>IF(AND(SUM(BE$82:BE106)=0,SUM($AY107:BD107)=0,$AX107&lt;=BD$117,$AX107&gt;0,$AW107&gt;-1),$AV107,0)</f>
        <v>0</v>
      </c>
      <c r="BF107">
        <f>IF(AND(SUM(BF$82:BF106)=0,SUM($AY107:BE107)=0,$AX107&lt;=BE$117,$AX107&gt;0,$AW107&gt;-1),$AV107,0)</f>
        <v>0</v>
      </c>
      <c r="BG107">
        <f t="shared" si="65"/>
        <v>0</v>
      </c>
      <c r="BH107" s="494">
        <f t="shared" si="69"/>
        <v>0</v>
      </c>
      <c r="BI107">
        <f t="shared" si="70"/>
        <v>0</v>
      </c>
      <c r="BK107" t="s">
        <v>1137</v>
      </c>
      <c r="BL107">
        <f>AE10-AB10</f>
        <v>0</v>
      </c>
    </row>
    <row r="108" spans="1:66" x14ac:dyDescent="0.25">
      <c r="A108">
        <v>95</v>
      </c>
      <c r="B108" t="str">
        <f>_xlfn.XLOOKUP(A108,Order!R$12:R$859,Order!C$12:C$859,"")</f>
        <v/>
      </c>
      <c r="C108" t="str">
        <f>_xlfn.XLOOKUP(A108,Order!R$12:R$859,Order!S$12:S$859,"")</f>
        <v/>
      </c>
      <c r="D108" t="str">
        <f>_xlfn.XLOOKUP(A108,Order!R$12:R$859,Order!B$12:B$859,"")</f>
        <v/>
      </c>
      <c r="E108" t="str">
        <f>_xlfn.XLOOKUP(A108,Order!R$12:R$859,Order!P$12:P$859,"")</f>
        <v/>
      </c>
      <c r="F108" t="str">
        <f>_xlfn.XLOOKUP(A108,Order!R$12:R$859,Order!T$12:T$859,"")</f>
        <v/>
      </c>
      <c r="G108" t="str">
        <f>_xlfn.XLOOKUP(A108,Order!R$12:R$859,Order!U$12:U$859,"")</f>
        <v/>
      </c>
      <c r="H108" t="str">
        <f>_xlfn.XLOOKUP(A108,Order!R$12:R$859,Order!B$12:B$859,"")</f>
        <v/>
      </c>
      <c r="I108" t="str">
        <f>_xlfn.XLOOKUP(A108,Order!R$12:R$859,Order!V$12:V$859,"")</f>
        <v/>
      </c>
      <c r="J108" t="str">
        <f>IFERROR(RANK(F108,F$14:F$213,1)+COUNTIF(F$14:F108,F108)-1,"")</f>
        <v/>
      </c>
      <c r="L108" t="str">
        <f t="shared" si="66"/>
        <v/>
      </c>
      <c r="M108" t="str" cm="1">
        <f t="array" ref="M108">_xlfn.XLOOKUP(A108,J$14:J307,B$14:B307,"")</f>
        <v/>
      </c>
      <c r="N108" t="str" cm="1">
        <f t="array" ref="N108">_xlfn.XLOOKUP(A108,J$14:J307,C$14:C307,"")</f>
        <v/>
      </c>
      <c r="O108" t="str" cm="1">
        <f t="array" ref="O108">_xlfn.XLOOKUP(A108,J$14:J307,E$14:E307,"")</f>
        <v/>
      </c>
      <c r="P108" t="str" cm="1">
        <f t="array" ref="P108">_xlfn.XLOOKUP(A108,J$14:J307,G$14:G307,"")</f>
        <v/>
      </c>
      <c r="Q108" t="str" cm="1">
        <f t="array" ref="Q108">_xlfn.XLOOKUP(A108,J$14:J307,F$14:F307,"")</f>
        <v/>
      </c>
      <c r="R108" t="str" cm="1">
        <f t="array" ref="R108">_xlfn.XLOOKUP(A108,J$14:J307,I$14:I307,"")</f>
        <v/>
      </c>
      <c r="S108" t="str" cm="1">
        <f t="array" ref="S108">_xlfn.XLOOKUP(A108,J$14:J307,H$14:H307,"")</f>
        <v/>
      </c>
      <c r="T108" t="str" cm="1">
        <f t="array" ref="T108">VLOOKUP(ROW(95:95),L$14:S$163,8)</f>
        <v/>
      </c>
      <c r="U108" t="str" cm="1">
        <f t="array" ref="U108">VLOOKUP(ROW(95:95),L$14:M$163,2)</f>
        <v/>
      </c>
      <c r="V108" t="str" cm="1">
        <f t="array" ref="V108">VLOOKUP(ROW(95:95),L$14:O$163,4)</f>
        <v/>
      </c>
      <c r="W108" t="str" cm="1">
        <f t="array" ref="W108">VLOOKUP(ROW(95:95),L$14:Q$163,6)</f>
        <v/>
      </c>
      <c r="X108" cm="1">
        <f t="array" ref="X108">IFERROR(VLOOKUP(ROW(95:95),L$14:P$213,5)+0,0)</f>
        <v>0</v>
      </c>
      <c r="Y108" t="str" cm="1">
        <f t="array" ref="Y108">VLOOKUP(ROW(95:95),L$14:R$163,7)</f>
        <v/>
      </c>
      <c r="Z108">
        <f>IF(Y108&lt;-2,X108+MAX(Z$14:Z107),0)</f>
        <v>0</v>
      </c>
      <c r="AA108">
        <f>IFERROR(IF(AND(SUM(AA109:AA$214)+X108&lt;=Z$10,W108&lt;=Z$12,Z108=0),X108,0),0)</f>
        <v>0</v>
      </c>
      <c r="AB108">
        <f>IFERROR(IF(AND(W108&lt;=Z$12+10,AB$12-X108&gt;=0,SUM(Z108:AA108)=0,SUM(AB$14:AB107)+X108&lt;AB$12),X108,0),0)</f>
        <v>0</v>
      </c>
      <c r="AD108">
        <f>IF(AND(Y108=-2,SUM(Z108:AB108)=0),X108+MAX(AD$14:AD107),0)</f>
        <v>0</v>
      </c>
      <c r="AE108">
        <f>IFERROR(IF(AND(SUM(AE109:AE$214)+X108&lt;=AD$10,W108&lt;=AD$12,SUM(Z108:AD108)=0),X108,0),0)</f>
        <v>0</v>
      </c>
      <c r="AF108">
        <f>IFERROR(IF(AND(W108&lt;=AD$12+10,AF$12-X108&gt;=0,SUM(Z108:AE108)=0,SUM(AF$14:AF107)+X108&lt;AF$12),X108,0),0)</f>
        <v>0</v>
      </c>
      <c r="AG108">
        <f t="shared" si="55"/>
        <v>0</v>
      </c>
      <c r="AI108">
        <f t="shared" si="60"/>
        <v>0</v>
      </c>
      <c r="AJ108" s="493">
        <f t="shared" si="64"/>
        <v>0</v>
      </c>
      <c r="AK108">
        <f>IF(AJ108=0,0,IF(AJ107=0,MAX(AK$13:AK107)+1,IF(W108&lt;&gt;W107,MAX(AK$14:AK107)+1,IF(ROUNDDOWN(AJ108-0.01,0)=ROUNDDOWN(AJ107-0.01,0),AK107,AK107+1))))</f>
        <v>0</v>
      </c>
      <c r="AL108">
        <f t="shared" si="61"/>
        <v>0</v>
      </c>
      <c r="AM108">
        <f t="shared" si="62"/>
        <v>0</v>
      </c>
      <c r="AN108">
        <f>IF(AM108&gt;AN$12,IF(AK108=AK107,AN107,MAX(AN$13:AN107)+1),0)</f>
        <v>0</v>
      </c>
      <c r="AP108">
        <f t="shared" si="56"/>
        <v>0</v>
      </c>
      <c r="AQ108">
        <f>IF(AP108&gt;0,IF(MAX(AQ109:AQ$214)+AP108&gt;ROUNDUP(MAX(AQ109:AQ$214),0),ROUNDUP(MAX(AQ109:AQ$214),0)+AP108,MAX(AQ109:AQ$214)+AP108),0)</f>
        <v>0</v>
      </c>
      <c r="AR108">
        <f t="shared" si="63"/>
        <v>0</v>
      </c>
      <c r="AS108">
        <f t="shared" si="57"/>
        <v>0</v>
      </c>
      <c r="AT108">
        <f t="shared" si="58"/>
        <v>10</v>
      </c>
      <c r="AV108">
        <v>27</v>
      </c>
      <c r="AW108">
        <f t="shared" si="67"/>
        <v>0</v>
      </c>
      <c r="AX108">
        <f t="shared" si="68"/>
        <v>0</v>
      </c>
      <c r="AY108" s="496">
        <f>IF(AND(AX108=AX$81,SUM(AY$82:AY107)=0,AW108=AZ$81,AX$81&lt;&gt;0),AV108,)</f>
        <v>0</v>
      </c>
      <c r="AZ108">
        <f>IF(AND(SUM(AZ$82:AZ107)=0,SUM($AY108:AY108)=0,$AX108&lt;=AY$117,$AX108&gt;0,$AW108&gt;-1),$AV108,0)</f>
        <v>0</v>
      </c>
      <c r="BA108">
        <f>IF(AND(SUM(BA$82:BA107)=0,SUM($AY108:AZ108)=0,$AX108&lt;=AZ$117,$AX108&gt;0,$AW108&gt;-1),$AV108,0)</f>
        <v>0</v>
      </c>
      <c r="BB108">
        <f>IF(AND(SUM(BB$82:BB107)=0,SUM($AY108:BA108)=0,$AX108&lt;=BA$117,$AX108&gt;0,$AW108&gt;-1),$AV108,0)</f>
        <v>0</v>
      </c>
      <c r="BC108">
        <f>IF(AND(SUM(BC$82:BC107)=0,SUM($AY108:BB108)=0,$AX108&lt;=BB$117,$AX108&gt;0,$AW108&gt;-1),$AV108,0)</f>
        <v>0</v>
      </c>
      <c r="BD108">
        <f>IF(AND(SUM(BD$82:BD107)=0,SUM($AY108:BC108)=0,$AX108&lt;=BC$117,$AX108&gt;0,$AW108&gt;-1),$AV108,0)</f>
        <v>0</v>
      </c>
      <c r="BE108">
        <f>IF(AND(SUM(BE$82:BE107)=0,SUM($AY108:BD108)=0,$AX108&lt;=BD$117,$AX108&gt;0,$AW108&gt;-1),$AV108,0)</f>
        <v>0</v>
      </c>
      <c r="BF108">
        <f>IF(AND(SUM(BF$82:BF107)=0,SUM($AY108:BE108)=0,$AX108&lt;=BE$117,$AX108&gt;0,$AW108&gt;-1),$AV108,0)</f>
        <v>0</v>
      </c>
      <c r="BG108">
        <f t="shared" si="65"/>
        <v>0</v>
      </c>
      <c r="BH108" s="494">
        <f t="shared" si="69"/>
        <v>0</v>
      </c>
      <c r="BI108">
        <f t="shared" si="70"/>
        <v>0</v>
      </c>
    </row>
    <row r="109" spans="1:66" x14ac:dyDescent="0.25">
      <c r="A109">
        <v>96</v>
      </c>
      <c r="B109" t="str">
        <f>_xlfn.XLOOKUP(A109,Order!R$12:R$859,Order!C$12:C$859,"")</f>
        <v/>
      </c>
      <c r="C109" t="str">
        <f>_xlfn.XLOOKUP(A109,Order!R$12:R$859,Order!S$12:S$859,"")</f>
        <v/>
      </c>
      <c r="D109" t="str">
        <f>_xlfn.XLOOKUP(A109,Order!R$12:R$859,Order!B$12:B$859,"")</f>
        <v/>
      </c>
      <c r="E109" t="str">
        <f>_xlfn.XLOOKUP(A109,Order!R$12:R$859,Order!P$12:P$859,"")</f>
        <v/>
      </c>
      <c r="F109" t="str">
        <f>_xlfn.XLOOKUP(A109,Order!R$12:R$859,Order!T$12:T$859,"")</f>
        <v/>
      </c>
      <c r="G109" t="str">
        <f>_xlfn.XLOOKUP(A109,Order!R$12:R$859,Order!U$12:U$859,"")</f>
        <v/>
      </c>
      <c r="H109" t="str">
        <f>_xlfn.XLOOKUP(A109,Order!R$12:R$859,Order!B$12:B$859,"")</f>
        <v/>
      </c>
      <c r="I109" t="str">
        <f>_xlfn.XLOOKUP(A109,Order!R$12:R$859,Order!V$12:V$859,"")</f>
        <v/>
      </c>
      <c r="J109" t="str">
        <f>IFERROR(RANK(F109,F$14:F$213,1)+COUNTIF(F$14:F109,F109)-1,"")</f>
        <v/>
      </c>
      <c r="L109" t="str">
        <f t="shared" si="66"/>
        <v/>
      </c>
      <c r="M109" t="str" cm="1">
        <f t="array" ref="M109">_xlfn.XLOOKUP(A109,J$14:J308,B$14:B308,"")</f>
        <v/>
      </c>
      <c r="N109" t="str" cm="1">
        <f t="array" ref="N109">_xlfn.XLOOKUP(A109,J$14:J308,C$14:C308,"")</f>
        <v/>
      </c>
      <c r="O109" t="str" cm="1">
        <f t="array" ref="O109">_xlfn.XLOOKUP(A109,J$14:J308,E$14:E308,"")</f>
        <v/>
      </c>
      <c r="P109" t="str" cm="1">
        <f t="array" ref="P109">_xlfn.XLOOKUP(A109,J$14:J308,G$14:G308,"")</f>
        <v/>
      </c>
      <c r="Q109" t="str" cm="1">
        <f t="array" ref="Q109">_xlfn.XLOOKUP(A109,J$14:J308,F$14:F308,"")</f>
        <v/>
      </c>
      <c r="R109" t="str" cm="1">
        <f t="array" ref="R109">_xlfn.XLOOKUP(A109,J$14:J308,I$14:I308,"")</f>
        <v/>
      </c>
      <c r="S109" t="str" cm="1">
        <f t="array" ref="S109">_xlfn.XLOOKUP(A109,J$14:J308,H$14:H308,"")</f>
        <v/>
      </c>
      <c r="T109" t="str" cm="1">
        <f t="array" ref="T109">VLOOKUP(ROW(96:96),L$14:S$163,8)</f>
        <v/>
      </c>
      <c r="U109" t="str" cm="1">
        <f t="array" ref="U109">VLOOKUP(ROW(96:96),L$14:M$163,2)</f>
        <v/>
      </c>
      <c r="V109" t="str" cm="1">
        <f t="array" ref="V109">VLOOKUP(ROW(96:96),L$14:O$163,4)</f>
        <v/>
      </c>
      <c r="W109" t="str" cm="1">
        <f t="array" ref="W109">VLOOKUP(ROW(96:96),L$14:Q$163,6)</f>
        <v/>
      </c>
      <c r="X109" cm="1">
        <f t="array" ref="X109">IFERROR(VLOOKUP(ROW(96:96),L$14:P$213,5)+0,0)</f>
        <v>0</v>
      </c>
      <c r="Y109" t="str" cm="1">
        <f t="array" ref="Y109">VLOOKUP(ROW(96:96),L$14:R$163,7)</f>
        <v/>
      </c>
      <c r="Z109">
        <f>IF(Y109&lt;-2,X109+MAX(Z$14:Z108),0)</f>
        <v>0</v>
      </c>
      <c r="AA109">
        <f>IFERROR(IF(AND(SUM(AA110:AA$214)+X109&lt;=Z$10,W109&lt;=Z$12,Z109=0),X109,0),0)</f>
        <v>0</v>
      </c>
      <c r="AB109">
        <f>IFERROR(IF(AND(W109&lt;=Z$12+10,AB$12-X109&gt;=0,SUM(Z109:AA109)=0,SUM(AB$14:AB108)+X109&lt;AB$12),X109,0),0)</f>
        <v>0</v>
      </c>
      <c r="AD109">
        <f>IF(AND(Y109=-2,SUM(Z109:AB109)=0),X109+MAX(AD$14:AD108),0)</f>
        <v>0</v>
      </c>
      <c r="AE109">
        <f>IFERROR(IF(AND(SUM(AE110:AE$214)+X109&lt;=AD$10,W109&lt;=AD$12,SUM(Z109:AD109)=0),X109,0),0)</f>
        <v>0</v>
      </c>
      <c r="AF109">
        <f>IFERROR(IF(AND(W109&lt;=AD$12+10,AF$12-X109&gt;=0,SUM(Z109:AE109)=0,SUM(AF$14:AF108)+X109&lt;AF$12),X109,0),0)</f>
        <v>0</v>
      </c>
      <c r="AG109">
        <f t="shared" si="55"/>
        <v>0</v>
      </c>
      <c r="AI109">
        <f t="shared" si="60"/>
        <v>0</v>
      </c>
      <c r="AJ109" s="493">
        <f t="shared" si="64"/>
        <v>0</v>
      </c>
      <c r="AK109">
        <f>IF(AJ109=0,0,IF(AJ108=0,MAX(AK$13:AK108)+1,IF(W109&lt;&gt;W108,MAX(AK$14:AK108)+1,IF(ROUNDDOWN(AJ109-0.01,0)=ROUNDDOWN(AJ108-0.01,0),AK108,AK108+1))))</f>
        <v>0</v>
      </c>
      <c r="AL109">
        <f t="shared" si="61"/>
        <v>0</v>
      </c>
      <c r="AM109">
        <f t="shared" si="62"/>
        <v>0</v>
      </c>
      <c r="AN109">
        <f>IF(AM109&gt;AN$12,IF(AK109=AK108,AN108,MAX(AN$13:AN108)+1),0)</f>
        <v>0</v>
      </c>
      <c r="AP109">
        <f t="shared" si="56"/>
        <v>0</v>
      </c>
      <c r="AQ109">
        <f>IF(AP109&gt;0,IF(MAX(AQ110:AQ$214)+AP109&gt;ROUNDUP(MAX(AQ110:AQ$214),0),ROUNDUP(MAX(AQ110:AQ$214),0)+AP109,MAX(AQ110:AQ$214)+AP109),0)</f>
        <v>0</v>
      </c>
      <c r="AR109">
        <f t="shared" si="63"/>
        <v>0</v>
      </c>
      <c r="AS109">
        <f t="shared" si="57"/>
        <v>0</v>
      </c>
      <c r="AT109">
        <f t="shared" si="58"/>
        <v>10</v>
      </c>
      <c r="AV109">
        <v>28</v>
      </c>
      <c r="AW109">
        <f t="shared" si="67"/>
        <v>0</v>
      </c>
      <c r="AX109">
        <f t="shared" si="68"/>
        <v>0</v>
      </c>
      <c r="AY109" s="496">
        <f>IF(AND(AX109=AX$81,SUM(AY$82:AY108)=0,AW109=AZ$81,AX$81&lt;&gt;0),AV109,)</f>
        <v>0</v>
      </c>
      <c r="AZ109">
        <f>IF(AND(SUM(AZ$82:AZ108)=0,SUM($AY109:AY109)=0,$AX109&lt;=AY$117,$AX109&gt;0,$AW109&gt;-1),$AV109,0)</f>
        <v>0</v>
      </c>
      <c r="BA109">
        <f>IF(AND(SUM(BA$82:BA108)=0,SUM($AY109:AZ109)=0,$AX109&lt;=AZ$117,$AX109&gt;0,$AW109&gt;-1),$AV109,0)</f>
        <v>0</v>
      </c>
      <c r="BB109">
        <f>IF(AND(SUM(BB$82:BB108)=0,SUM($AY109:BA109)=0,$AX109&lt;=BA$117,$AX109&gt;0,$AW109&gt;-1),$AV109,0)</f>
        <v>0</v>
      </c>
      <c r="BC109">
        <f>IF(AND(SUM(BC$82:BC108)=0,SUM($AY109:BB109)=0,$AX109&lt;=BB$117,$AX109&gt;0,$AW109&gt;-1),$AV109,0)</f>
        <v>0</v>
      </c>
      <c r="BD109">
        <f>IF(AND(SUM(BD$82:BD108)=0,SUM($AY109:BC109)=0,$AX109&lt;=BC$117,$AX109&gt;0,$AW109&gt;-1),$AV109,0)</f>
        <v>0</v>
      </c>
      <c r="BE109">
        <f>IF(AND(SUM(BE$82:BE108)=0,SUM($AY109:BD109)=0,$AX109&lt;=BD$117,$AX109&gt;0,$AW109&gt;-1),$AV109,0)</f>
        <v>0</v>
      </c>
      <c r="BF109">
        <f>IF(AND(SUM(BF$82:BF108)=0,SUM($AY109:BE109)=0,$AX109&lt;=BE$117,$AX109&gt;0,$AW109&gt;-1),$AV109,0)</f>
        <v>0</v>
      </c>
      <c r="BG109">
        <f t="shared" si="65"/>
        <v>0</v>
      </c>
      <c r="BH109" s="494">
        <f t="shared" si="69"/>
        <v>0</v>
      </c>
      <c r="BI109">
        <f t="shared" si="70"/>
        <v>0</v>
      </c>
      <c r="BM109" t="s">
        <v>1169</v>
      </c>
    </row>
    <row r="110" spans="1:66" x14ac:dyDescent="0.25">
      <c r="A110">
        <v>97</v>
      </c>
      <c r="B110" t="str">
        <f>_xlfn.XLOOKUP(A110,Order!R$12:R$859,Order!C$12:C$859,"")</f>
        <v/>
      </c>
      <c r="C110" t="str">
        <f>_xlfn.XLOOKUP(A110,Order!R$12:R$859,Order!S$12:S$859,"")</f>
        <v/>
      </c>
      <c r="D110" t="str">
        <f>_xlfn.XLOOKUP(A110,Order!R$12:R$859,Order!B$12:B$859,"")</f>
        <v/>
      </c>
      <c r="E110" t="str">
        <f>_xlfn.XLOOKUP(A110,Order!R$12:R$859,Order!P$12:P$859,"")</f>
        <v/>
      </c>
      <c r="F110" t="str">
        <f>_xlfn.XLOOKUP(A110,Order!R$12:R$859,Order!T$12:T$859,"")</f>
        <v/>
      </c>
      <c r="G110" t="str">
        <f>_xlfn.XLOOKUP(A110,Order!R$12:R$859,Order!U$12:U$859,"")</f>
        <v/>
      </c>
      <c r="H110" t="str">
        <f>_xlfn.XLOOKUP(A110,Order!R$12:R$859,Order!B$12:B$859,"")</f>
        <v/>
      </c>
      <c r="I110" t="str">
        <f>_xlfn.XLOOKUP(A110,Order!R$12:R$859,Order!V$12:V$859,"")</f>
        <v/>
      </c>
      <c r="J110" t="str">
        <f>IFERROR(RANK(F110,F$14:F$213,1)+COUNTIF(F$14:F110,F110)-1,"")</f>
        <v/>
      </c>
      <c r="L110" t="str">
        <f t="shared" si="66"/>
        <v/>
      </c>
      <c r="M110" t="str" cm="1">
        <f t="array" ref="M110">_xlfn.XLOOKUP(A110,J$14:J309,B$14:B309,"")</f>
        <v/>
      </c>
      <c r="N110" t="str" cm="1">
        <f t="array" ref="N110">_xlfn.XLOOKUP(A110,J$14:J309,C$14:C309,"")</f>
        <v/>
      </c>
      <c r="O110" t="str" cm="1">
        <f t="array" ref="O110">_xlfn.XLOOKUP(A110,J$14:J309,E$14:E309,"")</f>
        <v/>
      </c>
      <c r="P110" t="str" cm="1">
        <f t="array" ref="P110">_xlfn.XLOOKUP(A110,J$14:J309,G$14:G309,"")</f>
        <v/>
      </c>
      <c r="Q110" t="str" cm="1">
        <f t="array" ref="Q110">_xlfn.XLOOKUP(A110,J$14:J309,F$14:F309,"")</f>
        <v/>
      </c>
      <c r="R110" t="str" cm="1">
        <f t="array" ref="R110">_xlfn.XLOOKUP(A110,J$14:J309,I$14:I309,"")</f>
        <v/>
      </c>
      <c r="S110" t="str" cm="1">
        <f t="array" ref="S110">_xlfn.XLOOKUP(A110,J$14:J309,H$14:H309,"")</f>
        <v/>
      </c>
      <c r="T110" t="str" cm="1">
        <f t="array" ref="T110">VLOOKUP(ROW(97:97),L$14:S$163,8)</f>
        <v/>
      </c>
      <c r="U110" t="str" cm="1">
        <f t="array" ref="U110">VLOOKUP(ROW(97:97),L$14:M$163,2)</f>
        <v/>
      </c>
      <c r="V110" t="str" cm="1">
        <f t="array" ref="V110">VLOOKUP(ROW(97:97),L$14:O$163,4)</f>
        <v/>
      </c>
      <c r="W110" t="str" cm="1">
        <f t="array" ref="W110">VLOOKUP(ROW(97:97),L$14:Q$163,6)</f>
        <v/>
      </c>
      <c r="X110" cm="1">
        <f t="array" ref="X110">IFERROR(VLOOKUP(ROW(97:97),L$14:P$213,5)+0,0)</f>
        <v>0</v>
      </c>
      <c r="Y110" t="str" cm="1">
        <f t="array" ref="Y110">VLOOKUP(ROW(97:97),L$14:R$163,7)</f>
        <v/>
      </c>
      <c r="Z110">
        <f>IF(Y110&lt;-2,X110+MAX(Z$14:Z109),0)</f>
        <v>0</v>
      </c>
      <c r="AA110">
        <f>IFERROR(IF(AND(SUM(AA111:AA$214)+X110&lt;=Z$10,W110&lt;=Z$12,Z110=0),X110,0),0)</f>
        <v>0</v>
      </c>
      <c r="AB110">
        <f>IFERROR(IF(AND(W110&lt;=Z$12+10,AB$12-X110&gt;=0,SUM(Z110:AA110)=0,SUM(AB$14:AB109)+X110&lt;AB$12),X110,0),0)</f>
        <v>0</v>
      </c>
      <c r="AD110">
        <f>IF(AND(Y110=-2,SUM(Z110:AB110)=0),X110+MAX(AD$14:AD109),0)</f>
        <v>0</v>
      </c>
      <c r="AE110">
        <f>IFERROR(IF(AND(SUM(AE111:AE$214)+X110&lt;=AD$10,W110&lt;=AD$12,SUM(Z110:AD110)=0),X110,0),0)</f>
        <v>0</v>
      </c>
      <c r="AF110">
        <f>IFERROR(IF(AND(W110&lt;=AD$12+10,AF$12-X110&gt;=0,SUM(Z110:AE110)=0,SUM(AF$14:AF109)+X110&lt;AF$12),X110,0),0)</f>
        <v>0</v>
      </c>
      <c r="AG110">
        <f t="shared" ref="AG110:AG141" si="71">IF(SUM(Z110:AF110)&gt;0,0,X110)</f>
        <v>0</v>
      </c>
      <c r="AI110">
        <f t="shared" si="60"/>
        <v>0</v>
      </c>
      <c r="AJ110" s="493">
        <f t="shared" si="64"/>
        <v>0</v>
      </c>
      <c r="AK110">
        <f>IF(AJ110=0,0,IF(AJ109=0,MAX(AK$13:AK109)+1,IF(W110&lt;&gt;W109,MAX(AK$14:AK109)+1,IF(ROUNDDOWN(AJ110-0.01,0)=ROUNDDOWN(AJ109-0.01,0),AK109,AK109+1))))</f>
        <v>0</v>
      </c>
      <c r="AL110">
        <f t="shared" si="61"/>
        <v>0</v>
      </c>
      <c r="AM110">
        <f t="shared" si="62"/>
        <v>0</v>
      </c>
      <c r="AN110">
        <f>IF(AM110&gt;AN$12,IF(AK110=AK109,AN109,MAX(AN$13:AN109)+1),0)</f>
        <v>0</v>
      </c>
      <c r="AP110">
        <f t="shared" ref="AP110:AP141" si="72">IF(AN110+AI110&gt;0,0,X110)</f>
        <v>0</v>
      </c>
      <c r="AQ110">
        <f>IF(AP110&gt;0,IF(MAX(AQ111:AQ$214)+AP110&gt;ROUNDUP(MAX(AQ111:AQ$214),0),ROUNDUP(MAX(AQ111:AQ$214),0)+AP110,MAX(AQ111:AQ$214)+AP110),0)</f>
        <v>0</v>
      </c>
      <c r="AR110">
        <f t="shared" si="63"/>
        <v>0</v>
      </c>
      <c r="AS110">
        <f t="shared" ref="AS110:AS141" si="73">_xlfn.MAXIFS(W110:W309,AR110:AR309,AR110)</f>
        <v>0</v>
      </c>
      <c r="AT110">
        <f t="shared" ref="AT110:AT141" si="74">_xlfn.SINGLE(_xlfn.XLOOKUP(AR110,BK$4:BK$48,BJ$4:BJ$48,0))</f>
        <v>10</v>
      </c>
      <c r="AV110">
        <v>29</v>
      </c>
      <c r="AW110">
        <f t="shared" si="67"/>
        <v>0</v>
      </c>
      <c r="AX110">
        <f t="shared" si="68"/>
        <v>0</v>
      </c>
      <c r="AY110" s="496">
        <f>IF(AND(AX110=AX$81,SUM(AY$82:AY109)=0,AW110=AZ$81,AX$81&lt;&gt;0),AV110,)</f>
        <v>0</v>
      </c>
      <c r="AZ110">
        <f>IF(AND(SUM(AZ$82:AZ109)=0,SUM($AY110:AY110)=0,$AX110&lt;=AY$117,$AX110&gt;0,$AW110&gt;-1),$AV110,0)</f>
        <v>0</v>
      </c>
      <c r="BA110">
        <f>IF(AND(SUM(BA$82:BA109)=0,SUM($AY110:AZ110)=0,$AX110&lt;=AZ$117,$AX110&gt;0,$AW110&gt;-1),$AV110,0)</f>
        <v>0</v>
      </c>
      <c r="BB110">
        <f>IF(AND(SUM(BB$82:BB109)=0,SUM($AY110:BA110)=0,$AX110&lt;=BA$117,$AX110&gt;0,$AW110&gt;-1),$AV110,0)</f>
        <v>0</v>
      </c>
      <c r="BC110">
        <f>IF(AND(SUM(BC$82:BC109)=0,SUM($AY110:BB110)=0,$AX110&lt;=BB$117,$AX110&gt;0,$AW110&gt;-1),$AV110,0)</f>
        <v>0</v>
      </c>
      <c r="BD110">
        <f>IF(AND(SUM(BD$82:BD109)=0,SUM($AY110:BC110)=0,$AX110&lt;=BC$117,$AX110&gt;0,$AW110&gt;-1),$AV110,0)</f>
        <v>0</v>
      </c>
      <c r="BE110">
        <f>IF(AND(SUM(BE$82:BE109)=0,SUM($AY110:BD110)=0,$AX110&lt;=BD$117,$AX110&gt;0,$AW110&gt;-1),$AV110,0)</f>
        <v>0</v>
      </c>
      <c r="BF110">
        <f>IF(AND(SUM(BF$82:BF109)=0,SUM($AY110:BE110)=0,$AX110&lt;=BE$117,$AX110&gt;0,$AW110&gt;-1),$AV110,0)</f>
        <v>0</v>
      </c>
      <c r="BG110">
        <f t="shared" si="65"/>
        <v>0</v>
      </c>
      <c r="BH110" s="494">
        <f t="shared" si="69"/>
        <v>0</v>
      </c>
      <c r="BI110">
        <f t="shared" si="70"/>
        <v>0</v>
      </c>
      <c r="BL110">
        <f>ROUNDDOWN((BL107+BL106)/BL105,0)</f>
        <v>0</v>
      </c>
      <c r="BM110">
        <f>BL106+BL107-SUM(BL111:BL115)</f>
        <v>0</v>
      </c>
    </row>
    <row r="111" spans="1:66" x14ac:dyDescent="0.25">
      <c r="A111">
        <v>98</v>
      </c>
      <c r="B111" t="str">
        <f>_xlfn.XLOOKUP(A111,Order!R$12:R$859,Order!C$12:C$859,"")</f>
        <v/>
      </c>
      <c r="C111" t="str">
        <f>_xlfn.XLOOKUP(A111,Order!R$12:R$859,Order!S$12:S$859,"")</f>
        <v/>
      </c>
      <c r="D111" t="str">
        <f>_xlfn.XLOOKUP(A111,Order!R$12:R$859,Order!B$12:B$859,"")</f>
        <v/>
      </c>
      <c r="E111" t="str">
        <f>_xlfn.XLOOKUP(A111,Order!R$12:R$859,Order!P$12:P$859,"")</f>
        <v/>
      </c>
      <c r="F111" t="str">
        <f>_xlfn.XLOOKUP(A111,Order!R$12:R$859,Order!T$12:T$859,"")</f>
        <v/>
      </c>
      <c r="G111" t="str">
        <f>_xlfn.XLOOKUP(A111,Order!R$12:R$859,Order!U$12:U$859,"")</f>
        <v/>
      </c>
      <c r="H111" t="str">
        <f>_xlfn.XLOOKUP(A111,Order!R$12:R$859,Order!B$12:B$859,"")</f>
        <v/>
      </c>
      <c r="I111" t="str">
        <f>_xlfn.XLOOKUP(A111,Order!R$12:R$859,Order!V$12:V$859,"")</f>
        <v/>
      </c>
      <c r="J111" t="str">
        <f>IFERROR(RANK(F111,F$14:F$213,1)+COUNTIF(F$14:F111,F111)-1,"")</f>
        <v/>
      </c>
      <c r="L111" t="str">
        <f t="shared" si="66"/>
        <v/>
      </c>
      <c r="M111" t="str" cm="1">
        <f t="array" ref="M111">_xlfn.XLOOKUP(A111,J$14:J310,B$14:B310,"")</f>
        <v/>
      </c>
      <c r="N111" t="str" cm="1">
        <f t="array" ref="N111">_xlfn.XLOOKUP(A111,J$14:J310,C$14:C310,"")</f>
        <v/>
      </c>
      <c r="O111" t="str" cm="1">
        <f t="array" ref="O111">_xlfn.XLOOKUP(A111,J$14:J310,E$14:E310,"")</f>
        <v/>
      </c>
      <c r="P111" t="str" cm="1">
        <f t="array" ref="P111">_xlfn.XLOOKUP(A111,J$14:J310,G$14:G310,"")</f>
        <v/>
      </c>
      <c r="Q111" t="str" cm="1">
        <f t="array" ref="Q111">_xlfn.XLOOKUP(A111,J$14:J310,F$14:F310,"")</f>
        <v/>
      </c>
      <c r="R111" t="str" cm="1">
        <f t="array" ref="R111">_xlfn.XLOOKUP(A111,J$14:J310,I$14:I310,"")</f>
        <v/>
      </c>
      <c r="S111" t="str" cm="1">
        <f t="array" ref="S111">_xlfn.XLOOKUP(A111,J$14:J310,H$14:H310,"")</f>
        <v/>
      </c>
      <c r="T111" t="str" cm="1">
        <f t="array" ref="T111">VLOOKUP(ROW(98:98),L$14:S$163,8)</f>
        <v/>
      </c>
      <c r="U111" t="str" cm="1">
        <f t="array" ref="U111">VLOOKUP(ROW(98:98),L$14:M$163,2)</f>
        <v/>
      </c>
      <c r="V111" t="str" cm="1">
        <f t="array" ref="V111">VLOOKUP(ROW(98:98),L$14:O$163,4)</f>
        <v/>
      </c>
      <c r="W111" t="str" cm="1">
        <f t="array" ref="W111">VLOOKUP(ROW(98:98),L$14:Q$163,6)</f>
        <v/>
      </c>
      <c r="X111" cm="1">
        <f t="array" ref="X111">IFERROR(VLOOKUP(ROW(98:98),L$14:P$213,5)+0,0)</f>
        <v>0</v>
      </c>
      <c r="Y111" t="str" cm="1">
        <f t="array" ref="Y111">VLOOKUP(ROW(98:98),L$14:R$163,7)</f>
        <v/>
      </c>
      <c r="Z111">
        <f>IF(Y111&lt;-2,X111+MAX(Z$14:Z110),0)</f>
        <v>0</v>
      </c>
      <c r="AA111">
        <f>IFERROR(IF(AND(SUM(AA112:AA$214)+X111&lt;=Z$10,W111&lt;=Z$12,Z111=0),X111,0),0)</f>
        <v>0</v>
      </c>
      <c r="AB111">
        <f>IFERROR(IF(AND(W111&lt;=Z$12+10,AB$12-X111&gt;=0,SUM(Z111:AA111)=0,SUM(AB$14:AB110)+X111&lt;AB$12),X111,0),0)</f>
        <v>0</v>
      </c>
      <c r="AD111">
        <f>IF(AND(Y111=-2,SUM(Z111:AB111)=0),X111+MAX(AD$14:AD110),0)</f>
        <v>0</v>
      </c>
      <c r="AE111">
        <f>IFERROR(IF(AND(SUM(AE112:AE$214)+X111&lt;=AD$10,W111&lt;=AD$12,SUM(Z111:AD111)=0),X111,0),0)</f>
        <v>0</v>
      </c>
      <c r="AF111">
        <f>IFERROR(IF(AND(W111&lt;=AD$12+10,AF$12-X111&gt;=0,SUM(Z111:AE111)=0,SUM(AF$14:AF110)+X111&lt;AF$12),X111,0),0)</f>
        <v>0</v>
      </c>
      <c r="AG111">
        <f t="shared" si="71"/>
        <v>0</v>
      </c>
      <c r="AI111">
        <f t="shared" si="60"/>
        <v>0</v>
      </c>
      <c r="AJ111" s="493">
        <f t="shared" si="64"/>
        <v>0</v>
      </c>
      <c r="AK111">
        <f>IF(AJ111=0,0,IF(AJ110=0,MAX(AK$13:AK110)+1,IF(W111&lt;&gt;W110,MAX(AK$14:AK110)+1,IF(ROUNDDOWN(AJ111-0.01,0)=ROUNDDOWN(AJ110-0.01,0),AK110,AK110+1))))</f>
        <v>0</v>
      </c>
      <c r="AL111">
        <f t="shared" si="61"/>
        <v>0</v>
      </c>
      <c r="AM111">
        <f t="shared" si="62"/>
        <v>0</v>
      </c>
      <c r="AN111">
        <f>IF(AM111&gt;AN$12,IF(AK111=AK110,AN110,MAX(AN$13:AN110)+1),0)</f>
        <v>0</v>
      </c>
      <c r="AP111">
        <f t="shared" si="72"/>
        <v>0</v>
      </c>
      <c r="AQ111">
        <f>IF(AP111&gt;0,IF(MAX(AQ112:AQ$214)+AP111&gt;ROUNDUP(MAX(AQ112:AQ$214),0),ROUNDUP(MAX(AQ112:AQ$214),0)+AP111,MAX(AQ112:AQ$214)+AP111),0)</f>
        <v>0</v>
      </c>
      <c r="AR111">
        <f t="shared" si="63"/>
        <v>0</v>
      </c>
      <c r="AS111">
        <f t="shared" si="73"/>
        <v>0</v>
      </c>
      <c r="AT111">
        <f t="shared" si="74"/>
        <v>10</v>
      </c>
      <c r="AV111">
        <v>30</v>
      </c>
      <c r="AW111">
        <f t="shared" si="67"/>
        <v>0</v>
      </c>
      <c r="AX111">
        <f t="shared" si="68"/>
        <v>0</v>
      </c>
      <c r="AY111" s="496">
        <f>IF(AND(AX111=AX$81,SUM(AY$82:AY110)=0,AW111=AZ$81,AX$81&lt;&gt;0),AV111,)</f>
        <v>0</v>
      </c>
      <c r="AZ111">
        <f>IF(AND(SUM(AZ$82:AZ110)=0,SUM($AY111:AY111)=0,$AX111&lt;=AY$117,$AX111&gt;0,$AW111&gt;-1),$AV111,0)</f>
        <v>0</v>
      </c>
      <c r="BA111">
        <f>IF(AND(SUM(BA$82:BA110)=0,SUM($AY111:AZ111)=0,$AX111&lt;=AZ$117,$AX111&gt;0,$AW111&gt;-1),$AV111,0)</f>
        <v>0</v>
      </c>
      <c r="BB111">
        <f>IF(AND(SUM(BB$82:BB110)=0,SUM($AY111:BA111)=0,$AX111&lt;=BA$117,$AX111&gt;0,$AW111&gt;-1),$AV111,0)</f>
        <v>0</v>
      </c>
      <c r="BC111">
        <f>IF(AND(SUM(BC$82:BC110)=0,SUM($AY111:BB111)=0,$AX111&lt;=BB$117,$AX111&gt;0,$AW111&gt;-1),$AV111,0)</f>
        <v>0</v>
      </c>
      <c r="BD111">
        <f>IF(AND(SUM(BD$82:BD110)=0,SUM($AY111:BC111)=0,$AX111&lt;=BC$117,$AX111&gt;0,$AW111&gt;-1),$AV111,0)</f>
        <v>0</v>
      </c>
      <c r="BE111">
        <f>IF(AND(SUM(BE$82:BE110)=0,SUM($AY111:BD111)=0,$AX111&lt;=BD$117,$AX111&gt;0,$AW111&gt;-1),$AV111,0)</f>
        <v>0</v>
      </c>
      <c r="BF111">
        <f>IF(AND(SUM(BF$82:BF110)=0,SUM($AY111:BE111)=0,$AX111&lt;=BE$117,$AX111&gt;0,$AW111&gt;-1),$AV111,0)</f>
        <v>0</v>
      </c>
      <c r="BG111">
        <f t="shared" si="65"/>
        <v>0</v>
      </c>
      <c r="BH111" s="494">
        <f t="shared" si="69"/>
        <v>0</v>
      </c>
      <c r="BI111">
        <f t="shared" si="70"/>
        <v>0</v>
      </c>
      <c r="BK111">
        <v>1</v>
      </c>
      <c r="BL111">
        <f>BL110</f>
        <v>0</v>
      </c>
      <c r="BM111">
        <f>BL111+IF(BM$110&gt;=BK111,1,0)</f>
        <v>0</v>
      </c>
      <c r="BN111">
        <v>1</v>
      </c>
    </row>
    <row r="112" spans="1:66" x14ac:dyDescent="0.25">
      <c r="A112">
        <v>99</v>
      </c>
      <c r="B112" t="str">
        <f>_xlfn.XLOOKUP(A112,Order!R$12:R$859,Order!C$12:C$859,"")</f>
        <v/>
      </c>
      <c r="C112" t="str">
        <f>_xlfn.XLOOKUP(A112,Order!R$12:R$859,Order!S$12:S$859,"")</f>
        <v/>
      </c>
      <c r="D112" t="str">
        <f>_xlfn.XLOOKUP(A112,Order!R$12:R$859,Order!B$12:B$859,"")</f>
        <v/>
      </c>
      <c r="E112" t="str">
        <f>_xlfn.XLOOKUP(A112,Order!R$12:R$859,Order!P$12:P$859,"")</f>
        <v/>
      </c>
      <c r="F112" t="str">
        <f>_xlfn.XLOOKUP(A112,Order!R$12:R$859,Order!T$12:T$859,"")</f>
        <v/>
      </c>
      <c r="G112" t="str">
        <f>_xlfn.XLOOKUP(A112,Order!R$12:R$859,Order!U$12:U$859,"")</f>
        <v/>
      </c>
      <c r="H112" t="str">
        <f>_xlfn.XLOOKUP(A112,Order!R$12:R$859,Order!B$12:B$859,"")</f>
        <v/>
      </c>
      <c r="I112" t="str">
        <f>_xlfn.XLOOKUP(A112,Order!R$12:R$859,Order!V$12:V$859,"")</f>
        <v/>
      </c>
      <c r="J112" t="str">
        <f>IFERROR(RANK(F112,F$14:F$213,1)+COUNTIF(F$14:F112,F112)-1,"")</f>
        <v/>
      </c>
      <c r="L112" t="str">
        <f t="shared" si="66"/>
        <v/>
      </c>
      <c r="M112" t="str" cm="1">
        <f t="array" ref="M112">_xlfn.XLOOKUP(A112,J$14:J311,B$14:B311,"")</f>
        <v/>
      </c>
      <c r="N112" t="str" cm="1">
        <f t="array" ref="N112">_xlfn.XLOOKUP(A112,J$14:J311,C$14:C311,"")</f>
        <v/>
      </c>
      <c r="O112" t="str" cm="1">
        <f t="array" ref="O112">_xlfn.XLOOKUP(A112,J$14:J311,E$14:E311,"")</f>
        <v/>
      </c>
      <c r="P112" t="str" cm="1">
        <f t="array" ref="P112">_xlfn.XLOOKUP(A112,J$14:J311,G$14:G311,"")</f>
        <v/>
      </c>
      <c r="Q112" t="str" cm="1">
        <f t="array" ref="Q112">_xlfn.XLOOKUP(A112,J$14:J311,F$14:F311,"")</f>
        <v/>
      </c>
      <c r="R112" t="str" cm="1">
        <f t="array" ref="R112">_xlfn.XLOOKUP(A112,J$14:J311,I$14:I311,"")</f>
        <v/>
      </c>
      <c r="S112" t="str" cm="1">
        <f t="array" ref="S112">_xlfn.XLOOKUP(A112,J$14:J311,H$14:H311,"")</f>
        <v/>
      </c>
      <c r="T112" t="str" cm="1">
        <f t="array" ref="T112">VLOOKUP(ROW(99:99),L$14:S$163,8)</f>
        <v/>
      </c>
      <c r="U112" t="str" cm="1">
        <f t="array" ref="U112">VLOOKUP(ROW(99:99),L$14:M$163,2)</f>
        <v/>
      </c>
      <c r="V112" t="str" cm="1">
        <f t="array" ref="V112">VLOOKUP(ROW(99:99),L$14:O$163,4)</f>
        <v/>
      </c>
      <c r="W112" t="str" cm="1">
        <f t="array" ref="W112">VLOOKUP(ROW(99:99),L$14:Q$163,6)</f>
        <v/>
      </c>
      <c r="X112" cm="1">
        <f t="array" ref="X112">IFERROR(VLOOKUP(ROW(99:99),L$14:P$213,5)+0,0)</f>
        <v>0</v>
      </c>
      <c r="Y112" t="str" cm="1">
        <f t="array" ref="Y112">VLOOKUP(ROW(99:99),L$14:R$163,7)</f>
        <v/>
      </c>
      <c r="Z112">
        <f>IF(Y112&lt;-2,X112+MAX(Z$14:Z111),0)</f>
        <v>0</v>
      </c>
      <c r="AA112">
        <f>IFERROR(IF(AND(SUM(AA113:AA$214)+X112&lt;=Z$10,W112&lt;=Z$12,Z112=0),X112,0),0)</f>
        <v>0</v>
      </c>
      <c r="AB112">
        <f>IFERROR(IF(AND(W112&lt;=Z$12+10,AB$12-X112&gt;=0,SUM(Z112:AA112)=0,SUM(AB$14:AB111)+X112&lt;AB$12),X112,0),0)</f>
        <v>0</v>
      </c>
      <c r="AD112">
        <f>IF(AND(Y112=-2,SUM(Z112:AB112)=0),X112+MAX(AD$14:AD111),0)</f>
        <v>0</v>
      </c>
      <c r="AE112">
        <f>IFERROR(IF(AND(SUM(AE113:AE$214)+X112&lt;=AD$10,W112&lt;=AD$12,SUM(Z112:AD112)=0),X112,0),0)</f>
        <v>0</v>
      </c>
      <c r="AF112">
        <f>IFERROR(IF(AND(W112&lt;=AD$12+10,AF$12-X112&gt;=0,SUM(Z112:AE112)=0,SUM(AF$14:AF111)+X112&lt;AF$12),X112,0),0)</f>
        <v>0</v>
      </c>
      <c r="AG112">
        <f t="shared" si="71"/>
        <v>0</v>
      </c>
      <c r="AI112">
        <f t="shared" si="60"/>
        <v>0</v>
      </c>
      <c r="AJ112" s="493">
        <f t="shared" si="64"/>
        <v>0</v>
      </c>
      <c r="AK112">
        <f>IF(AJ112=0,0,IF(AJ111=0,MAX(AK$13:AK111)+1,IF(W112&lt;&gt;W111,MAX(AK$14:AK111)+1,IF(ROUNDDOWN(AJ112-0.01,0)=ROUNDDOWN(AJ111-0.01,0),AK111,AK111+1))))</f>
        <v>0</v>
      </c>
      <c r="AL112">
        <f t="shared" si="61"/>
        <v>0</v>
      </c>
      <c r="AM112">
        <f t="shared" si="62"/>
        <v>0</v>
      </c>
      <c r="AN112">
        <f>IF(AM112&gt;AN$12,IF(AK112=AK111,AN111,MAX(AN$13:AN111)+1),0)</f>
        <v>0</v>
      </c>
      <c r="AP112">
        <f t="shared" si="72"/>
        <v>0</v>
      </c>
      <c r="AQ112">
        <f>IF(AP112&gt;0,IF(MAX(AQ113:AQ$214)+AP112&gt;ROUNDUP(MAX(AQ113:AQ$214),0),ROUNDUP(MAX(AQ113:AQ$214),0)+AP112,MAX(AQ113:AQ$214)+AP112),0)</f>
        <v>0</v>
      </c>
      <c r="AR112">
        <f t="shared" si="63"/>
        <v>0</v>
      </c>
      <c r="AS112">
        <f t="shared" si="73"/>
        <v>0</v>
      </c>
      <c r="AT112">
        <f t="shared" si="74"/>
        <v>10</v>
      </c>
      <c r="AV112" s="461"/>
      <c r="AW112" s="461"/>
      <c r="AX112" s="461"/>
      <c r="AY112" s="461">
        <f t="shared" ref="AY112:BF112" si="75">SUM(AY82:AY111)</f>
        <v>0</v>
      </c>
      <c r="AZ112" s="461">
        <f t="shared" si="75"/>
        <v>0</v>
      </c>
      <c r="BA112" s="461">
        <f t="shared" si="75"/>
        <v>0</v>
      </c>
      <c r="BB112" s="461">
        <f t="shared" si="75"/>
        <v>0</v>
      </c>
      <c r="BC112" s="461">
        <f t="shared" si="75"/>
        <v>0</v>
      </c>
      <c r="BD112" s="461">
        <f t="shared" si="75"/>
        <v>0</v>
      </c>
      <c r="BE112" s="461">
        <f t="shared" si="75"/>
        <v>0</v>
      </c>
      <c r="BF112" s="461">
        <f t="shared" si="75"/>
        <v>0</v>
      </c>
      <c r="BG112" s="461"/>
      <c r="BH112" s="461"/>
      <c r="BK112">
        <v>2</v>
      </c>
      <c r="BL112">
        <f>IF(BK112&lt;=BL$105,BL$110,0)</f>
        <v>0</v>
      </c>
      <c r="BM112">
        <f>BL112+IF(BM$110&gt;=BK112,1,0)</f>
        <v>0</v>
      </c>
      <c r="BN112">
        <f>BN111+BM111</f>
        <v>1</v>
      </c>
    </row>
    <row r="113" spans="1:66" x14ac:dyDescent="0.25">
      <c r="A113">
        <v>100</v>
      </c>
      <c r="B113" t="str">
        <f>_xlfn.XLOOKUP(A113,Order!R$12:R$859,Order!C$12:C$859,"")</f>
        <v/>
      </c>
      <c r="C113" t="str">
        <f>_xlfn.XLOOKUP(A113,Order!R$12:R$859,Order!S$12:S$859,"")</f>
        <v/>
      </c>
      <c r="D113" t="str">
        <f>_xlfn.XLOOKUP(A113,Order!R$12:R$859,Order!B$12:B$859,"")</f>
        <v/>
      </c>
      <c r="E113" t="str">
        <f>_xlfn.XLOOKUP(A113,Order!R$12:R$859,Order!P$12:P$859,"")</f>
        <v/>
      </c>
      <c r="F113" t="str">
        <f>_xlfn.XLOOKUP(A113,Order!R$12:R$859,Order!T$12:T$859,"")</f>
        <v/>
      </c>
      <c r="G113" t="str">
        <f>_xlfn.XLOOKUP(A113,Order!R$12:R$859,Order!U$12:U$859,"")</f>
        <v/>
      </c>
      <c r="H113" t="str">
        <f>_xlfn.XLOOKUP(A113,Order!R$12:R$859,Order!B$12:B$859,"")</f>
        <v/>
      </c>
      <c r="I113" t="str">
        <f>_xlfn.XLOOKUP(A113,Order!R$12:R$859,Order!V$12:V$859,"")</f>
        <v/>
      </c>
      <c r="J113" t="str">
        <f>IFERROR(RANK(F113,F$14:F$213,1)+COUNTIF(F$14:F113,F113)-1,"")</f>
        <v/>
      </c>
      <c r="L113" t="str">
        <f t="shared" si="66"/>
        <v/>
      </c>
      <c r="M113" t="str" cm="1">
        <f t="array" ref="M113">_xlfn.XLOOKUP(A113,J$14:J312,B$14:B312,"")</f>
        <v/>
      </c>
      <c r="N113" t="str" cm="1">
        <f t="array" ref="N113">_xlfn.XLOOKUP(A113,J$14:J312,C$14:C312,"")</f>
        <v/>
      </c>
      <c r="O113" t="str" cm="1">
        <f t="array" ref="O113">_xlfn.XLOOKUP(A113,J$14:J312,E$14:E312,"")</f>
        <v/>
      </c>
      <c r="P113" t="str" cm="1">
        <f t="array" ref="P113">_xlfn.XLOOKUP(A113,J$14:J312,G$14:G312,"")</f>
        <v/>
      </c>
      <c r="Q113" t="str" cm="1">
        <f t="array" ref="Q113">_xlfn.XLOOKUP(A113,J$14:J312,F$14:F312,"")</f>
        <v/>
      </c>
      <c r="R113" t="str" cm="1">
        <f t="array" ref="R113">_xlfn.XLOOKUP(A113,J$14:J312,I$14:I312,"")</f>
        <v/>
      </c>
      <c r="S113" t="str" cm="1">
        <f t="array" ref="S113">_xlfn.XLOOKUP(A113,J$14:J312,H$14:H312,"")</f>
        <v/>
      </c>
      <c r="T113" t="str" cm="1">
        <f t="array" ref="T113">VLOOKUP(ROW(100:100),L$14:S$163,8)</f>
        <v/>
      </c>
      <c r="U113" t="str" cm="1">
        <f t="array" ref="U113">VLOOKUP(ROW(100:100),L$14:M$163,2)</f>
        <v/>
      </c>
      <c r="V113" t="str" cm="1">
        <f t="array" ref="V113">VLOOKUP(ROW(100:100),L$14:O$163,4)</f>
        <v/>
      </c>
      <c r="W113" t="str" cm="1">
        <f t="array" ref="W113">VLOOKUP(ROW(100:100),L$14:Q$163,6)</f>
        <v/>
      </c>
      <c r="X113" cm="1">
        <f t="array" ref="X113">IFERROR(VLOOKUP(ROW(100:100),L$14:P$213,5)+0,0)</f>
        <v>0</v>
      </c>
      <c r="Y113" t="str" cm="1">
        <f t="array" ref="Y113">VLOOKUP(ROW(100:100),L$14:R$163,7)</f>
        <v/>
      </c>
      <c r="Z113">
        <f>IF(Y113&lt;-2,X113+MAX(Z$14:Z112),0)</f>
        <v>0</v>
      </c>
      <c r="AA113">
        <f>IFERROR(IF(AND(SUM(AA114:AA$214)+X113&lt;=Z$10,W113&lt;=Z$12,Z113=0),X113,0),0)</f>
        <v>0</v>
      </c>
      <c r="AB113">
        <f>IFERROR(IF(AND(W113&lt;=Z$12+10,AB$12-X113&gt;=0,SUM(Z113:AA113)=0,SUM(AB$14:AB112)+X113&lt;AB$12),X113,0),0)</f>
        <v>0</v>
      </c>
      <c r="AD113">
        <f>IF(AND(Y113=-2,SUM(Z113:AB113)=0),X113+MAX(AD$14:AD112),0)</f>
        <v>0</v>
      </c>
      <c r="AE113">
        <f>IFERROR(IF(AND(SUM(AE114:AE$214)+X113&lt;=AD$10,W113&lt;=AD$12,SUM(Z113:AD113)=0),X113,0),0)</f>
        <v>0</v>
      </c>
      <c r="AF113">
        <f>IFERROR(IF(AND(W113&lt;=AD$12+10,AF$12-X113&gt;=0,SUM(Z113:AE113)=0,SUM(AF$14:AF112)+X113&lt;AF$12),X113,0),0)</f>
        <v>0</v>
      </c>
      <c r="AG113">
        <f t="shared" si="71"/>
        <v>0</v>
      </c>
      <c r="AI113">
        <f t="shared" si="60"/>
        <v>0</v>
      </c>
      <c r="AJ113" s="493">
        <f t="shared" si="64"/>
        <v>0</v>
      </c>
      <c r="AK113">
        <f>IF(AJ113=0,0,IF(AJ112=0,MAX(AK$13:AK112)+1,IF(W113&lt;&gt;W112,MAX(AK$14:AK112)+1,IF(ROUNDDOWN(AJ113-0.01,0)=ROUNDDOWN(AJ112-0.01,0),AK112,AK112+1))))</f>
        <v>0</v>
      </c>
      <c r="AL113">
        <f t="shared" si="61"/>
        <v>0</v>
      </c>
      <c r="AM113">
        <f t="shared" si="62"/>
        <v>0</v>
      </c>
      <c r="AN113">
        <f>IF(AM113&gt;AN$12,IF(AK113=AK112,AN112,MAX(AN$13:AN112)+1),0)</f>
        <v>0</v>
      </c>
      <c r="AP113">
        <f t="shared" si="72"/>
        <v>0</v>
      </c>
      <c r="AQ113">
        <f>IF(AP113&gt;0,IF(MAX(AQ114:AQ$214)+AP113&gt;ROUNDUP(MAX(AQ114:AQ$214),0),ROUNDUP(MAX(AQ114:AQ$214),0)+AP113,MAX(AQ114:AQ$214)+AP113),0)</f>
        <v>0</v>
      </c>
      <c r="AR113">
        <f t="shared" si="63"/>
        <v>0</v>
      </c>
      <c r="AS113">
        <f t="shared" si="73"/>
        <v>0</v>
      </c>
      <c r="AT113">
        <f t="shared" si="74"/>
        <v>10</v>
      </c>
      <c r="AX113">
        <f>LARGE(AX82:AX111,2)</f>
        <v>0</v>
      </c>
      <c r="AY113">
        <f t="shared" ref="AY113:BF113" si="76">_xlfn.SINGLE(IF(AY112&gt;0,_xlfn.XLOOKUP(AY112,AY82:AY111,$AX82:$AX111),0))</f>
        <v>0</v>
      </c>
      <c r="AZ113">
        <f t="shared" si="76"/>
        <v>0</v>
      </c>
      <c r="BA113">
        <f t="shared" si="76"/>
        <v>0</v>
      </c>
      <c r="BB113">
        <f t="shared" si="76"/>
        <v>0</v>
      </c>
      <c r="BC113">
        <f t="shared" si="76"/>
        <v>0</v>
      </c>
      <c r="BD113">
        <f t="shared" si="76"/>
        <v>0</v>
      </c>
      <c r="BE113">
        <f t="shared" si="76"/>
        <v>0</v>
      </c>
      <c r="BF113">
        <f t="shared" si="76"/>
        <v>0</v>
      </c>
      <c r="BG113">
        <f>IF(SUM(BG82:BG111)=0,0,IF(BF113&gt;0,6,IF(BE113&gt;0,5,IF(BD113&gt;0,4,IF(BC113&gt;0,3,IF(BB113&gt;0,2,IF(BA113&gt;0,1)))))))</f>
        <v>0</v>
      </c>
      <c r="BH113" s="494">
        <f>MAX(BH82:BH111)</f>
        <v>0</v>
      </c>
      <c r="BK113">
        <v>3</v>
      </c>
      <c r="BL113">
        <f>IF(BK113&lt;=BL$105,BL$110,0)</f>
        <v>0</v>
      </c>
      <c r="BM113">
        <f>BL113+IF(BM$110&gt;=BK113,1,0)</f>
        <v>0</v>
      </c>
      <c r="BN113">
        <f>BN112+BM112</f>
        <v>1</v>
      </c>
    </row>
    <row r="114" spans="1:66" x14ac:dyDescent="0.25">
      <c r="A114">
        <v>101</v>
      </c>
      <c r="B114" t="str">
        <f>_xlfn.XLOOKUP(A114,Order!R$12:R$859,Order!C$12:C$859,"")</f>
        <v/>
      </c>
      <c r="C114" t="str">
        <f>_xlfn.XLOOKUP(A114,Order!R$12:R$859,Order!S$12:S$859,"")</f>
        <v/>
      </c>
      <c r="D114" t="str">
        <f>_xlfn.XLOOKUP(A114,Order!R$12:R$859,Order!B$12:B$859,"")</f>
        <v/>
      </c>
      <c r="E114" t="str">
        <f>_xlfn.XLOOKUP(A114,Order!R$12:R$859,Order!P$12:P$859,"")</f>
        <v/>
      </c>
      <c r="F114" t="str">
        <f>_xlfn.XLOOKUP(A114,Order!R$12:R$859,Order!T$12:T$859,"")</f>
        <v/>
      </c>
      <c r="G114" t="str">
        <f>_xlfn.XLOOKUP(A114,Order!R$12:R$859,Order!U$12:U$859,"")</f>
        <v/>
      </c>
      <c r="H114" t="str">
        <f>_xlfn.XLOOKUP(A114,Order!R$12:R$859,Order!B$12:B$859,"")</f>
        <v/>
      </c>
      <c r="I114" t="str">
        <f>_xlfn.XLOOKUP(A114,Order!R$12:R$859,Order!V$12:V$859,"")</f>
        <v/>
      </c>
      <c r="J114" t="str">
        <f>IFERROR(RANK(F114,F$14:F$213,1)+COUNTIF(F$14:F114,F114)-1,"")</f>
        <v/>
      </c>
      <c r="L114" t="str">
        <f t="shared" si="66"/>
        <v/>
      </c>
      <c r="M114" t="str" cm="1">
        <f t="array" ref="M114">_xlfn.XLOOKUP(A114,J$14:J313,B$14:B313,"")</f>
        <v/>
      </c>
      <c r="N114" t="str" cm="1">
        <f t="array" ref="N114">_xlfn.XLOOKUP(A114,J$14:J313,C$14:C313,"")</f>
        <v/>
      </c>
      <c r="O114" t="str" cm="1">
        <f t="array" ref="O114">_xlfn.XLOOKUP(A114,J$14:J313,E$14:E313,"")</f>
        <v/>
      </c>
      <c r="P114" t="str" cm="1">
        <f t="array" ref="P114">_xlfn.XLOOKUP(A114,J$14:J313,G$14:G313,"")</f>
        <v/>
      </c>
      <c r="Q114" t="str" cm="1">
        <f t="array" ref="Q114">_xlfn.XLOOKUP(A114,J$14:J313,F$14:F313,"")</f>
        <v/>
      </c>
      <c r="R114" t="str" cm="1">
        <f t="array" ref="R114">_xlfn.XLOOKUP(A114,J$14:J313,I$14:I313,"")</f>
        <v/>
      </c>
      <c r="S114" t="str" cm="1">
        <f t="array" ref="S114">_xlfn.XLOOKUP(A114,J$14:J313,H$14:H313,"")</f>
        <v/>
      </c>
      <c r="T114" t="str" cm="1">
        <f t="array" ref="T114">VLOOKUP(ROW(101:101),L$14:S$163,8)</f>
        <v/>
      </c>
      <c r="U114" t="str" cm="1">
        <f t="array" ref="U114">VLOOKUP(ROW(101:101),L$14:M$163,2)</f>
        <v/>
      </c>
      <c r="V114" t="str" cm="1">
        <f t="array" ref="V114">VLOOKUP(ROW(101:101),L$14:O$163,4)</f>
        <v/>
      </c>
      <c r="W114" t="str" cm="1">
        <f t="array" ref="W114">VLOOKUP(ROW(101:101),L$14:Q$163,6)</f>
        <v/>
      </c>
      <c r="X114" cm="1">
        <f t="array" ref="X114">IFERROR(VLOOKUP(ROW(101:101),L$14:P$213,5)+0,0)</f>
        <v>0</v>
      </c>
      <c r="Y114" t="str" cm="1">
        <f t="array" ref="Y114">VLOOKUP(ROW(101:101),L$14:R$163,7)</f>
        <v/>
      </c>
      <c r="Z114">
        <f>IF(Y114&lt;-2,X114+MAX(Z$14:Z113),0)</f>
        <v>0</v>
      </c>
      <c r="AA114">
        <f>IFERROR(IF(AND(SUM(AA115:AA$214)+X114&lt;=Z$10,W114&lt;=Z$12,Z114=0),X114,0),0)</f>
        <v>0</v>
      </c>
      <c r="AB114">
        <f>IFERROR(IF(AND(W114&lt;=Z$12+10,AB$12-X114&gt;=0,SUM(Z114:AA114)=0,SUM(AB$14:AB113)+X114&lt;AB$12),X114,0),0)</f>
        <v>0</v>
      </c>
      <c r="AD114">
        <f>IF(AND(Y114=-2,SUM(Z114:AB114)=0),X114+MAX(AD$14:AD113),0)</f>
        <v>0</v>
      </c>
      <c r="AE114">
        <f>IFERROR(IF(AND(SUM(AE115:AE$214)+X114&lt;=AD$10,W114&lt;=AD$12,SUM(Z114:AD114)=0),X114,0),0)</f>
        <v>0</v>
      </c>
      <c r="AF114">
        <f>IFERROR(IF(AND(W114&lt;=AD$12+10,AF$12-X114&gt;=0,SUM(Z114:AE114)=0,SUM(AF$14:AF113)+X114&lt;AF$12),X114,0),0)</f>
        <v>0</v>
      </c>
      <c r="AG114">
        <f t="shared" si="71"/>
        <v>0</v>
      </c>
      <c r="AI114">
        <f t="shared" si="60"/>
        <v>0</v>
      </c>
      <c r="AJ114" s="493">
        <f t="shared" si="64"/>
        <v>0</v>
      </c>
      <c r="AK114">
        <f>IF(AJ114=0,0,IF(AJ113=0,MAX(AK$13:AK113)+1,IF(W114&lt;&gt;W113,MAX(AK$14:AK113)+1,IF(ROUNDDOWN(AJ114-0.01,0)=ROUNDDOWN(AJ113-0.01,0),AK113,AK113+1))))</f>
        <v>0</v>
      </c>
      <c r="AL114">
        <f t="shared" si="61"/>
        <v>0</v>
      </c>
      <c r="AM114">
        <f t="shared" si="62"/>
        <v>0</v>
      </c>
      <c r="AN114">
        <f>IF(AM114&gt;AN$12,IF(AK114=AK113,AN113,MAX(AN$13:AN113)+1),0)</f>
        <v>0</v>
      </c>
      <c r="AP114">
        <f t="shared" si="72"/>
        <v>0</v>
      </c>
      <c r="AQ114">
        <f>IF(AP114&gt;0,IF(MAX(AQ115:AQ$214)+AP114&gt;ROUNDUP(MAX(AQ115:AQ$214),0),ROUNDUP(MAX(AQ115:AQ$214),0)+AP114,MAX(AQ115:AQ$214)+AP114),0)</f>
        <v>0</v>
      </c>
      <c r="AR114">
        <f t="shared" si="63"/>
        <v>0</v>
      </c>
      <c r="AS114">
        <f t="shared" si="73"/>
        <v>0</v>
      </c>
      <c r="AT114">
        <f t="shared" si="74"/>
        <v>10</v>
      </c>
      <c r="AY114">
        <f>AY112</f>
        <v>0</v>
      </c>
      <c r="AZ114">
        <f>AZ112</f>
        <v>0</v>
      </c>
      <c r="BA114">
        <f t="shared" ref="BA114:BF114" si="77">IF(AND($BG113=BA80,$BH113&gt;0),$BH114,BA112)</f>
        <v>0</v>
      </c>
      <c r="BB114">
        <f t="shared" si="77"/>
        <v>0</v>
      </c>
      <c r="BC114">
        <f t="shared" si="77"/>
        <v>0</v>
      </c>
      <c r="BD114">
        <f t="shared" si="77"/>
        <v>0</v>
      </c>
      <c r="BE114">
        <f t="shared" si="77"/>
        <v>0</v>
      </c>
      <c r="BF114">
        <f t="shared" si="77"/>
        <v>0</v>
      </c>
      <c r="BG114" t="b">
        <f>IF(BF113&gt;0,BF113,IF(BE113&gt;0,BE113,IF(BD113&gt;0,BD113,IF(BC113&gt;0,BC113,IF(BB113&gt;0,BB113,IF(BA113&gt;0,BA113))))))</f>
        <v>0</v>
      </c>
      <c r="BH114">
        <f>_xlfn.XLOOKUP(BH113,BH82:BH111,AV82:AV111,0,0,1)</f>
        <v>1</v>
      </c>
      <c r="BK114">
        <v>4</v>
      </c>
      <c r="BL114">
        <f>IF(BK114&lt;=BL$105,BL$110,0)</f>
        <v>0</v>
      </c>
      <c r="BM114">
        <f>BL114+IF(BM$110&gt;=BK114,1,0)</f>
        <v>0</v>
      </c>
      <c r="BN114">
        <f>BN113+BM113</f>
        <v>1</v>
      </c>
    </row>
    <row r="115" spans="1:66" x14ac:dyDescent="0.25">
      <c r="A115">
        <v>102</v>
      </c>
      <c r="B115" t="str">
        <f>_xlfn.XLOOKUP(A115,Order!R$12:R$859,Order!C$12:C$859,"")</f>
        <v/>
      </c>
      <c r="C115" t="str">
        <f>_xlfn.XLOOKUP(A115,Order!R$12:R$859,Order!S$12:S$859,"")</f>
        <v/>
      </c>
      <c r="D115" t="str">
        <f>_xlfn.XLOOKUP(A115,Order!R$12:R$859,Order!B$12:B$859,"")</f>
        <v/>
      </c>
      <c r="E115" t="str">
        <f>_xlfn.XLOOKUP(A115,Order!R$12:R$859,Order!P$12:P$859,"")</f>
        <v/>
      </c>
      <c r="F115" t="str">
        <f>_xlfn.XLOOKUP(A115,Order!R$12:R$859,Order!T$12:T$859,"")</f>
        <v/>
      </c>
      <c r="G115" t="str">
        <f>_xlfn.XLOOKUP(A115,Order!R$12:R$859,Order!U$12:U$859,"")</f>
        <v/>
      </c>
      <c r="H115" t="str">
        <f>_xlfn.XLOOKUP(A115,Order!R$12:R$859,Order!B$12:B$859,"")</f>
        <v/>
      </c>
      <c r="I115" t="str">
        <f>_xlfn.XLOOKUP(A115,Order!R$12:R$859,Order!V$12:V$859,"")</f>
        <v/>
      </c>
      <c r="J115" t="str">
        <f>IFERROR(RANK(F115,F$14:F$213,1)+COUNTIF(F$14:F115,F115)-1,"")</f>
        <v/>
      </c>
      <c r="L115" t="str">
        <f t="shared" si="66"/>
        <v/>
      </c>
      <c r="M115" t="str" cm="1">
        <f t="array" ref="M115">_xlfn.XLOOKUP(A115,J$14:J314,B$14:B314,"")</f>
        <v/>
      </c>
      <c r="N115" t="str" cm="1">
        <f t="array" ref="N115">_xlfn.XLOOKUP(A115,J$14:J314,C$14:C314,"")</f>
        <v/>
      </c>
      <c r="O115" t="str" cm="1">
        <f t="array" ref="O115">_xlfn.XLOOKUP(A115,J$14:J314,E$14:E314,"")</f>
        <v/>
      </c>
      <c r="P115" t="str" cm="1">
        <f t="array" ref="P115">_xlfn.XLOOKUP(A115,J$14:J314,G$14:G314,"")</f>
        <v/>
      </c>
      <c r="Q115" t="str" cm="1">
        <f t="array" ref="Q115">_xlfn.XLOOKUP(A115,J$14:J314,F$14:F314,"")</f>
        <v/>
      </c>
      <c r="R115" t="str" cm="1">
        <f t="array" ref="R115">_xlfn.XLOOKUP(A115,J$14:J314,I$14:I314,"")</f>
        <v/>
      </c>
      <c r="S115" t="str" cm="1">
        <f t="array" ref="S115">_xlfn.XLOOKUP(A115,J$14:J314,H$14:H314,"")</f>
        <v/>
      </c>
      <c r="T115" t="str" cm="1">
        <f t="array" ref="T115">VLOOKUP(ROW(102:102),L$14:S$163,8)</f>
        <v/>
      </c>
      <c r="U115" t="str" cm="1">
        <f t="array" ref="U115">VLOOKUP(ROW(102:102),L$14:M$163,2)</f>
        <v/>
      </c>
      <c r="V115" t="str" cm="1">
        <f t="array" ref="V115">VLOOKUP(ROW(102:102),L$14:O$163,4)</f>
        <v/>
      </c>
      <c r="W115" t="str" cm="1">
        <f t="array" ref="W115">VLOOKUP(ROW(102:102),L$14:Q$163,6)</f>
        <v/>
      </c>
      <c r="X115" cm="1">
        <f t="array" ref="X115">IFERROR(VLOOKUP(ROW(102:102),L$14:P$213,5)+0,0)</f>
        <v>0</v>
      </c>
      <c r="Y115" t="str" cm="1">
        <f t="array" ref="Y115">VLOOKUP(ROW(102:102),L$14:R$163,7)</f>
        <v/>
      </c>
      <c r="Z115">
        <f>IF(Y115&lt;-2,X115+MAX(Z$14:Z114),0)</f>
        <v>0</v>
      </c>
      <c r="AA115">
        <f>IFERROR(IF(AND(SUM(AA116:AA$214)+X115&lt;=Z$10,W115&lt;=Z$12,Z115=0),X115,0),0)</f>
        <v>0</v>
      </c>
      <c r="AB115">
        <f>IFERROR(IF(AND(W115&lt;=Z$12+10,AB$12-X115&gt;=0,SUM(Z115:AA115)=0,SUM(AB$14:AB114)+X115&lt;AB$12),X115,0),0)</f>
        <v>0</v>
      </c>
      <c r="AD115">
        <f>IF(AND(Y115=-2,SUM(Z115:AB115)=0),X115+MAX(AD$14:AD114),0)</f>
        <v>0</v>
      </c>
      <c r="AE115">
        <f>IFERROR(IF(AND(SUM(AE116:AE$214)+X115&lt;=AD$10,W115&lt;=AD$12,SUM(Z115:AD115)=0),X115,0),0)</f>
        <v>0</v>
      </c>
      <c r="AF115">
        <f>IFERROR(IF(AND(W115&lt;=AD$12+10,AF$12-X115&gt;=0,SUM(Z115:AE115)=0,SUM(AF$14:AF114)+X115&lt;AF$12),X115,0),0)</f>
        <v>0</v>
      </c>
      <c r="AG115">
        <f t="shared" si="71"/>
        <v>0</v>
      </c>
      <c r="AI115">
        <f t="shared" si="60"/>
        <v>0</v>
      </c>
      <c r="AJ115" s="493">
        <f t="shared" si="64"/>
        <v>0</v>
      </c>
      <c r="AK115">
        <f>IF(AJ115=0,0,IF(AJ114=0,MAX(AK$13:AK114)+1,IF(W115&lt;&gt;W114,MAX(AK$14:AK114)+1,IF(ROUNDDOWN(AJ115-0.01,0)=ROUNDDOWN(AJ114-0.01,0),AK114,AK114+1))))</f>
        <v>0</v>
      </c>
      <c r="AL115">
        <f t="shared" si="61"/>
        <v>0</v>
      </c>
      <c r="AM115">
        <f t="shared" si="62"/>
        <v>0</v>
      </c>
      <c r="AN115">
        <f>IF(AM115&gt;AN$12,IF(AK115=AK114,AN114,MAX(AN$13:AN114)+1),0)</f>
        <v>0</v>
      </c>
      <c r="AP115">
        <f t="shared" si="72"/>
        <v>0</v>
      </c>
      <c r="AQ115">
        <f>IF(AP115&gt;0,IF(MAX(AQ116:AQ$214)+AP115&gt;ROUNDUP(MAX(AQ116:AQ$214),0),ROUNDUP(MAX(AQ116:AQ$214),0)+AP115,MAX(AQ116:AQ$214)+AP115),0)</f>
        <v>0</v>
      </c>
      <c r="AR115">
        <f t="shared" si="63"/>
        <v>0</v>
      </c>
      <c r="AS115">
        <f t="shared" si="73"/>
        <v>0</v>
      </c>
      <c r="AT115">
        <f t="shared" si="74"/>
        <v>10</v>
      </c>
      <c r="AY115">
        <f>AY113</f>
        <v>0</v>
      </c>
      <c r="AZ115">
        <f>AZ113</f>
        <v>0</v>
      </c>
      <c r="BA115">
        <f t="shared" ref="BA115:BF115" si="78">IF(AND($BG113=BA80,$BH113&gt;0),$BH113,BA113)</f>
        <v>0</v>
      </c>
      <c r="BB115">
        <f t="shared" si="78"/>
        <v>0</v>
      </c>
      <c r="BC115">
        <f t="shared" si="78"/>
        <v>0</v>
      </c>
      <c r="BD115">
        <f t="shared" si="78"/>
        <v>0</v>
      </c>
      <c r="BE115">
        <f t="shared" si="78"/>
        <v>0</v>
      </c>
      <c r="BF115">
        <f t="shared" si="78"/>
        <v>0</v>
      </c>
      <c r="BG115">
        <f>_xlfn.XLOOKUP(BG113,BA80:BF80,BA112:BF112,0)</f>
        <v>0</v>
      </c>
      <c r="BK115">
        <v>5</v>
      </c>
      <c r="BL115">
        <f>IF(BK115&lt;=BL$105,BL$110,0)</f>
        <v>0</v>
      </c>
      <c r="BM115">
        <f>BL115+IF(BM$110&gt;=BK115,1,0)</f>
        <v>0</v>
      </c>
      <c r="BN115">
        <f>BN114+BM114</f>
        <v>1</v>
      </c>
    </row>
    <row r="116" spans="1:66" x14ac:dyDescent="0.25">
      <c r="A116">
        <v>103</v>
      </c>
      <c r="B116" t="str">
        <f>_xlfn.XLOOKUP(A116,Order!R$12:R$859,Order!C$12:C$859,"")</f>
        <v/>
      </c>
      <c r="C116" t="str">
        <f>_xlfn.XLOOKUP(A116,Order!R$12:R$859,Order!S$12:S$859,"")</f>
        <v/>
      </c>
      <c r="D116" t="str">
        <f>_xlfn.XLOOKUP(A116,Order!R$12:R$859,Order!B$12:B$859,"")</f>
        <v/>
      </c>
      <c r="E116" t="str">
        <f>_xlfn.XLOOKUP(A116,Order!R$12:R$859,Order!P$12:P$859,"")</f>
        <v/>
      </c>
      <c r="F116" t="str">
        <f>_xlfn.XLOOKUP(A116,Order!R$12:R$859,Order!T$12:T$859,"")</f>
        <v/>
      </c>
      <c r="G116" t="str">
        <f>_xlfn.XLOOKUP(A116,Order!R$12:R$859,Order!U$12:U$859,"")</f>
        <v/>
      </c>
      <c r="H116" t="str">
        <f>_xlfn.XLOOKUP(A116,Order!R$12:R$859,Order!B$12:B$859,"")</f>
        <v/>
      </c>
      <c r="I116" t="str">
        <f>_xlfn.XLOOKUP(A116,Order!R$12:R$859,Order!V$12:V$859,"")</f>
        <v/>
      </c>
      <c r="J116" t="str">
        <f>IFERROR(RANK(F116,F$14:F$213,1)+COUNTIF(F$14:F116,F116)-1,"")</f>
        <v/>
      </c>
      <c r="L116" t="str">
        <f t="shared" si="66"/>
        <v/>
      </c>
      <c r="M116" t="str" cm="1">
        <f t="array" ref="M116">_xlfn.XLOOKUP(A116,J$14:J315,B$14:B315,"")</f>
        <v/>
      </c>
      <c r="N116" t="str" cm="1">
        <f t="array" ref="N116">_xlfn.XLOOKUP(A116,J$14:J315,C$14:C315,"")</f>
        <v/>
      </c>
      <c r="O116" t="str" cm="1">
        <f t="array" ref="O116">_xlfn.XLOOKUP(A116,J$14:J315,E$14:E315,"")</f>
        <v/>
      </c>
      <c r="P116" t="str" cm="1">
        <f t="array" ref="P116">_xlfn.XLOOKUP(A116,J$14:J315,G$14:G315,"")</f>
        <v/>
      </c>
      <c r="Q116" t="str" cm="1">
        <f t="array" ref="Q116">_xlfn.XLOOKUP(A116,J$14:J315,F$14:F315,"")</f>
        <v/>
      </c>
      <c r="R116" t="str" cm="1">
        <f t="array" ref="R116">_xlfn.XLOOKUP(A116,J$14:J315,I$14:I315,"")</f>
        <v/>
      </c>
      <c r="S116" t="str" cm="1">
        <f t="array" ref="S116">_xlfn.XLOOKUP(A116,J$14:J315,H$14:H315,"")</f>
        <v/>
      </c>
      <c r="T116" t="str" cm="1">
        <f t="array" ref="T116">VLOOKUP(ROW(103:103),L$14:S$163,8)</f>
        <v/>
      </c>
      <c r="U116" t="str" cm="1">
        <f t="array" ref="U116">VLOOKUP(ROW(103:103),L$14:M$163,2)</f>
        <v/>
      </c>
      <c r="V116" t="str" cm="1">
        <f t="array" ref="V116">VLOOKUP(ROW(103:103),L$14:O$163,4)</f>
        <v/>
      </c>
      <c r="W116" t="str" cm="1">
        <f t="array" ref="W116">VLOOKUP(ROW(103:103),L$14:Q$163,6)</f>
        <v/>
      </c>
      <c r="X116" cm="1">
        <f t="array" ref="X116">IFERROR(VLOOKUP(ROW(103:103),L$14:P$213,5)+0,0)</f>
        <v>0</v>
      </c>
      <c r="Y116" t="str" cm="1">
        <f t="array" ref="Y116">VLOOKUP(ROW(103:103),L$14:R$163,7)</f>
        <v/>
      </c>
      <c r="Z116">
        <f>IF(Y116&lt;-2,X116+MAX(Z$14:Z115),0)</f>
        <v>0</v>
      </c>
      <c r="AA116">
        <f>IFERROR(IF(AND(SUM(AA117:AA$214)+X116&lt;=Z$10,W116&lt;=Z$12,Z116=0),X116,0),0)</f>
        <v>0</v>
      </c>
      <c r="AB116">
        <f>IFERROR(IF(AND(W116&lt;=Z$12+10,AB$12-X116&gt;=0,SUM(Z116:AA116)=0,SUM(AB$14:AB115)+X116&lt;AB$12),X116,0),0)</f>
        <v>0</v>
      </c>
      <c r="AD116">
        <f>IF(AND(Y116=-2,SUM(Z116:AB116)=0),X116+MAX(AD$14:AD115),0)</f>
        <v>0</v>
      </c>
      <c r="AE116">
        <f>IFERROR(IF(AND(SUM(AE117:AE$214)+X116&lt;=AD$10,W116&lt;=AD$12,SUM(Z116:AD116)=0),X116,0),0)</f>
        <v>0</v>
      </c>
      <c r="AF116">
        <f>IFERROR(IF(AND(W116&lt;=AD$12+10,AF$12-X116&gt;=0,SUM(Z116:AE116)=0,SUM(AF$14:AF115)+X116&lt;AF$12),X116,0),0)</f>
        <v>0</v>
      </c>
      <c r="AG116">
        <f t="shared" si="71"/>
        <v>0</v>
      </c>
      <c r="AI116">
        <f t="shared" si="60"/>
        <v>0</v>
      </c>
      <c r="AJ116" s="493">
        <f t="shared" si="64"/>
        <v>0</v>
      </c>
      <c r="AK116">
        <f>IF(AJ116=0,0,IF(AJ115=0,MAX(AK$13:AK115)+1,IF(W116&lt;&gt;W115,MAX(AK$14:AK115)+1,IF(ROUNDDOWN(AJ116-0.01,0)=ROUNDDOWN(AJ115-0.01,0),AK115,AK115+1))))</f>
        <v>0</v>
      </c>
      <c r="AL116">
        <f t="shared" si="61"/>
        <v>0</v>
      </c>
      <c r="AM116">
        <f t="shared" si="62"/>
        <v>0</v>
      </c>
      <c r="AN116">
        <f>IF(AM116&gt;AN$12,IF(AK116=AK115,AN115,MAX(AN$13:AN115)+1),0)</f>
        <v>0</v>
      </c>
      <c r="AP116">
        <f t="shared" si="72"/>
        <v>0</v>
      </c>
      <c r="AQ116">
        <f>IF(AP116&gt;0,IF(MAX(AQ117:AQ$214)+AP116&gt;ROUNDUP(MAX(AQ117:AQ$214),0),ROUNDUP(MAX(AQ117:AQ$214),0)+AP116,MAX(AQ117:AQ$214)+AP116),0)</f>
        <v>0</v>
      </c>
      <c r="AR116">
        <f t="shared" si="63"/>
        <v>0</v>
      </c>
      <c r="AS116">
        <f t="shared" si="73"/>
        <v>0</v>
      </c>
      <c r="AT116">
        <f t="shared" si="74"/>
        <v>10</v>
      </c>
      <c r="AY116">
        <f>MAX(AZ116:BF116)+1</f>
        <v>31</v>
      </c>
      <c r="AZ116">
        <v>30</v>
      </c>
      <c r="BA116">
        <f t="shared" ref="BA116:BF116" si="79">IF(BA112&gt;0,AZ116+1,0)</f>
        <v>0</v>
      </c>
      <c r="BB116">
        <f t="shared" si="79"/>
        <v>0</v>
      </c>
      <c r="BC116">
        <f t="shared" si="79"/>
        <v>0</v>
      </c>
      <c r="BD116">
        <f t="shared" si="79"/>
        <v>0</v>
      </c>
      <c r="BE116">
        <f t="shared" si="79"/>
        <v>0</v>
      </c>
      <c r="BF116">
        <f t="shared" si="79"/>
        <v>0</v>
      </c>
      <c r="BN116">
        <f>BN115+BM115+1</f>
        <v>2</v>
      </c>
    </row>
    <row r="117" spans="1:66" x14ac:dyDescent="0.25">
      <c r="A117">
        <v>104</v>
      </c>
      <c r="B117" t="str">
        <f>_xlfn.XLOOKUP(A117,Order!R$12:R$859,Order!C$12:C$859,"")</f>
        <v/>
      </c>
      <c r="C117" t="str">
        <f>_xlfn.XLOOKUP(A117,Order!R$12:R$859,Order!S$12:S$859,"")</f>
        <v/>
      </c>
      <c r="D117" t="str">
        <f>_xlfn.XLOOKUP(A117,Order!R$12:R$859,Order!B$12:B$859,"")</f>
        <v/>
      </c>
      <c r="E117" t="str">
        <f>_xlfn.XLOOKUP(A117,Order!R$12:R$859,Order!P$12:P$859,"")</f>
        <v/>
      </c>
      <c r="F117" t="str">
        <f>_xlfn.XLOOKUP(A117,Order!R$12:R$859,Order!T$12:T$859,"")</f>
        <v/>
      </c>
      <c r="G117" t="str">
        <f>_xlfn.XLOOKUP(A117,Order!R$12:R$859,Order!U$12:U$859,"")</f>
        <v/>
      </c>
      <c r="H117" t="str">
        <f>_xlfn.XLOOKUP(A117,Order!R$12:R$859,Order!B$12:B$859,"")</f>
        <v/>
      </c>
      <c r="I117" t="str">
        <f>_xlfn.XLOOKUP(A117,Order!R$12:R$859,Order!V$12:V$859,"")</f>
        <v/>
      </c>
      <c r="J117" t="str">
        <f>IFERROR(RANK(F117,F$14:F$213,1)+COUNTIF(F$14:F117,F117)-1,"")</f>
        <v/>
      </c>
      <c r="L117" t="str">
        <f t="shared" si="66"/>
        <v/>
      </c>
      <c r="M117" t="str" cm="1">
        <f t="array" ref="M117">_xlfn.XLOOKUP(A117,J$14:J316,B$14:B316,"")</f>
        <v/>
      </c>
      <c r="N117" t="str" cm="1">
        <f t="array" ref="N117">_xlfn.XLOOKUP(A117,J$14:J316,C$14:C316,"")</f>
        <v/>
      </c>
      <c r="O117" t="str" cm="1">
        <f t="array" ref="O117">_xlfn.XLOOKUP(A117,J$14:J316,E$14:E316,"")</f>
        <v/>
      </c>
      <c r="P117" t="str" cm="1">
        <f t="array" ref="P117">_xlfn.XLOOKUP(A117,J$14:J316,G$14:G316,"")</f>
        <v/>
      </c>
      <c r="Q117" t="str" cm="1">
        <f t="array" ref="Q117">_xlfn.XLOOKUP(A117,J$14:J316,F$14:F316,"")</f>
        <v/>
      </c>
      <c r="R117" t="str" cm="1">
        <f t="array" ref="R117">_xlfn.XLOOKUP(A117,J$14:J316,I$14:I316,"")</f>
        <v/>
      </c>
      <c r="S117" t="str" cm="1">
        <f t="array" ref="S117">_xlfn.XLOOKUP(A117,J$14:J316,H$14:H316,"")</f>
        <v/>
      </c>
      <c r="T117" t="str" cm="1">
        <f t="array" ref="T117">VLOOKUP(ROW(104:104),L$14:S$163,8)</f>
        <v/>
      </c>
      <c r="U117" t="str" cm="1">
        <f t="array" ref="U117">VLOOKUP(ROW(104:104),L$14:M$163,2)</f>
        <v/>
      </c>
      <c r="V117" t="str" cm="1">
        <f t="array" ref="V117">VLOOKUP(ROW(104:104),L$14:O$163,4)</f>
        <v/>
      </c>
      <c r="W117" t="str" cm="1">
        <f t="array" ref="W117">VLOOKUP(ROW(104:104),L$14:Q$163,6)</f>
        <v/>
      </c>
      <c r="X117" cm="1">
        <f t="array" ref="X117">IFERROR(VLOOKUP(ROW(104:104),L$14:P$213,5)+0,0)</f>
        <v>0</v>
      </c>
      <c r="Y117" t="str" cm="1">
        <f t="array" ref="Y117">VLOOKUP(ROW(104:104),L$14:R$163,7)</f>
        <v/>
      </c>
      <c r="Z117">
        <f>IF(Y117&lt;-2,X117+MAX(Z$14:Z116),0)</f>
        <v>0</v>
      </c>
      <c r="AA117">
        <f>IFERROR(IF(AND(SUM(AA118:AA$214)+X117&lt;=Z$10,W117&lt;=Z$12,Z117=0),X117,0),0)</f>
        <v>0</v>
      </c>
      <c r="AB117">
        <f>IFERROR(IF(AND(W117&lt;=Z$12+10,AB$12-X117&gt;=0,SUM(Z117:AA117)=0,SUM(AB$14:AB116)+X117&lt;AB$12),X117,0),0)</f>
        <v>0</v>
      </c>
      <c r="AD117">
        <f>IF(AND(Y117=-2,SUM(Z117:AB117)=0),X117+MAX(AD$14:AD116),0)</f>
        <v>0</v>
      </c>
      <c r="AE117">
        <f>IFERROR(IF(AND(SUM(AE118:AE$214)+X117&lt;=AD$10,W117&lt;=AD$12,SUM(Z117:AD117)=0),X117,0),0)</f>
        <v>0</v>
      </c>
      <c r="AF117">
        <f>IFERROR(IF(AND(W117&lt;=AD$12+10,AF$12-X117&gt;=0,SUM(Z117:AE117)=0,SUM(AF$14:AF116)+X117&lt;AF$12),X117,0),0)</f>
        <v>0</v>
      </c>
      <c r="AG117">
        <f t="shared" si="71"/>
        <v>0</v>
      </c>
      <c r="AI117">
        <f t="shared" si="60"/>
        <v>0</v>
      </c>
      <c r="AJ117" s="493">
        <f t="shared" si="64"/>
        <v>0</v>
      </c>
      <c r="AK117">
        <f>IF(AJ117=0,0,IF(AJ116=0,MAX(AK$13:AK116)+1,IF(W117&lt;&gt;W116,MAX(AK$14:AK116)+1,IF(ROUNDDOWN(AJ117-0.01,0)=ROUNDDOWN(AJ116-0.01,0),AK116,AK116+1))))</f>
        <v>0</v>
      </c>
      <c r="AL117">
        <f t="shared" si="61"/>
        <v>0</v>
      </c>
      <c r="AM117">
        <f t="shared" si="62"/>
        <v>0</v>
      </c>
      <c r="AN117">
        <f>IF(AM117&gt;AN$12,IF(AK117=AK116,AN116,MAX(AN$13:AN116)+1),0)</f>
        <v>0</v>
      </c>
      <c r="AP117">
        <f t="shared" si="72"/>
        <v>0</v>
      </c>
      <c r="AQ117">
        <f>IF(AP117&gt;0,IF(MAX(AQ118:AQ$214)+AP117&gt;ROUNDUP(MAX(AQ118:AQ$214),0),ROUNDUP(MAX(AQ118:AQ$214),0)+AP117,MAX(AQ118:AQ$214)+AP117),0)</f>
        <v>0</v>
      </c>
      <c r="AR117">
        <f t="shared" si="63"/>
        <v>0</v>
      </c>
      <c r="AS117">
        <f t="shared" si="73"/>
        <v>0</v>
      </c>
      <c r="AT117">
        <f t="shared" si="74"/>
        <v>10</v>
      </c>
      <c r="AY117">
        <f>AR1</f>
        <v>160</v>
      </c>
      <c r="AZ117">
        <f t="shared" ref="AZ117:BF117" si="80">AY117-AZ113</f>
        <v>160</v>
      </c>
      <c r="BA117">
        <f t="shared" si="80"/>
        <v>160</v>
      </c>
      <c r="BB117">
        <f t="shared" si="80"/>
        <v>160</v>
      </c>
      <c r="BC117">
        <f t="shared" si="80"/>
        <v>160</v>
      </c>
      <c r="BD117">
        <f t="shared" si="80"/>
        <v>160</v>
      </c>
      <c r="BE117">
        <f t="shared" si="80"/>
        <v>160</v>
      </c>
      <c r="BF117">
        <f t="shared" si="80"/>
        <v>160</v>
      </c>
    </row>
    <row r="118" spans="1:66" x14ac:dyDescent="0.25">
      <c r="A118">
        <v>105</v>
      </c>
      <c r="B118" t="str">
        <f>_xlfn.XLOOKUP(A118,Order!R$12:R$859,Order!C$12:C$859,"")</f>
        <v/>
      </c>
      <c r="C118" t="str">
        <f>_xlfn.XLOOKUP(A118,Order!R$12:R$859,Order!S$12:S$859,"")</f>
        <v/>
      </c>
      <c r="D118" t="str">
        <f>_xlfn.XLOOKUP(A118,Order!R$12:R$859,Order!B$12:B$859,"")</f>
        <v/>
      </c>
      <c r="E118" t="str">
        <f>_xlfn.XLOOKUP(A118,Order!R$12:R$859,Order!P$12:P$859,"")</f>
        <v/>
      </c>
      <c r="F118" t="str">
        <f>_xlfn.XLOOKUP(A118,Order!R$12:R$859,Order!T$12:T$859,"")</f>
        <v/>
      </c>
      <c r="G118" t="str">
        <f>_xlfn.XLOOKUP(A118,Order!R$12:R$859,Order!U$12:U$859,"")</f>
        <v/>
      </c>
      <c r="H118" t="str">
        <f>_xlfn.XLOOKUP(A118,Order!R$12:R$859,Order!B$12:B$859,"")</f>
        <v/>
      </c>
      <c r="I118" t="str">
        <f>_xlfn.XLOOKUP(A118,Order!R$12:R$859,Order!V$12:V$859,"")</f>
        <v/>
      </c>
      <c r="J118" t="str">
        <f>IFERROR(RANK(F118,F$14:F$213,1)+COUNTIF(F$14:F118,F118)-1,"")</f>
        <v/>
      </c>
      <c r="L118" t="str">
        <f t="shared" si="66"/>
        <v/>
      </c>
      <c r="M118" t="str" cm="1">
        <f t="array" ref="M118">_xlfn.XLOOKUP(A118,J$14:J317,B$14:B317,"")</f>
        <v/>
      </c>
      <c r="N118" t="str" cm="1">
        <f t="array" ref="N118">_xlfn.XLOOKUP(A118,J$14:J317,C$14:C317,"")</f>
        <v/>
      </c>
      <c r="O118" t="str" cm="1">
        <f t="array" ref="O118">_xlfn.XLOOKUP(A118,J$14:J317,E$14:E317,"")</f>
        <v/>
      </c>
      <c r="P118" t="str" cm="1">
        <f t="array" ref="P118">_xlfn.XLOOKUP(A118,J$14:J317,G$14:G317,"")</f>
        <v/>
      </c>
      <c r="Q118" t="str" cm="1">
        <f t="array" ref="Q118">_xlfn.XLOOKUP(A118,J$14:J317,F$14:F317,"")</f>
        <v/>
      </c>
      <c r="R118" t="str" cm="1">
        <f t="array" ref="R118">_xlfn.XLOOKUP(A118,J$14:J317,I$14:I317,"")</f>
        <v/>
      </c>
      <c r="S118" t="str" cm="1">
        <f t="array" ref="S118">_xlfn.XLOOKUP(A118,J$14:J317,H$14:H317,"")</f>
        <v/>
      </c>
      <c r="T118" t="str" cm="1">
        <f t="array" ref="T118">VLOOKUP(ROW(105:105),L$14:S$163,8)</f>
        <v/>
      </c>
      <c r="U118" t="str" cm="1">
        <f t="array" ref="U118">VLOOKUP(ROW(105:105),L$14:M$163,2)</f>
        <v/>
      </c>
      <c r="V118" t="str" cm="1">
        <f t="array" ref="V118">VLOOKUP(ROW(105:105),L$14:O$163,4)</f>
        <v/>
      </c>
      <c r="W118" t="str" cm="1">
        <f t="array" ref="W118">VLOOKUP(ROW(105:105),L$14:Q$163,6)</f>
        <v/>
      </c>
      <c r="X118" cm="1">
        <f t="array" ref="X118">IFERROR(VLOOKUP(ROW(105:105),L$14:P$213,5)+0,0)</f>
        <v>0</v>
      </c>
      <c r="Y118" t="str" cm="1">
        <f t="array" ref="Y118">VLOOKUP(ROW(105:105),L$14:R$163,7)</f>
        <v/>
      </c>
      <c r="Z118">
        <f>IF(Y118&lt;-2,X118+MAX(Z$14:Z117),0)</f>
        <v>0</v>
      </c>
      <c r="AA118">
        <f>IFERROR(IF(AND(SUM(AA119:AA$214)+X118&lt;=Z$10,W118&lt;=Z$12,Z118=0),X118,0),0)</f>
        <v>0</v>
      </c>
      <c r="AB118">
        <f>IFERROR(IF(AND(W118&lt;=Z$12+10,AB$12-X118&gt;=0,SUM(Z118:AA118)=0,SUM(AB$14:AB117)+X118&lt;AB$12),X118,0),0)</f>
        <v>0</v>
      </c>
      <c r="AD118">
        <f>IF(AND(Y118=-2,SUM(Z118:AB118)=0),X118+MAX(AD$14:AD117),0)</f>
        <v>0</v>
      </c>
      <c r="AE118">
        <f>IFERROR(IF(AND(SUM(AE119:AE$214)+X118&lt;=AD$10,W118&lt;=AD$12,SUM(Z118:AD118)=0),X118,0),0)</f>
        <v>0</v>
      </c>
      <c r="AF118">
        <f>IFERROR(IF(AND(W118&lt;=AD$12+10,AF$12-X118&gt;=0,SUM(Z118:AE118)=0,SUM(AF$14:AF117)+X118&lt;AF$12),X118,0),0)</f>
        <v>0</v>
      </c>
      <c r="AG118">
        <f t="shared" si="71"/>
        <v>0</v>
      </c>
      <c r="AI118">
        <f t="shared" si="60"/>
        <v>0</v>
      </c>
      <c r="AJ118" s="493">
        <f t="shared" si="64"/>
        <v>0</v>
      </c>
      <c r="AK118">
        <f>IF(AJ118=0,0,IF(AJ117=0,MAX(AK$13:AK117)+1,IF(W118&lt;&gt;W117,MAX(AK$14:AK117)+1,IF(ROUNDDOWN(AJ118-0.01,0)=ROUNDDOWN(AJ117-0.01,0),AK117,AK117+1))))</f>
        <v>0</v>
      </c>
      <c r="AL118">
        <f t="shared" si="61"/>
        <v>0</v>
      </c>
      <c r="AM118">
        <f t="shared" si="62"/>
        <v>0</v>
      </c>
      <c r="AN118">
        <f>IF(AM118&gt;AN$12,IF(AK118=AK117,AN117,MAX(AN$13:AN117)+1),0)</f>
        <v>0</v>
      </c>
      <c r="AP118">
        <f t="shared" si="72"/>
        <v>0</v>
      </c>
      <c r="AQ118">
        <f>IF(AP118&gt;0,IF(MAX(AQ119:AQ$214)+AP118&gt;ROUNDUP(MAX(AQ119:AQ$214),0),ROUNDUP(MAX(AQ119:AQ$214),0)+AP118,MAX(AQ119:AQ$214)+AP118),0)</f>
        <v>0</v>
      </c>
      <c r="AR118">
        <f t="shared" si="63"/>
        <v>0</v>
      </c>
      <c r="AS118">
        <f t="shared" si="73"/>
        <v>0</v>
      </c>
      <c r="AT118">
        <f t="shared" si="74"/>
        <v>10</v>
      </c>
    </row>
    <row r="119" spans="1:66" x14ac:dyDescent="0.25">
      <c r="A119">
        <v>106</v>
      </c>
      <c r="B119" t="str">
        <f>_xlfn.XLOOKUP(A119,Order!R$12:R$859,Order!C$12:C$859,"")</f>
        <v/>
      </c>
      <c r="C119" t="str">
        <f>_xlfn.XLOOKUP(A119,Order!R$12:R$859,Order!S$12:S$859,"")</f>
        <v/>
      </c>
      <c r="D119" t="str">
        <f>_xlfn.XLOOKUP(A119,Order!R$12:R$859,Order!B$12:B$859,"")</f>
        <v/>
      </c>
      <c r="E119" t="str">
        <f>_xlfn.XLOOKUP(A119,Order!R$12:R$859,Order!P$12:P$859,"")</f>
        <v/>
      </c>
      <c r="F119" t="str">
        <f>_xlfn.XLOOKUP(A119,Order!R$12:R$859,Order!T$12:T$859,"")</f>
        <v/>
      </c>
      <c r="G119" t="str">
        <f>_xlfn.XLOOKUP(A119,Order!R$12:R$859,Order!U$12:U$859,"")</f>
        <v/>
      </c>
      <c r="H119" t="str">
        <f>_xlfn.XLOOKUP(A119,Order!R$12:R$859,Order!B$12:B$859,"")</f>
        <v/>
      </c>
      <c r="I119" t="str">
        <f>_xlfn.XLOOKUP(A119,Order!R$12:R$859,Order!V$12:V$859,"")</f>
        <v/>
      </c>
      <c r="J119" t="str">
        <f>IFERROR(RANK(F119,F$14:F$213,1)+COUNTIF(F$14:F119,F119)-1,"")</f>
        <v/>
      </c>
      <c r="L119" t="str">
        <f t="shared" si="66"/>
        <v/>
      </c>
      <c r="M119" t="str" cm="1">
        <f t="array" ref="M119">_xlfn.XLOOKUP(A119,J$14:J318,B$14:B318,"")</f>
        <v/>
      </c>
      <c r="N119" t="str" cm="1">
        <f t="array" ref="N119">_xlfn.XLOOKUP(A119,J$14:J318,C$14:C318,"")</f>
        <v/>
      </c>
      <c r="O119" t="str" cm="1">
        <f t="array" ref="O119">_xlfn.XLOOKUP(A119,J$14:J318,E$14:E318,"")</f>
        <v/>
      </c>
      <c r="P119" t="str" cm="1">
        <f t="array" ref="P119">_xlfn.XLOOKUP(A119,J$14:J318,G$14:G318,"")</f>
        <v/>
      </c>
      <c r="Q119" t="str" cm="1">
        <f t="array" ref="Q119">_xlfn.XLOOKUP(A119,J$14:J318,F$14:F318,"")</f>
        <v/>
      </c>
      <c r="R119" t="str" cm="1">
        <f t="array" ref="R119">_xlfn.XLOOKUP(A119,J$14:J318,I$14:I318,"")</f>
        <v/>
      </c>
      <c r="S119" t="str" cm="1">
        <f t="array" ref="S119">_xlfn.XLOOKUP(A119,J$14:J318,H$14:H318,"")</f>
        <v/>
      </c>
      <c r="T119" t="str" cm="1">
        <f t="array" ref="T119">VLOOKUP(ROW(106:106),L$14:S$163,8)</f>
        <v/>
      </c>
      <c r="U119" t="str" cm="1">
        <f t="array" ref="U119">VLOOKUP(ROW(106:106),L$14:M$163,2)</f>
        <v/>
      </c>
      <c r="V119" t="str" cm="1">
        <f t="array" ref="V119">VLOOKUP(ROW(106:106),L$14:O$163,4)</f>
        <v/>
      </c>
      <c r="W119" t="str" cm="1">
        <f t="array" ref="W119">VLOOKUP(ROW(106:106),L$14:Q$163,6)</f>
        <v/>
      </c>
      <c r="X119" cm="1">
        <f t="array" ref="X119">IFERROR(VLOOKUP(ROW(106:106),L$14:P$213,5)+0,0)</f>
        <v>0</v>
      </c>
      <c r="Y119" t="str" cm="1">
        <f t="array" ref="Y119">VLOOKUP(ROW(106:106),L$14:R$163,7)</f>
        <v/>
      </c>
      <c r="Z119">
        <f>IF(Y119&lt;-2,X119+MAX(Z$14:Z118),0)</f>
        <v>0</v>
      </c>
      <c r="AA119">
        <f>IFERROR(IF(AND(SUM(AA120:AA$214)+X119&lt;=Z$10,W119&lt;=Z$12,Z119=0),X119,0),0)</f>
        <v>0</v>
      </c>
      <c r="AB119">
        <f>IFERROR(IF(AND(W119&lt;=Z$12+10,AB$12-X119&gt;=0,SUM(Z119:AA119)=0,SUM(AB$14:AB118)+X119&lt;AB$12),X119,0),0)</f>
        <v>0</v>
      </c>
      <c r="AD119">
        <f>IF(AND(Y119=-2,SUM(Z119:AB119)=0),X119+MAX(AD$14:AD118),0)</f>
        <v>0</v>
      </c>
      <c r="AE119">
        <f>IFERROR(IF(AND(SUM(AE120:AE$214)+X119&lt;=AD$10,W119&lt;=AD$12,SUM(Z119:AD119)=0),X119,0),0)</f>
        <v>0</v>
      </c>
      <c r="AF119">
        <f>IFERROR(IF(AND(W119&lt;=AD$12+10,AF$12-X119&gt;=0,SUM(Z119:AE119)=0,SUM(AF$14:AF118)+X119&lt;AF$12),X119,0),0)</f>
        <v>0</v>
      </c>
      <c r="AG119">
        <f t="shared" si="71"/>
        <v>0</v>
      </c>
      <c r="AI119">
        <f t="shared" si="60"/>
        <v>0</v>
      </c>
      <c r="AJ119" s="493">
        <f t="shared" si="64"/>
        <v>0</v>
      </c>
      <c r="AK119">
        <f>IF(AJ119=0,0,IF(AJ118=0,MAX(AK$13:AK118)+1,IF(W119&lt;&gt;W118,MAX(AK$14:AK118)+1,IF(ROUNDDOWN(AJ119-0.01,0)=ROUNDDOWN(AJ118-0.01,0),AK118,AK118+1))))</f>
        <v>0</v>
      </c>
      <c r="AL119">
        <f t="shared" si="61"/>
        <v>0</v>
      </c>
      <c r="AM119">
        <f t="shared" si="62"/>
        <v>0</v>
      </c>
      <c r="AN119">
        <f>IF(AM119&gt;AN$12,IF(AK119=AK118,AN118,MAX(AN$13:AN118)+1),0)</f>
        <v>0</v>
      </c>
      <c r="AP119">
        <f t="shared" si="72"/>
        <v>0</v>
      </c>
      <c r="AQ119">
        <f>IF(AP119&gt;0,IF(MAX(AQ120:AQ$214)+AP119&gt;ROUNDUP(MAX(AQ120:AQ$214),0),ROUNDUP(MAX(AQ120:AQ$214),0)+AP119,MAX(AQ120:AQ$214)+AP119),0)</f>
        <v>0</v>
      </c>
      <c r="AR119">
        <f t="shared" si="63"/>
        <v>0</v>
      </c>
      <c r="AS119">
        <f t="shared" si="73"/>
        <v>0</v>
      </c>
      <c r="AT119">
        <f t="shared" si="74"/>
        <v>10</v>
      </c>
      <c r="AV119" t="s">
        <v>1134</v>
      </c>
      <c r="AX119" s="430" t="s">
        <v>1116</v>
      </c>
      <c r="AZ119" t="s">
        <v>1109</v>
      </c>
      <c r="BA119">
        <v>1</v>
      </c>
      <c r="BB119">
        <v>2</v>
      </c>
      <c r="BC119">
        <v>3</v>
      </c>
      <c r="BD119">
        <v>4</v>
      </c>
      <c r="BE119">
        <v>5</v>
      </c>
      <c r="BF119">
        <v>6</v>
      </c>
    </row>
    <row r="120" spans="1:66" x14ac:dyDescent="0.25">
      <c r="A120">
        <v>107</v>
      </c>
      <c r="B120" t="str">
        <f>_xlfn.XLOOKUP(A120,Order!R$12:R$859,Order!C$12:C$859,"")</f>
        <v/>
      </c>
      <c r="C120" t="str">
        <f>_xlfn.XLOOKUP(A120,Order!R$12:R$859,Order!S$12:S$859,"")</f>
        <v/>
      </c>
      <c r="D120" t="str">
        <f>_xlfn.XLOOKUP(A120,Order!R$12:R$859,Order!B$12:B$859,"")</f>
        <v/>
      </c>
      <c r="E120" t="str">
        <f>_xlfn.XLOOKUP(A120,Order!R$12:R$859,Order!P$12:P$859,"")</f>
        <v/>
      </c>
      <c r="F120" t="str">
        <f>_xlfn.XLOOKUP(A120,Order!R$12:R$859,Order!T$12:T$859,"")</f>
        <v/>
      </c>
      <c r="G120" t="str">
        <f>_xlfn.XLOOKUP(A120,Order!R$12:R$859,Order!U$12:U$859,"")</f>
        <v/>
      </c>
      <c r="H120" t="str">
        <f>_xlfn.XLOOKUP(A120,Order!R$12:R$859,Order!B$12:B$859,"")</f>
        <v/>
      </c>
      <c r="I120" t="str">
        <f>_xlfn.XLOOKUP(A120,Order!R$12:R$859,Order!V$12:V$859,"")</f>
        <v/>
      </c>
      <c r="J120" t="str">
        <f>IFERROR(RANK(F120,F$14:F$213,1)+COUNTIF(F$14:F120,F120)-1,"")</f>
        <v/>
      </c>
      <c r="L120" t="str">
        <f t="shared" si="66"/>
        <v/>
      </c>
      <c r="M120" t="str" cm="1">
        <f t="array" ref="M120">_xlfn.XLOOKUP(A120,J$14:J319,B$14:B319,"")</f>
        <v/>
      </c>
      <c r="N120" t="str" cm="1">
        <f t="array" ref="N120">_xlfn.XLOOKUP(A120,J$14:J319,C$14:C319,"")</f>
        <v/>
      </c>
      <c r="O120" t="str" cm="1">
        <f t="array" ref="O120">_xlfn.XLOOKUP(A120,J$14:J319,E$14:E319,"")</f>
        <v/>
      </c>
      <c r="P120" t="str" cm="1">
        <f t="array" ref="P120">_xlfn.XLOOKUP(A120,J$14:J319,G$14:G319,"")</f>
        <v/>
      </c>
      <c r="Q120" t="str" cm="1">
        <f t="array" ref="Q120">_xlfn.XLOOKUP(A120,J$14:J319,F$14:F319,"")</f>
        <v/>
      </c>
      <c r="R120" t="str" cm="1">
        <f t="array" ref="R120">_xlfn.XLOOKUP(A120,J$14:J319,I$14:I319,"")</f>
        <v/>
      </c>
      <c r="S120" t="str" cm="1">
        <f t="array" ref="S120">_xlfn.XLOOKUP(A120,J$14:J319,H$14:H319,"")</f>
        <v/>
      </c>
      <c r="T120" t="str" cm="1">
        <f t="array" ref="T120">VLOOKUP(ROW(107:107),L$14:S$163,8)</f>
        <v/>
      </c>
      <c r="U120" t="str" cm="1">
        <f t="array" ref="U120">VLOOKUP(ROW(107:107),L$14:M$163,2)</f>
        <v/>
      </c>
      <c r="V120" t="str" cm="1">
        <f t="array" ref="V120">VLOOKUP(ROW(107:107),L$14:O$163,4)</f>
        <v/>
      </c>
      <c r="W120" t="str" cm="1">
        <f t="array" ref="W120">VLOOKUP(ROW(107:107),L$14:Q$163,6)</f>
        <v/>
      </c>
      <c r="X120" cm="1">
        <f t="array" ref="X120">IFERROR(VLOOKUP(ROW(107:107),L$14:P$213,5)+0,0)</f>
        <v>0</v>
      </c>
      <c r="Y120" t="str" cm="1">
        <f t="array" ref="Y120">VLOOKUP(ROW(107:107),L$14:R$163,7)</f>
        <v/>
      </c>
      <c r="Z120">
        <f>IF(Y120&lt;-2,X120+MAX(Z$14:Z119),0)</f>
        <v>0</v>
      </c>
      <c r="AA120">
        <f>IFERROR(IF(AND(SUM(AA121:AA$214)+X120&lt;=Z$10,W120&lt;=Z$12,Z120=0),X120,0),0)</f>
        <v>0</v>
      </c>
      <c r="AB120">
        <f>IFERROR(IF(AND(W120&lt;=Z$12+10,AB$12-X120&gt;=0,SUM(Z120:AA120)=0,SUM(AB$14:AB119)+X120&lt;AB$12),X120,0),0)</f>
        <v>0</v>
      </c>
      <c r="AD120">
        <f>IF(AND(Y120=-2,SUM(Z120:AB120)=0),X120+MAX(AD$14:AD119),0)</f>
        <v>0</v>
      </c>
      <c r="AE120">
        <f>IFERROR(IF(AND(SUM(AE121:AE$214)+X120&lt;=AD$10,W120&lt;=AD$12,SUM(Z120:AD120)=0),X120,0),0)</f>
        <v>0</v>
      </c>
      <c r="AF120">
        <f>IFERROR(IF(AND(W120&lt;=AD$12+10,AF$12-X120&gt;=0,SUM(Z120:AE120)=0,SUM(AF$14:AF119)+X120&lt;AF$12),X120,0),0)</f>
        <v>0</v>
      </c>
      <c r="AG120">
        <f t="shared" si="71"/>
        <v>0</v>
      </c>
      <c r="AI120">
        <f t="shared" si="60"/>
        <v>0</v>
      </c>
      <c r="AJ120" s="493">
        <f t="shared" si="64"/>
        <v>0</v>
      </c>
      <c r="AK120">
        <f>IF(AJ120=0,0,IF(AJ119=0,MAX(AK$13:AK119)+1,IF(W120&lt;&gt;W119,MAX(AK$14:AK119)+1,IF(ROUNDDOWN(AJ120-0.01,0)=ROUNDDOWN(AJ119-0.01,0),AK119,AK119+1))))</f>
        <v>0</v>
      </c>
      <c r="AL120">
        <f t="shared" si="61"/>
        <v>0</v>
      </c>
      <c r="AM120">
        <f t="shared" si="62"/>
        <v>0</v>
      </c>
      <c r="AN120">
        <f>IF(AM120&gt;AN$12,IF(AK120=AK119,AN119,MAX(AN$13:AN119)+1),0)</f>
        <v>0</v>
      </c>
      <c r="AP120">
        <f t="shared" si="72"/>
        <v>0</v>
      </c>
      <c r="AQ120">
        <f>IF(AP120&gt;0,IF(MAX(AQ121:AQ$214)+AP120&gt;ROUNDUP(MAX(AQ121:AQ$214),0),ROUNDUP(MAX(AQ121:AQ$214),0)+AP120,MAX(AQ121:AQ$214)+AP120),0)</f>
        <v>0</v>
      </c>
      <c r="AR120">
        <f t="shared" si="63"/>
        <v>0</v>
      </c>
      <c r="AS120">
        <f t="shared" si="73"/>
        <v>0</v>
      </c>
      <c r="AT120">
        <f t="shared" si="74"/>
        <v>10</v>
      </c>
      <c r="AX120">
        <f>IF(_xlfn.MAXIFS(AX121:AX150,AW121:AW150,0)=0,MAX(AX121:AX150),_xlfn.MAXIFS(AX121:AX150,AW121:AW150,0))</f>
        <v>0</v>
      </c>
      <c r="AY120" t="s">
        <v>1115</v>
      </c>
      <c r="AZ120">
        <f>IF(_xlfn.MAXIFS(AX121:AX150,AW121:AW150,0)=0,1,0)</f>
        <v>1</v>
      </c>
      <c r="BG120" t="s">
        <v>1113</v>
      </c>
      <c r="BH120" t="s">
        <v>1139</v>
      </c>
      <c r="BI120" t="s">
        <v>1113</v>
      </c>
    </row>
    <row r="121" spans="1:66" x14ac:dyDescent="0.25">
      <c r="A121">
        <v>108</v>
      </c>
      <c r="B121" t="str">
        <f>_xlfn.XLOOKUP(A121,Order!R$12:R$859,Order!C$12:C$859,"")</f>
        <v/>
      </c>
      <c r="C121" t="str">
        <f>_xlfn.XLOOKUP(A121,Order!R$12:R$859,Order!S$12:S$859,"")</f>
        <v/>
      </c>
      <c r="D121" t="str">
        <f>_xlfn.XLOOKUP(A121,Order!R$12:R$859,Order!B$12:B$859,"")</f>
        <v/>
      </c>
      <c r="E121" t="str">
        <f>_xlfn.XLOOKUP(A121,Order!R$12:R$859,Order!P$12:P$859,"")</f>
        <v/>
      </c>
      <c r="F121" t="str">
        <f>_xlfn.XLOOKUP(A121,Order!R$12:R$859,Order!T$12:T$859,"")</f>
        <v/>
      </c>
      <c r="G121" t="str">
        <f>_xlfn.XLOOKUP(A121,Order!R$12:R$859,Order!U$12:U$859,"")</f>
        <v/>
      </c>
      <c r="H121" t="str">
        <f>_xlfn.XLOOKUP(A121,Order!R$12:R$859,Order!B$12:B$859,"")</f>
        <v/>
      </c>
      <c r="I121" t="str">
        <f>_xlfn.XLOOKUP(A121,Order!R$12:R$859,Order!V$12:V$859,"")</f>
        <v/>
      </c>
      <c r="J121" t="str">
        <f>IFERROR(RANK(F121,F$14:F$213,1)+COUNTIF(F$14:F121,F121)-1,"")</f>
        <v/>
      </c>
      <c r="L121" t="str">
        <f t="shared" si="66"/>
        <v/>
      </c>
      <c r="M121" t="str" cm="1">
        <f t="array" ref="M121">_xlfn.XLOOKUP(A121,J$14:J320,B$14:B320,"")</f>
        <v/>
      </c>
      <c r="N121" t="str" cm="1">
        <f t="array" ref="N121">_xlfn.XLOOKUP(A121,J$14:J320,C$14:C320,"")</f>
        <v/>
      </c>
      <c r="O121" t="str" cm="1">
        <f t="array" ref="O121">_xlfn.XLOOKUP(A121,J$14:J320,E$14:E320,"")</f>
        <v/>
      </c>
      <c r="P121" t="str" cm="1">
        <f t="array" ref="P121">_xlfn.XLOOKUP(A121,J$14:J320,G$14:G320,"")</f>
        <v/>
      </c>
      <c r="Q121" t="str" cm="1">
        <f t="array" ref="Q121">_xlfn.XLOOKUP(A121,J$14:J320,F$14:F320,"")</f>
        <v/>
      </c>
      <c r="R121" t="str" cm="1">
        <f t="array" ref="R121">_xlfn.XLOOKUP(A121,J$14:J320,I$14:I320,"")</f>
        <v/>
      </c>
      <c r="S121" t="str" cm="1">
        <f t="array" ref="S121">_xlfn.XLOOKUP(A121,J$14:J320,H$14:H320,"")</f>
        <v/>
      </c>
      <c r="T121" t="str" cm="1">
        <f t="array" ref="T121">VLOOKUP(ROW(108:108),L$14:S$163,8)</f>
        <v/>
      </c>
      <c r="U121" t="str" cm="1">
        <f t="array" ref="U121">VLOOKUP(ROW(108:108),L$14:M$163,2)</f>
        <v/>
      </c>
      <c r="V121" t="str" cm="1">
        <f t="array" ref="V121">VLOOKUP(ROW(108:108),L$14:O$163,4)</f>
        <v/>
      </c>
      <c r="W121" t="str" cm="1">
        <f t="array" ref="W121">VLOOKUP(ROW(108:108),L$14:Q$163,6)</f>
        <v/>
      </c>
      <c r="X121" cm="1">
        <f t="array" ref="X121">IFERROR(VLOOKUP(ROW(108:108),L$14:P$213,5)+0,0)</f>
        <v>0</v>
      </c>
      <c r="Y121" t="str" cm="1">
        <f t="array" ref="Y121">VLOOKUP(ROW(108:108),L$14:R$163,7)</f>
        <v/>
      </c>
      <c r="Z121">
        <f>IF(Y121&lt;-2,X121+MAX(Z$14:Z120),0)</f>
        <v>0</v>
      </c>
      <c r="AA121">
        <f>IFERROR(IF(AND(SUM(AA122:AA$214)+X121&lt;=Z$10,W121&lt;=Z$12,Z121=0),X121,0),0)</f>
        <v>0</v>
      </c>
      <c r="AB121">
        <f>IFERROR(IF(AND(W121&lt;=Z$12+10,AB$12-X121&gt;=0,SUM(Z121:AA121)=0,SUM(AB$14:AB120)+X121&lt;AB$12),X121,0),0)</f>
        <v>0</v>
      </c>
      <c r="AD121">
        <f>IF(AND(Y121=-2,SUM(Z121:AB121)=0),X121+MAX(AD$14:AD120),0)</f>
        <v>0</v>
      </c>
      <c r="AE121">
        <f>IFERROR(IF(AND(SUM(AE122:AE$214)+X121&lt;=AD$10,W121&lt;=AD$12,SUM(Z121:AD121)=0),X121,0),0)</f>
        <v>0</v>
      </c>
      <c r="AF121">
        <f>IFERROR(IF(AND(W121&lt;=AD$12+10,AF$12-X121&gt;=0,SUM(Z121:AE121)=0,SUM(AF$14:AF120)+X121&lt;AF$12),X121,0),0)</f>
        <v>0</v>
      </c>
      <c r="AG121">
        <f t="shared" si="71"/>
        <v>0</v>
      </c>
      <c r="AI121">
        <f t="shared" si="60"/>
        <v>0</v>
      </c>
      <c r="AJ121" s="493">
        <f t="shared" si="64"/>
        <v>0</v>
      </c>
      <c r="AK121">
        <f>IF(AJ121=0,0,IF(AJ120=0,MAX(AK$13:AK120)+1,IF(W121&lt;&gt;W120,MAX(AK$14:AK120)+1,IF(ROUNDDOWN(AJ121-0.01,0)=ROUNDDOWN(AJ120-0.01,0),AK120,AK120+1))))</f>
        <v>0</v>
      </c>
      <c r="AL121">
        <f t="shared" si="61"/>
        <v>0</v>
      </c>
      <c r="AM121">
        <f t="shared" si="62"/>
        <v>0</v>
      </c>
      <c r="AN121">
        <f>IF(AM121&gt;AN$12,IF(AK121=AK120,AN120,MAX(AN$13:AN120)+1),0)</f>
        <v>0</v>
      </c>
      <c r="AP121">
        <f t="shared" si="72"/>
        <v>0</v>
      </c>
      <c r="AQ121">
        <f>IF(AP121&gt;0,IF(MAX(AQ122:AQ$214)+AP121&gt;ROUNDUP(MAX(AQ122:AQ$214),0),ROUNDUP(MAX(AQ122:AQ$214),0)+AP121,MAX(AQ122:AQ$214)+AP121),0)</f>
        <v>0</v>
      </c>
      <c r="AR121">
        <f t="shared" si="63"/>
        <v>0</v>
      </c>
      <c r="AS121">
        <f t="shared" si="73"/>
        <v>0</v>
      </c>
      <c r="AT121">
        <f t="shared" si="74"/>
        <v>10</v>
      </c>
      <c r="AV121">
        <v>1</v>
      </c>
      <c r="AW121">
        <f>IF(AND(AV121&gt;=BN$114,AV121&lt;BN$115),1,IF(AV121&lt;=AV$2,-1,0))</f>
        <v>0</v>
      </c>
      <c r="AX121">
        <f>BI82</f>
        <v>0</v>
      </c>
      <c r="AY121" s="495">
        <f>IF(AND(AX121=AX$120,AW121=AZ120,AX120&lt;&gt;0),AV121,)</f>
        <v>0</v>
      </c>
      <c r="AZ121" s="494">
        <f>IF(AND(SUM($AY121:AY121)=0,$AX121&gt;0),$AV121,0)</f>
        <v>0</v>
      </c>
      <c r="BA121" s="494">
        <f>IF(AND(SUM($AY121:AZ121)=0,$AX121&gt;0),$AV121,0)</f>
        <v>0</v>
      </c>
      <c r="BB121" s="494">
        <f>IF(AND(SUM($AY121:BA121)=0,$AX121&gt;0),$AV121,0)</f>
        <v>0</v>
      </c>
      <c r="BC121" s="494">
        <f>IF(AND(SUM($AY121:BB121)=0,$AX121&gt;0),$AV121,0)</f>
        <v>0</v>
      </c>
      <c r="BD121" s="494">
        <f>IF(AND(SUM($AY121:BC121)=0,$AX121&gt;0),$AV121,0)</f>
        <v>0</v>
      </c>
      <c r="BE121" s="494">
        <f>IF(AND(SUM($AY121:BD121)=0,$AX121&gt;0),$AV121,0)</f>
        <v>0</v>
      </c>
      <c r="BF121" s="494">
        <f>IF(AND(SUM($AY121:BE121)=0,$AX121&gt;0),$AV121,0)</f>
        <v>0</v>
      </c>
      <c r="BG121">
        <f t="shared" ref="BG121:BG150" si="81">IF(AND(SUM(AY121:BF121)=0,AX121&gt;0,AW121&gt;-1),AX121,0)</f>
        <v>0</v>
      </c>
      <c r="BH121" s="494">
        <f>IF(AND(BG121&gt;0,BG121&gt;BG$153,BG$153+BF$156&gt;BG121),BG121,0)</f>
        <v>0</v>
      </c>
      <c r="BI121">
        <f>IF(AND(BG$154=AV121,BH$152&gt;0),AX121,IF(BH$153=AV121,0,BG121))+IF(AND(SUM(AZ121:BF121)=0,AW121=-1),AX121,0)</f>
        <v>0</v>
      </c>
    </row>
    <row r="122" spans="1:66" x14ac:dyDescent="0.25">
      <c r="A122">
        <v>109</v>
      </c>
      <c r="B122" t="str">
        <f>_xlfn.XLOOKUP(A122,Order!R$12:R$859,Order!C$12:C$859,"")</f>
        <v/>
      </c>
      <c r="C122" t="str">
        <f>_xlfn.XLOOKUP(A122,Order!R$12:R$859,Order!S$12:S$859,"")</f>
        <v/>
      </c>
      <c r="D122" t="str">
        <f>_xlfn.XLOOKUP(A122,Order!R$12:R$859,Order!B$12:B$859,"")</f>
        <v/>
      </c>
      <c r="E122" t="str">
        <f>_xlfn.XLOOKUP(A122,Order!R$12:R$859,Order!P$12:P$859,"")</f>
        <v/>
      </c>
      <c r="F122" t="str">
        <f>_xlfn.XLOOKUP(A122,Order!R$12:R$859,Order!T$12:T$859,"")</f>
        <v/>
      </c>
      <c r="G122" t="str">
        <f>_xlfn.XLOOKUP(A122,Order!R$12:R$859,Order!U$12:U$859,"")</f>
        <v/>
      </c>
      <c r="H122" t="str">
        <f>_xlfn.XLOOKUP(A122,Order!R$12:R$859,Order!B$12:B$859,"")</f>
        <v/>
      </c>
      <c r="I122" t="str">
        <f>_xlfn.XLOOKUP(A122,Order!R$12:R$859,Order!V$12:V$859,"")</f>
        <v/>
      </c>
      <c r="J122" t="str">
        <f>IFERROR(RANK(F122,F$14:F$213,1)+COUNTIF(F$14:F122,F122)-1,"")</f>
        <v/>
      </c>
      <c r="L122" t="str">
        <f t="shared" si="66"/>
        <v/>
      </c>
      <c r="M122" t="str" cm="1">
        <f t="array" ref="M122">_xlfn.XLOOKUP(A122,J$14:J321,B$14:B321,"")</f>
        <v/>
      </c>
      <c r="N122" t="str" cm="1">
        <f t="array" ref="N122">_xlfn.XLOOKUP(A122,J$14:J321,C$14:C321,"")</f>
        <v/>
      </c>
      <c r="O122" t="str" cm="1">
        <f t="array" ref="O122">_xlfn.XLOOKUP(A122,J$14:J321,E$14:E321,"")</f>
        <v/>
      </c>
      <c r="P122" t="str" cm="1">
        <f t="array" ref="P122">_xlfn.XLOOKUP(A122,J$14:J321,G$14:G321,"")</f>
        <v/>
      </c>
      <c r="Q122" t="str" cm="1">
        <f t="array" ref="Q122">_xlfn.XLOOKUP(A122,J$14:J321,F$14:F321,"")</f>
        <v/>
      </c>
      <c r="R122" t="str" cm="1">
        <f t="array" ref="R122">_xlfn.XLOOKUP(A122,J$14:J321,I$14:I321,"")</f>
        <v/>
      </c>
      <c r="S122" t="str" cm="1">
        <f t="array" ref="S122">_xlfn.XLOOKUP(A122,J$14:J321,H$14:H321,"")</f>
        <v/>
      </c>
      <c r="T122" t="str" cm="1">
        <f t="array" ref="T122">VLOOKUP(ROW(109:109),L$14:S$163,8)</f>
        <v/>
      </c>
      <c r="U122" t="str" cm="1">
        <f t="array" ref="U122">VLOOKUP(ROW(109:109),L$14:M$163,2)</f>
        <v/>
      </c>
      <c r="V122" t="str" cm="1">
        <f t="array" ref="V122">VLOOKUP(ROW(109:109),L$14:O$163,4)</f>
        <v/>
      </c>
      <c r="W122" t="str" cm="1">
        <f t="array" ref="W122">VLOOKUP(ROW(109:109),L$14:Q$163,6)</f>
        <v/>
      </c>
      <c r="X122" cm="1">
        <f t="array" ref="X122">IFERROR(VLOOKUP(ROW(109:109),L$14:P$213,5)+0,0)</f>
        <v>0</v>
      </c>
      <c r="Y122" t="str" cm="1">
        <f t="array" ref="Y122">VLOOKUP(ROW(109:109),L$14:R$163,7)</f>
        <v/>
      </c>
      <c r="Z122">
        <f>IF(Y122&lt;-2,X122+MAX(Z$14:Z121),0)</f>
        <v>0</v>
      </c>
      <c r="AA122">
        <f>IFERROR(IF(AND(SUM(AA123:AA$214)+X122&lt;=Z$10,W122&lt;=Z$12,Z122=0),X122,0),0)</f>
        <v>0</v>
      </c>
      <c r="AB122">
        <f>IFERROR(IF(AND(W122&lt;=Z$12+10,AB$12-X122&gt;=0,SUM(Z122:AA122)=0,SUM(AB$14:AB121)+X122&lt;AB$12),X122,0),0)</f>
        <v>0</v>
      </c>
      <c r="AD122">
        <f>IF(AND(Y122=-2,SUM(Z122:AB122)=0),X122+MAX(AD$14:AD121),0)</f>
        <v>0</v>
      </c>
      <c r="AE122">
        <f>IFERROR(IF(AND(SUM(AE123:AE$214)+X122&lt;=AD$10,W122&lt;=AD$12,SUM(Z122:AD122)=0),X122,0),0)</f>
        <v>0</v>
      </c>
      <c r="AF122">
        <f>IFERROR(IF(AND(W122&lt;=AD$12+10,AF$12-X122&gt;=0,SUM(Z122:AE122)=0,SUM(AF$14:AF121)+X122&lt;AF$12),X122,0),0)</f>
        <v>0</v>
      </c>
      <c r="AG122">
        <f t="shared" si="71"/>
        <v>0</v>
      </c>
      <c r="AI122">
        <f t="shared" si="60"/>
        <v>0</v>
      </c>
      <c r="AJ122" s="493">
        <f t="shared" si="64"/>
        <v>0</v>
      </c>
      <c r="AK122">
        <f>IF(AJ122=0,0,IF(AJ121=0,MAX(AK$13:AK121)+1,IF(W122&lt;&gt;W121,MAX(AK$14:AK121)+1,IF(ROUNDDOWN(AJ122-0.01,0)=ROUNDDOWN(AJ121-0.01,0),AK121,AK121+1))))</f>
        <v>0</v>
      </c>
      <c r="AL122">
        <f t="shared" si="61"/>
        <v>0</v>
      </c>
      <c r="AM122">
        <f t="shared" si="62"/>
        <v>0</v>
      </c>
      <c r="AN122">
        <f>IF(AM122&gt;AN$12,IF(AK122=AK121,AN121,MAX(AN$13:AN121)+1),0)</f>
        <v>0</v>
      </c>
      <c r="AP122">
        <f t="shared" si="72"/>
        <v>0</v>
      </c>
      <c r="AQ122">
        <f>IF(AP122&gt;0,IF(MAX(AQ123:AQ$214)+AP122&gt;ROUNDUP(MAX(AQ123:AQ$214),0),ROUNDUP(MAX(AQ123:AQ$214),0)+AP122,MAX(AQ123:AQ$214)+AP122),0)</f>
        <v>0</v>
      </c>
      <c r="AR122">
        <f t="shared" si="63"/>
        <v>0</v>
      </c>
      <c r="AS122">
        <f t="shared" si="73"/>
        <v>0</v>
      </c>
      <c r="AT122">
        <f t="shared" si="74"/>
        <v>10</v>
      </c>
      <c r="AV122">
        <v>2</v>
      </c>
      <c r="AW122">
        <f t="shared" ref="AW122:AW150" si="82">IF(AND(AV122&gt;=BN$114,AV122&lt;BN$115),1,IF(AV122&lt;=AV$2,-1,0))</f>
        <v>0</v>
      </c>
      <c r="AX122">
        <f t="shared" ref="AX122:AX150" si="83">BI83</f>
        <v>0</v>
      </c>
      <c r="AY122" s="496">
        <f>IF(AND(AX122=AX$120,SUM(AY$121:AY121)=0,AW122=AZ$120,AX$120&lt;&gt;0),AV122,)</f>
        <v>0</v>
      </c>
      <c r="AZ122">
        <f>IF(AND(SUM(AZ$121:AZ121)=0,SUM($AY122:AY122)=0,$AX122&lt;=AY$156,$AX122&gt;0,$AW122&gt;-1),$AV122,0)</f>
        <v>0</v>
      </c>
      <c r="BA122">
        <f>IF(AND(SUM(BA$121:BA121)=0,SUM($AY122:AZ122)=0,$AX122&lt;=AZ$156,$AX122&gt;0,$AW122&gt;-1),$AV122,0)</f>
        <v>0</v>
      </c>
      <c r="BB122">
        <f>IF(AND(SUM(BB$121:BB121)=0,SUM($AY122:BA122)=0,$AX122&lt;=BA$156,$AX122&gt;0,$AW122&gt;-1),$AV122,0)</f>
        <v>0</v>
      </c>
      <c r="BC122">
        <f>IF(AND(SUM(BC$121:BC121)=0,SUM($AY122:BB122)=0,$AX122&lt;=BB$156,$AX122&gt;0,$AW122&gt;-1),$AV122,0)</f>
        <v>0</v>
      </c>
      <c r="BD122">
        <f>IF(AND(SUM(BD$121:BD121)=0,SUM($AY122:BC122)=0,$AX122&lt;=BC$156,$AX122&gt;0,$AW122&gt;-1),$AV122,0)</f>
        <v>0</v>
      </c>
      <c r="BE122">
        <f>IF(AND(SUM(BE$121:BE121)=0,SUM($AY122:BD122)=0,$AX122&lt;=BD$156,$AX122&gt;0,$AW122&gt;-1),$AV122,0)</f>
        <v>0</v>
      </c>
      <c r="BF122">
        <f>IF(AND(SUM(BF$121:BF121)=0,SUM($AY122:BE122)=0,$AX122&lt;=BE$156,$AX122&gt;0,$AW122&gt;-1),$AV122,0)</f>
        <v>0</v>
      </c>
      <c r="BG122">
        <f t="shared" si="81"/>
        <v>0</v>
      </c>
      <c r="BH122" s="494">
        <f t="shared" ref="BH122:BH150" si="84">IF(AND(BG122&gt;0,BG122&gt;BG$153,BG$153+BF$156&gt;BG122),BG122,0)</f>
        <v>0</v>
      </c>
      <c r="BI122">
        <f t="shared" ref="BI122:BI150" si="85">IF(AND(BG$154=AV122,BH$152&gt;0),AX122,IF(BH$153=AV122,0,BG122))+IF(AND(SUM(AZ122:BF122)=0,AW122=-1),AX122,0)</f>
        <v>0</v>
      </c>
    </row>
    <row r="123" spans="1:66" x14ac:dyDescent="0.25">
      <c r="A123">
        <v>110</v>
      </c>
      <c r="B123" t="str">
        <f>_xlfn.XLOOKUP(A123,Order!R$12:R$859,Order!C$12:C$859,"")</f>
        <v/>
      </c>
      <c r="C123" t="str">
        <f>_xlfn.XLOOKUP(A123,Order!R$12:R$859,Order!S$12:S$859,"")</f>
        <v/>
      </c>
      <c r="D123" t="str">
        <f>_xlfn.XLOOKUP(A123,Order!R$12:R$859,Order!B$12:B$859,"")</f>
        <v/>
      </c>
      <c r="E123" t="str">
        <f>_xlfn.XLOOKUP(A123,Order!R$12:R$859,Order!P$12:P$859,"")</f>
        <v/>
      </c>
      <c r="F123" t="str">
        <f>_xlfn.XLOOKUP(A123,Order!R$12:R$859,Order!T$12:T$859,"")</f>
        <v/>
      </c>
      <c r="G123" t="str">
        <f>_xlfn.XLOOKUP(A123,Order!R$12:R$859,Order!U$12:U$859,"")</f>
        <v/>
      </c>
      <c r="H123" t="str">
        <f>_xlfn.XLOOKUP(A123,Order!R$12:R$859,Order!B$12:B$859,"")</f>
        <v/>
      </c>
      <c r="I123" t="str">
        <f>_xlfn.XLOOKUP(A123,Order!R$12:R$859,Order!V$12:V$859,"")</f>
        <v/>
      </c>
      <c r="J123" t="str">
        <f>IFERROR(RANK(F123,F$14:F$213,1)+COUNTIF(F$14:F123,F123)-1,"")</f>
        <v/>
      </c>
      <c r="L123" t="str">
        <f t="shared" si="66"/>
        <v/>
      </c>
      <c r="M123" t="str" cm="1">
        <f t="array" ref="M123">_xlfn.XLOOKUP(A123,J$14:J322,B$14:B322,"")</f>
        <v/>
      </c>
      <c r="N123" t="str" cm="1">
        <f t="array" ref="N123">_xlfn.XLOOKUP(A123,J$14:J322,C$14:C322,"")</f>
        <v/>
      </c>
      <c r="O123" t="str" cm="1">
        <f t="array" ref="O123">_xlfn.XLOOKUP(A123,J$14:J322,E$14:E322,"")</f>
        <v/>
      </c>
      <c r="P123" t="str" cm="1">
        <f t="array" ref="P123">_xlfn.XLOOKUP(A123,J$14:J322,G$14:G322,"")</f>
        <v/>
      </c>
      <c r="Q123" t="str" cm="1">
        <f t="array" ref="Q123">_xlfn.XLOOKUP(A123,J$14:J322,F$14:F322,"")</f>
        <v/>
      </c>
      <c r="R123" t="str" cm="1">
        <f t="array" ref="R123">_xlfn.XLOOKUP(A123,J$14:J322,I$14:I322,"")</f>
        <v/>
      </c>
      <c r="S123" t="str" cm="1">
        <f t="array" ref="S123">_xlfn.XLOOKUP(A123,J$14:J322,H$14:H322,"")</f>
        <v/>
      </c>
      <c r="T123" t="str" cm="1">
        <f t="array" ref="T123">VLOOKUP(ROW(110:110),L$14:S$163,8)</f>
        <v/>
      </c>
      <c r="U123" t="str" cm="1">
        <f t="array" ref="U123">VLOOKUP(ROW(110:110),L$14:M$163,2)</f>
        <v/>
      </c>
      <c r="V123" t="str" cm="1">
        <f t="array" ref="V123">VLOOKUP(ROW(110:110),L$14:O$163,4)</f>
        <v/>
      </c>
      <c r="W123" t="str" cm="1">
        <f t="array" ref="W123">VLOOKUP(ROW(110:110),L$14:Q$163,6)</f>
        <v/>
      </c>
      <c r="X123" cm="1">
        <f t="array" ref="X123">IFERROR(VLOOKUP(ROW(110:110),L$14:P$213,5)+0,0)</f>
        <v>0</v>
      </c>
      <c r="Y123" t="str" cm="1">
        <f t="array" ref="Y123">VLOOKUP(ROW(110:110),L$14:R$163,7)</f>
        <v/>
      </c>
      <c r="Z123">
        <f>IF(Y123&lt;-2,X123+MAX(Z$14:Z122),0)</f>
        <v>0</v>
      </c>
      <c r="AA123">
        <f>IFERROR(IF(AND(SUM(AA124:AA$214)+X123&lt;=Z$10,W123&lt;=Z$12,Z123=0),X123,0),0)</f>
        <v>0</v>
      </c>
      <c r="AB123">
        <f>IFERROR(IF(AND(W123&lt;=Z$12+10,AB$12-X123&gt;=0,SUM(Z123:AA123)=0,SUM(AB$14:AB122)+X123&lt;AB$12),X123,0),0)</f>
        <v>0</v>
      </c>
      <c r="AD123">
        <f>IF(AND(Y123=-2,SUM(Z123:AB123)=0),X123+MAX(AD$14:AD122),0)</f>
        <v>0</v>
      </c>
      <c r="AE123">
        <f>IFERROR(IF(AND(SUM(AE124:AE$214)+X123&lt;=AD$10,W123&lt;=AD$12,SUM(Z123:AD123)=0),X123,0),0)</f>
        <v>0</v>
      </c>
      <c r="AF123">
        <f>IFERROR(IF(AND(W123&lt;=AD$12+10,AF$12-X123&gt;=0,SUM(Z123:AE123)=0,SUM(AF$14:AF122)+X123&lt;AF$12),X123,0),0)</f>
        <v>0</v>
      </c>
      <c r="AG123">
        <f t="shared" si="71"/>
        <v>0</v>
      </c>
      <c r="AI123">
        <f t="shared" si="60"/>
        <v>0</v>
      </c>
      <c r="AJ123" s="493">
        <f t="shared" si="64"/>
        <v>0</v>
      </c>
      <c r="AK123">
        <f>IF(AJ123=0,0,IF(AJ122=0,MAX(AK$13:AK122)+1,IF(W123&lt;&gt;W122,MAX(AK$14:AK122)+1,IF(ROUNDDOWN(AJ123-0.01,0)=ROUNDDOWN(AJ122-0.01,0),AK122,AK122+1))))</f>
        <v>0</v>
      </c>
      <c r="AL123">
        <f t="shared" si="61"/>
        <v>0</v>
      </c>
      <c r="AM123">
        <f t="shared" si="62"/>
        <v>0</v>
      </c>
      <c r="AN123">
        <f>IF(AM123&gt;AN$12,IF(AK123=AK122,AN122,MAX(AN$13:AN122)+1),0)</f>
        <v>0</v>
      </c>
      <c r="AP123">
        <f t="shared" si="72"/>
        <v>0</v>
      </c>
      <c r="AQ123">
        <f>IF(AP123&gt;0,IF(MAX(AQ124:AQ$214)+AP123&gt;ROUNDUP(MAX(AQ124:AQ$214),0),ROUNDUP(MAX(AQ124:AQ$214),0)+AP123,MAX(AQ124:AQ$214)+AP123),0)</f>
        <v>0</v>
      </c>
      <c r="AR123">
        <f t="shared" si="63"/>
        <v>0</v>
      </c>
      <c r="AS123">
        <f t="shared" si="73"/>
        <v>0</v>
      </c>
      <c r="AT123">
        <f t="shared" si="74"/>
        <v>10</v>
      </c>
      <c r="AV123">
        <v>3</v>
      </c>
      <c r="AW123">
        <f t="shared" si="82"/>
        <v>0</v>
      </c>
      <c r="AX123">
        <f t="shared" si="83"/>
        <v>0</v>
      </c>
      <c r="AY123" s="496">
        <f>IF(AND(AX123=AX$120,SUM(AY$121:AY122)=0,AW123=AZ$120,AX$120&lt;&gt;0),AV123,)</f>
        <v>0</v>
      </c>
      <c r="AZ123">
        <f>IF(AND(SUM(AZ$121:AZ122)=0,SUM($AY123:AY123)=0,$AX123&lt;=AY$156,$AX123&gt;0,$AW123&gt;-1),$AV123,0)</f>
        <v>0</v>
      </c>
      <c r="BA123">
        <f>IF(AND(SUM(BA$121:BA122)=0,SUM($AY123:AZ123)=0,$AX123&lt;=AZ$156,$AX123&gt;0,$AW123&gt;-1),$AV123,0)</f>
        <v>0</v>
      </c>
      <c r="BB123">
        <f>IF(AND(SUM(BB$121:BB122)=0,SUM($AY123:BA123)=0,$AX123&lt;=BA$156,$AX123&gt;0,$AW123&gt;-1),$AV123,0)</f>
        <v>0</v>
      </c>
      <c r="BC123">
        <f>IF(AND(SUM(BC$121:BC122)=0,SUM($AY123:BB123)=0,$AX123&lt;=BB$156,$AX123&gt;0,$AW123&gt;-1),$AV123,0)</f>
        <v>0</v>
      </c>
      <c r="BD123">
        <f>IF(AND(SUM(BD$121:BD122)=0,SUM($AY123:BC123)=0,$AX123&lt;=BC$156,$AX123&gt;0,$AW123&gt;-1),$AV123,0)</f>
        <v>0</v>
      </c>
      <c r="BE123">
        <f>IF(AND(SUM(BE$121:BE122)=0,SUM($AY123:BD123)=0,$AX123&lt;=BD$156,$AX123&gt;0,$AW123&gt;-1),$AV123,0)</f>
        <v>0</v>
      </c>
      <c r="BF123">
        <f>IF(AND(SUM(BF$121:BF122)=0,SUM($AY123:BE123)=0,$AX123&lt;=BE$156,$AX123&gt;0,$AW123&gt;-1),$AV123,0)</f>
        <v>0</v>
      </c>
      <c r="BG123">
        <f t="shared" si="81"/>
        <v>0</v>
      </c>
      <c r="BH123" s="494">
        <f t="shared" si="84"/>
        <v>0</v>
      </c>
      <c r="BI123">
        <f t="shared" si="85"/>
        <v>0</v>
      </c>
    </row>
    <row r="124" spans="1:66" x14ac:dyDescent="0.25">
      <c r="A124">
        <v>111</v>
      </c>
      <c r="B124" t="str">
        <f>_xlfn.XLOOKUP(A124,Order!R$12:R$859,Order!C$12:C$859,"")</f>
        <v/>
      </c>
      <c r="C124" t="str">
        <f>_xlfn.XLOOKUP(A124,Order!R$12:R$859,Order!S$12:S$859,"")</f>
        <v/>
      </c>
      <c r="D124" t="str">
        <f>_xlfn.XLOOKUP(A124,Order!R$12:R$859,Order!B$12:B$859,"")</f>
        <v/>
      </c>
      <c r="E124" t="str">
        <f>_xlfn.XLOOKUP(A124,Order!R$12:R$859,Order!P$12:P$859,"")</f>
        <v/>
      </c>
      <c r="F124" t="str">
        <f>_xlfn.XLOOKUP(A124,Order!R$12:R$859,Order!T$12:T$859,"")</f>
        <v/>
      </c>
      <c r="G124" t="str">
        <f>_xlfn.XLOOKUP(A124,Order!R$12:R$859,Order!U$12:U$859,"")</f>
        <v/>
      </c>
      <c r="H124" t="str">
        <f>_xlfn.XLOOKUP(A124,Order!R$12:R$859,Order!B$12:B$859,"")</f>
        <v/>
      </c>
      <c r="I124" t="str">
        <f>_xlfn.XLOOKUP(A124,Order!R$12:R$859,Order!V$12:V$859,"")</f>
        <v/>
      </c>
      <c r="J124" t="str">
        <f>IFERROR(RANK(F124,F$14:F$213,1)+COUNTIF(F$14:F124,F124)-1,"")</f>
        <v/>
      </c>
      <c r="L124" t="str">
        <f t="shared" si="66"/>
        <v/>
      </c>
      <c r="M124" t="str" cm="1">
        <f t="array" ref="M124">_xlfn.XLOOKUP(A124,J$14:J323,B$14:B323,"")</f>
        <v/>
      </c>
      <c r="N124" t="str" cm="1">
        <f t="array" ref="N124">_xlfn.XLOOKUP(A124,J$14:J323,C$14:C323,"")</f>
        <v/>
      </c>
      <c r="O124" t="str" cm="1">
        <f t="array" ref="O124">_xlfn.XLOOKUP(A124,J$14:J323,E$14:E323,"")</f>
        <v/>
      </c>
      <c r="P124" t="str" cm="1">
        <f t="array" ref="P124">_xlfn.XLOOKUP(A124,J$14:J323,G$14:G323,"")</f>
        <v/>
      </c>
      <c r="Q124" t="str" cm="1">
        <f t="array" ref="Q124">_xlfn.XLOOKUP(A124,J$14:J323,F$14:F323,"")</f>
        <v/>
      </c>
      <c r="R124" t="str" cm="1">
        <f t="array" ref="R124">_xlfn.XLOOKUP(A124,J$14:J323,I$14:I323,"")</f>
        <v/>
      </c>
      <c r="S124" t="str" cm="1">
        <f t="array" ref="S124">_xlfn.XLOOKUP(A124,J$14:J323,H$14:H323,"")</f>
        <v/>
      </c>
      <c r="T124" t="str" cm="1">
        <f t="array" ref="T124">VLOOKUP(ROW(111:111),L$14:S$163,8)</f>
        <v/>
      </c>
      <c r="U124" t="str" cm="1">
        <f t="array" ref="U124">VLOOKUP(ROW(111:111),L$14:M$163,2)</f>
        <v/>
      </c>
      <c r="V124" t="str" cm="1">
        <f t="array" ref="V124">VLOOKUP(ROW(111:111),L$14:O$163,4)</f>
        <v/>
      </c>
      <c r="W124" t="str" cm="1">
        <f t="array" ref="W124">VLOOKUP(ROW(111:111),L$14:Q$163,6)</f>
        <v/>
      </c>
      <c r="X124" cm="1">
        <f t="array" ref="X124">IFERROR(VLOOKUP(ROW(111:111),L$14:P$213,5)+0,0)</f>
        <v>0</v>
      </c>
      <c r="Y124" t="str" cm="1">
        <f t="array" ref="Y124">VLOOKUP(ROW(111:111),L$14:R$163,7)</f>
        <v/>
      </c>
      <c r="Z124">
        <f>IF(Y124&lt;-2,X124+MAX(Z$14:Z123),0)</f>
        <v>0</v>
      </c>
      <c r="AA124">
        <f>IFERROR(IF(AND(SUM(AA125:AA$214)+X124&lt;=Z$10,W124&lt;=Z$12,Z124=0),X124,0),0)</f>
        <v>0</v>
      </c>
      <c r="AB124">
        <f>IFERROR(IF(AND(W124&lt;=Z$12+10,AB$12-X124&gt;=0,SUM(Z124:AA124)=0,SUM(AB$14:AB123)+X124&lt;AB$12),X124,0),0)</f>
        <v>0</v>
      </c>
      <c r="AD124">
        <f>IF(AND(Y124=-2,SUM(Z124:AB124)=0),X124+MAX(AD$14:AD123),0)</f>
        <v>0</v>
      </c>
      <c r="AE124">
        <f>IFERROR(IF(AND(SUM(AE125:AE$214)+X124&lt;=AD$10,W124&lt;=AD$12,SUM(Z124:AD124)=0),X124,0),0)</f>
        <v>0</v>
      </c>
      <c r="AF124">
        <f>IFERROR(IF(AND(W124&lt;=AD$12+10,AF$12-X124&gt;=0,SUM(Z124:AE124)=0,SUM(AF$14:AF123)+X124&lt;AF$12),X124,0),0)</f>
        <v>0</v>
      </c>
      <c r="AG124">
        <f t="shared" si="71"/>
        <v>0</v>
      </c>
      <c r="AI124">
        <f t="shared" si="60"/>
        <v>0</v>
      </c>
      <c r="AJ124" s="493">
        <f t="shared" si="64"/>
        <v>0</v>
      </c>
      <c r="AK124">
        <f>IF(AJ124=0,0,IF(AJ123=0,MAX(AK$13:AK123)+1,IF(W124&lt;&gt;W123,MAX(AK$14:AK123)+1,IF(ROUNDDOWN(AJ124-0.01,0)=ROUNDDOWN(AJ123-0.01,0),AK123,AK123+1))))</f>
        <v>0</v>
      </c>
      <c r="AL124">
        <f t="shared" si="61"/>
        <v>0</v>
      </c>
      <c r="AM124">
        <f t="shared" si="62"/>
        <v>0</v>
      </c>
      <c r="AN124">
        <f>IF(AM124&gt;AN$12,IF(AK124=AK123,AN123,MAX(AN$13:AN123)+1),0)</f>
        <v>0</v>
      </c>
      <c r="AP124">
        <f t="shared" si="72"/>
        <v>0</v>
      </c>
      <c r="AQ124">
        <f>IF(AP124&gt;0,IF(MAX(AQ125:AQ$214)+AP124&gt;ROUNDUP(MAX(AQ125:AQ$214),0),ROUNDUP(MAX(AQ125:AQ$214),0)+AP124,MAX(AQ125:AQ$214)+AP124),0)</f>
        <v>0</v>
      </c>
      <c r="AR124">
        <f t="shared" si="63"/>
        <v>0</v>
      </c>
      <c r="AS124">
        <f t="shared" si="73"/>
        <v>0</v>
      </c>
      <c r="AT124">
        <f t="shared" si="74"/>
        <v>10</v>
      </c>
      <c r="AV124">
        <v>4</v>
      </c>
      <c r="AW124">
        <f t="shared" si="82"/>
        <v>0</v>
      </c>
      <c r="AX124">
        <f t="shared" si="83"/>
        <v>0</v>
      </c>
      <c r="AY124" s="496">
        <f>IF(AND(AX124=AX$120,SUM(AY$121:AY123)=0,AW124=AZ$120,AX$120&lt;&gt;0),AV124,)</f>
        <v>0</v>
      </c>
      <c r="AZ124">
        <f>IF(AND(SUM(AZ$121:AZ123)=0,SUM($AY124:AY124)=0,$AX124&lt;=AY$156,$AX124&gt;0,$AW124&gt;-1),$AV124,0)</f>
        <v>0</v>
      </c>
      <c r="BA124">
        <f>IF(AND(SUM(BA$121:BA123)=0,SUM($AY124:AZ124)=0,$AX124&lt;=AZ$156,$AX124&gt;0,$AW124&gt;-1),$AV124,0)</f>
        <v>0</v>
      </c>
      <c r="BB124">
        <f>IF(AND(SUM(BB$121:BB123)=0,SUM($AY124:BA124)=0,$AX124&lt;=BA$156,$AX124&gt;0,$AW124&gt;-1),$AV124,0)</f>
        <v>0</v>
      </c>
      <c r="BC124">
        <f>IF(AND(SUM(BC$121:BC123)=0,SUM($AY124:BB124)=0,$AX124&lt;=BB$156,$AX124&gt;0,$AW124&gt;-1),$AV124,0)</f>
        <v>0</v>
      </c>
      <c r="BD124">
        <f>IF(AND(SUM(BD$121:BD123)=0,SUM($AY124:BC124)=0,$AX124&lt;=BC$156,$AX124&gt;0,$AW124&gt;-1),$AV124,0)</f>
        <v>0</v>
      </c>
      <c r="BE124">
        <f>IF(AND(SUM(BE$121:BE123)=0,SUM($AY124:BD124)=0,$AX124&lt;=BD$156,$AX124&gt;0,$AW124&gt;-1),$AV124,0)</f>
        <v>0</v>
      </c>
      <c r="BF124">
        <f>IF(AND(SUM(BF$121:BF123)=0,SUM($AY124:BE124)=0,$AX124&lt;=BE$156,$AX124&gt;0,$AW124&gt;-1),$AV124,0)</f>
        <v>0</v>
      </c>
      <c r="BG124">
        <f t="shared" si="81"/>
        <v>0</v>
      </c>
      <c r="BH124" s="494">
        <f t="shared" si="84"/>
        <v>0</v>
      </c>
      <c r="BI124">
        <f t="shared" si="85"/>
        <v>0</v>
      </c>
    </row>
    <row r="125" spans="1:66" x14ac:dyDescent="0.25">
      <c r="A125">
        <v>112</v>
      </c>
      <c r="B125" t="str">
        <f>_xlfn.XLOOKUP(A125,Order!R$12:R$859,Order!C$12:C$859,"")</f>
        <v/>
      </c>
      <c r="C125" t="str">
        <f>_xlfn.XLOOKUP(A125,Order!R$12:R$859,Order!S$12:S$859,"")</f>
        <v/>
      </c>
      <c r="D125" t="str">
        <f>_xlfn.XLOOKUP(A125,Order!R$12:R$859,Order!B$12:B$859,"")</f>
        <v/>
      </c>
      <c r="E125" t="str">
        <f>_xlfn.XLOOKUP(A125,Order!R$12:R$859,Order!P$12:P$859,"")</f>
        <v/>
      </c>
      <c r="F125" t="str">
        <f>_xlfn.XLOOKUP(A125,Order!R$12:R$859,Order!T$12:T$859,"")</f>
        <v/>
      </c>
      <c r="G125" t="str">
        <f>_xlfn.XLOOKUP(A125,Order!R$12:R$859,Order!U$12:U$859,"")</f>
        <v/>
      </c>
      <c r="H125" t="str">
        <f>_xlfn.XLOOKUP(A125,Order!R$12:R$859,Order!B$12:B$859,"")</f>
        <v/>
      </c>
      <c r="I125" t="str">
        <f>_xlfn.XLOOKUP(A125,Order!R$12:R$859,Order!V$12:V$859,"")</f>
        <v/>
      </c>
      <c r="J125" t="str">
        <f>IFERROR(RANK(F125,F$14:F$213,1)+COUNTIF(F$14:F125,F125)-1,"")</f>
        <v/>
      </c>
      <c r="L125" t="str">
        <f t="shared" si="66"/>
        <v/>
      </c>
      <c r="M125" t="str" cm="1">
        <f t="array" ref="M125">_xlfn.XLOOKUP(A125,J$14:J324,B$14:B324,"")</f>
        <v/>
      </c>
      <c r="N125" t="str" cm="1">
        <f t="array" ref="N125">_xlfn.XLOOKUP(A125,J$14:J324,C$14:C324,"")</f>
        <v/>
      </c>
      <c r="O125" t="str" cm="1">
        <f t="array" ref="O125">_xlfn.XLOOKUP(A125,J$14:J324,E$14:E324,"")</f>
        <v/>
      </c>
      <c r="P125" t="str" cm="1">
        <f t="array" ref="P125">_xlfn.XLOOKUP(A125,J$14:J324,G$14:G324,"")</f>
        <v/>
      </c>
      <c r="Q125" t="str" cm="1">
        <f t="array" ref="Q125">_xlfn.XLOOKUP(A125,J$14:J324,F$14:F324,"")</f>
        <v/>
      </c>
      <c r="R125" t="str" cm="1">
        <f t="array" ref="R125">_xlfn.XLOOKUP(A125,J$14:J324,I$14:I324,"")</f>
        <v/>
      </c>
      <c r="S125" t="str" cm="1">
        <f t="array" ref="S125">_xlfn.XLOOKUP(A125,J$14:J324,H$14:H324,"")</f>
        <v/>
      </c>
      <c r="T125" t="str" cm="1">
        <f t="array" ref="T125">VLOOKUP(ROW(112:112),L$14:S$163,8)</f>
        <v/>
      </c>
      <c r="U125" t="str" cm="1">
        <f t="array" ref="U125">VLOOKUP(ROW(112:112),L$14:M$163,2)</f>
        <v/>
      </c>
      <c r="V125" t="str" cm="1">
        <f t="array" ref="V125">VLOOKUP(ROW(112:112),L$14:O$163,4)</f>
        <v/>
      </c>
      <c r="W125" t="str" cm="1">
        <f t="array" ref="W125">VLOOKUP(ROW(112:112),L$14:Q$163,6)</f>
        <v/>
      </c>
      <c r="X125" cm="1">
        <f t="array" ref="X125">IFERROR(VLOOKUP(ROW(112:112),L$14:P$213,5)+0,0)</f>
        <v>0</v>
      </c>
      <c r="Y125" t="str" cm="1">
        <f t="array" ref="Y125">VLOOKUP(ROW(112:112),L$14:R$163,7)</f>
        <v/>
      </c>
      <c r="Z125">
        <f>IF(Y125&lt;-2,X125+MAX(Z$14:Z124),0)</f>
        <v>0</v>
      </c>
      <c r="AA125">
        <f>IFERROR(IF(AND(SUM(AA126:AA$214)+X125&lt;=Z$10,W125&lt;=Z$12,Z125=0),X125,0),0)</f>
        <v>0</v>
      </c>
      <c r="AB125">
        <f>IFERROR(IF(AND(W125&lt;=Z$12+10,AB$12-X125&gt;=0,SUM(Z125:AA125)=0,SUM(AB$14:AB124)+X125&lt;AB$12),X125,0),0)</f>
        <v>0</v>
      </c>
      <c r="AD125">
        <f>IF(AND(Y125=-2,SUM(Z125:AB125)=0),X125+MAX(AD$14:AD124),0)</f>
        <v>0</v>
      </c>
      <c r="AE125">
        <f>IFERROR(IF(AND(SUM(AE126:AE$214)+X125&lt;=AD$10,W125&lt;=AD$12,SUM(Z125:AD125)=0),X125,0),0)</f>
        <v>0</v>
      </c>
      <c r="AF125">
        <f>IFERROR(IF(AND(W125&lt;=AD$12+10,AF$12-X125&gt;=0,SUM(Z125:AE125)=0,SUM(AF$14:AF124)+X125&lt;AF$12),X125,0),0)</f>
        <v>0</v>
      </c>
      <c r="AG125">
        <f t="shared" si="71"/>
        <v>0</v>
      </c>
      <c r="AI125">
        <f t="shared" si="60"/>
        <v>0</v>
      </c>
      <c r="AJ125" s="493">
        <f t="shared" si="64"/>
        <v>0</v>
      </c>
      <c r="AK125">
        <f>IF(AJ125=0,0,IF(AJ124=0,MAX(AK$13:AK124)+1,IF(W125&lt;&gt;W124,MAX(AK$14:AK124)+1,IF(ROUNDDOWN(AJ125-0.01,0)=ROUNDDOWN(AJ124-0.01,0),AK124,AK124+1))))</f>
        <v>0</v>
      </c>
      <c r="AL125">
        <f t="shared" si="61"/>
        <v>0</v>
      </c>
      <c r="AM125">
        <f t="shared" si="62"/>
        <v>0</v>
      </c>
      <c r="AN125">
        <f>IF(AM125&gt;AN$12,IF(AK125=AK124,AN124,MAX(AN$13:AN124)+1),0)</f>
        <v>0</v>
      </c>
      <c r="AP125">
        <f t="shared" si="72"/>
        <v>0</v>
      </c>
      <c r="AQ125">
        <f>IF(AP125&gt;0,IF(MAX(AQ126:AQ$214)+AP125&gt;ROUNDUP(MAX(AQ126:AQ$214),0),ROUNDUP(MAX(AQ126:AQ$214),0)+AP125,MAX(AQ126:AQ$214)+AP125),0)</f>
        <v>0</v>
      </c>
      <c r="AR125">
        <f t="shared" si="63"/>
        <v>0</v>
      </c>
      <c r="AS125">
        <f t="shared" si="73"/>
        <v>0</v>
      </c>
      <c r="AT125">
        <f t="shared" si="74"/>
        <v>10</v>
      </c>
      <c r="AV125">
        <v>5</v>
      </c>
      <c r="AW125">
        <f t="shared" si="82"/>
        <v>0</v>
      </c>
      <c r="AX125">
        <f t="shared" si="83"/>
        <v>0</v>
      </c>
      <c r="AY125" s="496">
        <f>IF(AND(AX125=AX$120,SUM(AY$121:AY124)=0,AW125=AZ$120,AX$120&lt;&gt;0),AV125,)</f>
        <v>0</v>
      </c>
      <c r="AZ125">
        <f>IF(AND(SUM(AZ$121:AZ124)=0,SUM($AY125:AY125)=0,$AX125&lt;=AY$156,$AX125&gt;0,$AW125&gt;-1),$AV125,0)</f>
        <v>0</v>
      </c>
      <c r="BA125">
        <f>IF(AND(SUM(BA$121:BA124)=0,SUM($AY125:AZ125)=0,$AX125&lt;=AZ$156,$AX125&gt;0,$AW125&gt;-1),$AV125,0)</f>
        <v>0</v>
      </c>
      <c r="BB125">
        <f>IF(AND(SUM(BB$121:BB124)=0,SUM($AY125:BA125)=0,$AX125&lt;=BA$156,$AX125&gt;0,$AW125&gt;-1),$AV125,0)</f>
        <v>0</v>
      </c>
      <c r="BC125">
        <f>IF(AND(SUM(BC$121:BC124)=0,SUM($AY125:BB125)=0,$AX125&lt;=BB$156,$AX125&gt;0,$AW125&gt;-1),$AV125,0)</f>
        <v>0</v>
      </c>
      <c r="BD125">
        <f>IF(AND(SUM(BD$121:BD124)=0,SUM($AY125:BC125)=0,$AX125&lt;=BC$156,$AX125&gt;0,$AW125&gt;-1),$AV125,0)</f>
        <v>0</v>
      </c>
      <c r="BE125">
        <f>IF(AND(SUM(BE$121:BE124)=0,SUM($AY125:BD125)=0,$AX125&lt;=BD$156,$AX125&gt;0,$AW125&gt;-1),$AV125,0)</f>
        <v>0</v>
      </c>
      <c r="BF125">
        <f>IF(AND(SUM(BF$121:BF124)=0,SUM($AY125:BE125)=0,$AX125&lt;=BE$156,$AX125&gt;0,$AW125&gt;-1),$AV125,0)</f>
        <v>0</v>
      </c>
      <c r="BG125">
        <f t="shared" si="81"/>
        <v>0</v>
      </c>
      <c r="BH125" s="494">
        <f t="shared" si="84"/>
        <v>0</v>
      </c>
      <c r="BI125">
        <f t="shared" si="85"/>
        <v>0</v>
      </c>
    </row>
    <row r="126" spans="1:66" x14ac:dyDescent="0.25">
      <c r="A126">
        <v>113</v>
      </c>
      <c r="B126" t="str">
        <f>_xlfn.XLOOKUP(A126,Order!R$12:R$859,Order!C$12:C$859,"")</f>
        <v/>
      </c>
      <c r="C126" t="str">
        <f>_xlfn.XLOOKUP(A126,Order!R$12:R$859,Order!S$12:S$859,"")</f>
        <v/>
      </c>
      <c r="D126" t="str">
        <f>_xlfn.XLOOKUP(A126,Order!R$12:R$859,Order!B$12:B$859,"")</f>
        <v/>
      </c>
      <c r="E126" t="str">
        <f>_xlfn.XLOOKUP(A126,Order!R$12:R$859,Order!P$12:P$859,"")</f>
        <v/>
      </c>
      <c r="F126" t="str">
        <f>_xlfn.XLOOKUP(A126,Order!R$12:R$859,Order!T$12:T$859,"")</f>
        <v/>
      </c>
      <c r="G126" t="str">
        <f>_xlfn.XLOOKUP(A126,Order!R$12:R$859,Order!U$12:U$859,"")</f>
        <v/>
      </c>
      <c r="H126" t="str">
        <f>_xlfn.XLOOKUP(A126,Order!R$12:R$859,Order!B$12:B$859,"")</f>
        <v/>
      </c>
      <c r="I126" t="str">
        <f>_xlfn.XLOOKUP(A126,Order!R$12:R$859,Order!V$12:V$859,"")</f>
        <v/>
      </c>
      <c r="J126" t="str">
        <f>IFERROR(RANK(F126,F$14:F$213,1)+COUNTIF(F$14:F126,F126)-1,"")</f>
        <v/>
      </c>
      <c r="L126" t="str">
        <f t="shared" si="66"/>
        <v/>
      </c>
      <c r="M126" t="str" cm="1">
        <f t="array" ref="M126">_xlfn.XLOOKUP(A126,J$14:J325,B$14:B325,"")</f>
        <v/>
      </c>
      <c r="N126" t="str" cm="1">
        <f t="array" ref="N126">_xlfn.XLOOKUP(A126,J$14:J325,C$14:C325,"")</f>
        <v/>
      </c>
      <c r="O126" t="str" cm="1">
        <f t="array" ref="O126">_xlfn.XLOOKUP(A126,J$14:J325,E$14:E325,"")</f>
        <v/>
      </c>
      <c r="P126" t="str" cm="1">
        <f t="array" ref="P126">_xlfn.XLOOKUP(A126,J$14:J325,G$14:G325,"")</f>
        <v/>
      </c>
      <c r="Q126" t="str" cm="1">
        <f t="array" ref="Q126">_xlfn.XLOOKUP(A126,J$14:J325,F$14:F325,"")</f>
        <v/>
      </c>
      <c r="R126" t="str" cm="1">
        <f t="array" ref="R126">_xlfn.XLOOKUP(A126,J$14:J325,I$14:I325,"")</f>
        <v/>
      </c>
      <c r="S126" t="str" cm="1">
        <f t="array" ref="S126">_xlfn.XLOOKUP(A126,J$14:J325,H$14:H325,"")</f>
        <v/>
      </c>
      <c r="T126" t="str" cm="1">
        <f t="array" ref="T126">VLOOKUP(ROW(113:113),L$14:S$163,8)</f>
        <v/>
      </c>
      <c r="U126" t="str" cm="1">
        <f t="array" ref="U126">VLOOKUP(ROW(113:113),L$14:M$163,2)</f>
        <v/>
      </c>
      <c r="V126" t="str" cm="1">
        <f t="array" ref="V126">VLOOKUP(ROW(113:113),L$14:O$163,4)</f>
        <v/>
      </c>
      <c r="W126" t="str" cm="1">
        <f t="array" ref="W126">VLOOKUP(ROW(113:113),L$14:Q$163,6)</f>
        <v/>
      </c>
      <c r="X126" cm="1">
        <f t="array" ref="X126">IFERROR(VLOOKUP(ROW(113:113),L$14:P$213,5)+0,0)</f>
        <v>0</v>
      </c>
      <c r="Y126" t="str" cm="1">
        <f t="array" ref="Y126">VLOOKUP(ROW(113:113),L$14:R$163,7)</f>
        <v/>
      </c>
      <c r="Z126">
        <f>IF(Y126&lt;-2,X126+MAX(Z$14:Z125),0)</f>
        <v>0</v>
      </c>
      <c r="AA126">
        <f>IFERROR(IF(AND(SUM(AA127:AA$214)+X126&lt;=Z$10,W126&lt;=Z$12,Z126=0),X126,0),0)</f>
        <v>0</v>
      </c>
      <c r="AB126">
        <f>IFERROR(IF(AND(W126&lt;=Z$12+10,AB$12-X126&gt;=0,SUM(Z126:AA126)=0,SUM(AB$14:AB125)+X126&lt;AB$12),X126,0),0)</f>
        <v>0</v>
      </c>
      <c r="AD126">
        <f>IF(AND(Y126=-2,SUM(Z126:AB126)=0),X126+MAX(AD$14:AD125),0)</f>
        <v>0</v>
      </c>
      <c r="AE126">
        <f>IFERROR(IF(AND(SUM(AE127:AE$214)+X126&lt;=AD$10,W126&lt;=AD$12,SUM(Z126:AD126)=0),X126,0),0)</f>
        <v>0</v>
      </c>
      <c r="AF126">
        <f>IFERROR(IF(AND(W126&lt;=AD$12+10,AF$12-X126&gt;=0,SUM(Z126:AE126)=0,SUM(AF$14:AF125)+X126&lt;AF$12),X126,0),0)</f>
        <v>0</v>
      </c>
      <c r="AG126">
        <f t="shared" si="71"/>
        <v>0</v>
      </c>
      <c r="AI126">
        <f t="shared" si="60"/>
        <v>0</v>
      </c>
      <c r="AJ126" s="493">
        <f t="shared" si="64"/>
        <v>0</v>
      </c>
      <c r="AK126">
        <f>IF(AJ126=0,0,IF(AJ125=0,MAX(AK$13:AK125)+1,IF(W126&lt;&gt;W125,MAX(AK$14:AK125)+1,IF(ROUNDDOWN(AJ126-0.01,0)=ROUNDDOWN(AJ125-0.01,0),AK125,AK125+1))))</f>
        <v>0</v>
      </c>
      <c r="AL126">
        <f t="shared" si="61"/>
        <v>0</v>
      </c>
      <c r="AM126">
        <f t="shared" si="62"/>
        <v>0</v>
      </c>
      <c r="AN126">
        <f>IF(AM126&gt;AN$12,IF(AK126=AK125,AN125,MAX(AN$13:AN125)+1),0)</f>
        <v>0</v>
      </c>
      <c r="AP126">
        <f t="shared" si="72"/>
        <v>0</v>
      </c>
      <c r="AQ126">
        <f>IF(AP126&gt;0,IF(MAX(AQ127:AQ$214)+AP126&gt;ROUNDUP(MAX(AQ127:AQ$214),0),ROUNDUP(MAX(AQ127:AQ$214),0)+AP126,MAX(AQ127:AQ$214)+AP126),0)</f>
        <v>0</v>
      </c>
      <c r="AR126">
        <f t="shared" si="63"/>
        <v>0</v>
      </c>
      <c r="AS126">
        <f t="shared" si="73"/>
        <v>0</v>
      </c>
      <c r="AT126">
        <f t="shared" si="74"/>
        <v>10</v>
      </c>
      <c r="AV126">
        <v>6</v>
      </c>
      <c r="AW126">
        <f t="shared" si="82"/>
        <v>0</v>
      </c>
      <c r="AX126">
        <f t="shared" si="83"/>
        <v>0</v>
      </c>
      <c r="AY126" s="496">
        <f>IF(AND(AX126=AX$120,SUM(AY$121:AY125)=0,AW126=AZ$120,AX$120&lt;&gt;0),AV126,)</f>
        <v>0</v>
      </c>
      <c r="AZ126">
        <f>IF(AND(SUM(AZ$121:AZ125)=0,SUM($AY126:AY126)=0,$AX126&lt;=AY$156,$AX126&gt;0,$AW126&gt;-1),$AV126,0)</f>
        <v>0</v>
      </c>
      <c r="BA126">
        <f>IF(AND(SUM(BA$121:BA125)=0,SUM($AY126:AZ126)=0,$AX126&lt;=AZ$156,$AX126&gt;0,$AW126&gt;-1),$AV126,0)</f>
        <v>0</v>
      </c>
      <c r="BB126">
        <f>IF(AND(SUM(BB$121:BB125)=0,SUM($AY126:BA126)=0,$AX126&lt;=BA$156,$AX126&gt;0,$AW126&gt;-1),$AV126,0)</f>
        <v>0</v>
      </c>
      <c r="BC126">
        <f>IF(AND(SUM(BC$121:BC125)=0,SUM($AY126:BB126)=0,$AX126&lt;=BB$156,$AX126&gt;0,$AW126&gt;-1),$AV126,0)</f>
        <v>0</v>
      </c>
      <c r="BD126">
        <f>IF(AND(SUM(BD$121:BD125)=0,SUM($AY126:BC126)=0,$AX126&lt;=BC$156,$AX126&gt;0,$AW126&gt;-1),$AV126,0)</f>
        <v>0</v>
      </c>
      <c r="BE126">
        <f>IF(AND(SUM(BE$121:BE125)=0,SUM($AY126:BD126)=0,$AX126&lt;=BD$156,$AX126&gt;0,$AW126&gt;-1),$AV126,0)</f>
        <v>0</v>
      </c>
      <c r="BF126">
        <f>IF(AND(SUM(BF$121:BF125)=0,SUM($AY126:BE126)=0,$AX126&lt;=BE$156,$AX126&gt;0,$AW126&gt;-1),$AV126,0)</f>
        <v>0</v>
      </c>
      <c r="BG126">
        <f t="shared" si="81"/>
        <v>0</v>
      </c>
      <c r="BH126" s="494">
        <f t="shared" si="84"/>
        <v>0</v>
      </c>
      <c r="BI126">
        <f t="shared" si="85"/>
        <v>0</v>
      </c>
    </row>
    <row r="127" spans="1:66" x14ac:dyDescent="0.25">
      <c r="A127">
        <v>114</v>
      </c>
      <c r="B127" t="str">
        <f>_xlfn.XLOOKUP(A127,Order!R$12:R$859,Order!C$12:C$859,"")</f>
        <v/>
      </c>
      <c r="C127" t="str">
        <f>_xlfn.XLOOKUP(A127,Order!R$12:R$859,Order!S$12:S$859,"")</f>
        <v/>
      </c>
      <c r="D127" t="str">
        <f>_xlfn.XLOOKUP(A127,Order!R$12:R$859,Order!B$12:B$859,"")</f>
        <v/>
      </c>
      <c r="E127" t="str">
        <f>_xlfn.XLOOKUP(A127,Order!R$12:R$859,Order!P$12:P$859,"")</f>
        <v/>
      </c>
      <c r="F127" t="str">
        <f>_xlfn.XLOOKUP(A127,Order!R$12:R$859,Order!T$12:T$859,"")</f>
        <v/>
      </c>
      <c r="G127" t="str">
        <f>_xlfn.XLOOKUP(A127,Order!R$12:R$859,Order!U$12:U$859,"")</f>
        <v/>
      </c>
      <c r="H127" t="str">
        <f>_xlfn.XLOOKUP(A127,Order!R$12:R$859,Order!B$12:B$859,"")</f>
        <v/>
      </c>
      <c r="I127" t="str">
        <f>_xlfn.XLOOKUP(A127,Order!R$12:R$859,Order!V$12:V$859,"")</f>
        <v/>
      </c>
      <c r="J127" t="str">
        <f>IFERROR(RANK(F127,F$14:F$213,1)+COUNTIF(F$14:F127,F127)-1,"")</f>
        <v/>
      </c>
      <c r="L127" t="str">
        <f t="shared" si="66"/>
        <v/>
      </c>
      <c r="M127" t="str" cm="1">
        <f t="array" ref="M127">_xlfn.XLOOKUP(A127,J$14:J326,B$14:B326,"")</f>
        <v/>
      </c>
      <c r="N127" t="str" cm="1">
        <f t="array" ref="N127">_xlfn.XLOOKUP(A127,J$14:J326,C$14:C326,"")</f>
        <v/>
      </c>
      <c r="O127" t="str" cm="1">
        <f t="array" ref="O127">_xlfn.XLOOKUP(A127,J$14:J326,E$14:E326,"")</f>
        <v/>
      </c>
      <c r="P127" t="str" cm="1">
        <f t="array" ref="P127">_xlfn.XLOOKUP(A127,J$14:J326,G$14:G326,"")</f>
        <v/>
      </c>
      <c r="Q127" t="str" cm="1">
        <f t="array" ref="Q127">_xlfn.XLOOKUP(A127,J$14:J326,F$14:F326,"")</f>
        <v/>
      </c>
      <c r="R127" t="str" cm="1">
        <f t="array" ref="R127">_xlfn.XLOOKUP(A127,J$14:J326,I$14:I326,"")</f>
        <v/>
      </c>
      <c r="S127" t="str" cm="1">
        <f t="array" ref="S127">_xlfn.XLOOKUP(A127,J$14:J326,H$14:H326,"")</f>
        <v/>
      </c>
      <c r="T127" t="str" cm="1">
        <f t="array" ref="T127">VLOOKUP(ROW(114:114),L$14:S$163,8)</f>
        <v/>
      </c>
      <c r="U127" t="str" cm="1">
        <f t="array" ref="U127">VLOOKUP(ROW(114:114),L$14:M$163,2)</f>
        <v/>
      </c>
      <c r="V127" t="str" cm="1">
        <f t="array" ref="V127">VLOOKUP(ROW(114:114),L$14:O$163,4)</f>
        <v/>
      </c>
      <c r="W127" t="str" cm="1">
        <f t="array" ref="W127">VLOOKUP(ROW(114:114),L$14:Q$163,6)</f>
        <v/>
      </c>
      <c r="X127" cm="1">
        <f t="array" ref="X127">IFERROR(VLOOKUP(ROW(114:114),L$14:P$213,5)+0,0)</f>
        <v>0</v>
      </c>
      <c r="Y127" t="str" cm="1">
        <f t="array" ref="Y127">VLOOKUP(ROW(114:114),L$14:R$163,7)</f>
        <v/>
      </c>
      <c r="Z127">
        <f>IF(Y127&lt;-2,X127+MAX(Z$14:Z126),0)</f>
        <v>0</v>
      </c>
      <c r="AA127">
        <f>IFERROR(IF(AND(SUM(AA128:AA$214)+X127&lt;=Z$10,W127&lt;=Z$12,Z127=0),X127,0),0)</f>
        <v>0</v>
      </c>
      <c r="AB127">
        <f>IFERROR(IF(AND(W127&lt;=Z$12+10,AB$12-X127&gt;=0,SUM(Z127:AA127)=0,SUM(AB$14:AB126)+X127&lt;AB$12),X127,0),0)</f>
        <v>0</v>
      </c>
      <c r="AD127">
        <f>IF(AND(Y127=-2,SUM(Z127:AB127)=0),X127+MAX(AD$14:AD126),0)</f>
        <v>0</v>
      </c>
      <c r="AE127">
        <f>IFERROR(IF(AND(SUM(AE128:AE$214)+X127&lt;=AD$10,W127&lt;=AD$12,SUM(Z127:AD127)=0),X127,0),0)</f>
        <v>0</v>
      </c>
      <c r="AF127">
        <f>IFERROR(IF(AND(W127&lt;=AD$12+10,AF$12-X127&gt;=0,SUM(Z127:AE127)=0,SUM(AF$14:AF126)+X127&lt;AF$12),X127,0),0)</f>
        <v>0</v>
      </c>
      <c r="AG127">
        <f t="shared" si="71"/>
        <v>0</v>
      </c>
      <c r="AI127">
        <f t="shared" si="60"/>
        <v>0</v>
      </c>
      <c r="AJ127" s="493">
        <f t="shared" si="64"/>
        <v>0</v>
      </c>
      <c r="AK127">
        <f>IF(AJ127=0,0,IF(AJ126=0,MAX(AK$13:AK126)+1,IF(W127&lt;&gt;W126,MAX(AK$14:AK126)+1,IF(ROUNDDOWN(AJ127-0.01,0)=ROUNDDOWN(AJ126-0.01,0),AK126,AK126+1))))</f>
        <v>0</v>
      </c>
      <c r="AL127">
        <f t="shared" si="61"/>
        <v>0</v>
      </c>
      <c r="AM127">
        <f t="shared" si="62"/>
        <v>0</v>
      </c>
      <c r="AN127">
        <f>IF(AM127&gt;AN$12,IF(AK127=AK126,AN126,MAX(AN$13:AN126)+1),0)</f>
        <v>0</v>
      </c>
      <c r="AP127">
        <f t="shared" si="72"/>
        <v>0</v>
      </c>
      <c r="AQ127">
        <f>IF(AP127&gt;0,IF(MAX(AQ128:AQ$214)+AP127&gt;ROUNDUP(MAX(AQ128:AQ$214),0),ROUNDUP(MAX(AQ128:AQ$214),0)+AP127,MAX(AQ128:AQ$214)+AP127),0)</f>
        <v>0</v>
      </c>
      <c r="AR127">
        <f t="shared" si="63"/>
        <v>0</v>
      </c>
      <c r="AS127">
        <f t="shared" si="73"/>
        <v>0</v>
      </c>
      <c r="AT127">
        <f t="shared" si="74"/>
        <v>10</v>
      </c>
      <c r="AV127">
        <v>7</v>
      </c>
      <c r="AW127">
        <f t="shared" si="82"/>
        <v>0</v>
      </c>
      <c r="AX127">
        <f t="shared" si="83"/>
        <v>0</v>
      </c>
      <c r="AY127" s="496">
        <f>IF(AND(AX127=AX$120,SUM(AY$121:AY126)=0,AW127=AZ$120,AX$120&lt;&gt;0),AV127,)</f>
        <v>0</v>
      </c>
      <c r="AZ127">
        <f>IF(AND(SUM(AZ$121:AZ126)=0,SUM($AY127:AY127)=0,$AX127&lt;=AY$156,$AX127&gt;0,$AW127&gt;-1),$AV127,0)</f>
        <v>0</v>
      </c>
      <c r="BA127">
        <f>IF(AND(SUM(BA$121:BA126)=0,SUM($AY127:AZ127)=0,$AX127&lt;=AZ$156,$AX127&gt;0,$AW127&gt;-1),$AV127,0)</f>
        <v>0</v>
      </c>
      <c r="BB127">
        <f>IF(AND(SUM(BB$121:BB126)=0,SUM($AY127:BA127)=0,$AX127&lt;=BA$156,$AX127&gt;0,$AW127&gt;-1),$AV127,0)</f>
        <v>0</v>
      </c>
      <c r="BC127">
        <f>IF(AND(SUM(BC$121:BC126)=0,SUM($AY127:BB127)=0,$AX127&lt;=BB$156,$AX127&gt;0,$AW127&gt;-1),$AV127,0)</f>
        <v>0</v>
      </c>
      <c r="BD127">
        <f>IF(AND(SUM(BD$121:BD126)=0,SUM($AY127:BC127)=0,$AX127&lt;=BC$156,$AX127&gt;0,$AW127&gt;-1),$AV127,0)</f>
        <v>0</v>
      </c>
      <c r="BE127">
        <f>IF(AND(SUM(BE$121:BE126)=0,SUM($AY127:BD127)=0,$AX127&lt;=BD$156,$AX127&gt;0,$AW127&gt;-1),$AV127,0)</f>
        <v>0</v>
      </c>
      <c r="BF127">
        <f>IF(AND(SUM(BF$121:BF126)=0,SUM($AY127:BE127)=0,$AX127&lt;=BE$156,$AX127&gt;0,$AW127&gt;-1),$AV127,0)</f>
        <v>0</v>
      </c>
      <c r="BG127">
        <f t="shared" si="81"/>
        <v>0</v>
      </c>
      <c r="BH127" s="494">
        <f t="shared" si="84"/>
        <v>0</v>
      </c>
      <c r="BI127">
        <f t="shared" si="85"/>
        <v>0</v>
      </c>
    </row>
    <row r="128" spans="1:66" x14ac:dyDescent="0.25">
      <c r="A128">
        <v>115</v>
      </c>
      <c r="B128" t="str">
        <f>_xlfn.XLOOKUP(A128,Order!R$12:R$859,Order!C$12:C$859,"")</f>
        <v/>
      </c>
      <c r="C128" t="str">
        <f>_xlfn.XLOOKUP(A128,Order!R$12:R$859,Order!S$12:S$859,"")</f>
        <v/>
      </c>
      <c r="D128" t="str">
        <f>_xlfn.XLOOKUP(A128,Order!R$12:R$859,Order!B$12:B$859,"")</f>
        <v/>
      </c>
      <c r="E128" t="str">
        <f>_xlfn.XLOOKUP(A128,Order!R$12:R$859,Order!P$12:P$859,"")</f>
        <v/>
      </c>
      <c r="F128" t="str">
        <f>_xlfn.XLOOKUP(A128,Order!R$12:R$859,Order!T$12:T$859,"")</f>
        <v/>
      </c>
      <c r="G128" t="str">
        <f>_xlfn.XLOOKUP(A128,Order!R$12:R$859,Order!U$12:U$859,"")</f>
        <v/>
      </c>
      <c r="H128" t="str">
        <f>_xlfn.XLOOKUP(A128,Order!R$12:R$859,Order!B$12:B$859,"")</f>
        <v/>
      </c>
      <c r="I128" t="str">
        <f>_xlfn.XLOOKUP(A128,Order!R$12:R$859,Order!V$12:V$859,"")</f>
        <v/>
      </c>
      <c r="J128" t="str">
        <f>IFERROR(RANK(F128,F$14:F$213,1)+COUNTIF(F$14:F128,F128)-1,"")</f>
        <v/>
      </c>
      <c r="L128" t="str">
        <f t="shared" si="66"/>
        <v/>
      </c>
      <c r="M128" t="str" cm="1">
        <f t="array" ref="M128">_xlfn.XLOOKUP(A128,J$14:J327,B$14:B327,"")</f>
        <v/>
      </c>
      <c r="N128" t="str" cm="1">
        <f t="array" ref="N128">_xlfn.XLOOKUP(A128,J$14:J327,C$14:C327,"")</f>
        <v/>
      </c>
      <c r="O128" t="str" cm="1">
        <f t="array" ref="O128">_xlfn.XLOOKUP(A128,J$14:J327,E$14:E327,"")</f>
        <v/>
      </c>
      <c r="P128" t="str" cm="1">
        <f t="array" ref="P128">_xlfn.XLOOKUP(A128,J$14:J327,G$14:G327,"")</f>
        <v/>
      </c>
      <c r="Q128" t="str" cm="1">
        <f t="array" ref="Q128">_xlfn.XLOOKUP(A128,J$14:J327,F$14:F327,"")</f>
        <v/>
      </c>
      <c r="R128" t="str" cm="1">
        <f t="array" ref="R128">_xlfn.XLOOKUP(A128,J$14:J327,I$14:I327,"")</f>
        <v/>
      </c>
      <c r="S128" t="str" cm="1">
        <f t="array" ref="S128">_xlfn.XLOOKUP(A128,J$14:J327,H$14:H327,"")</f>
        <v/>
      </c>
      <c r="T128" t="str" cm="1">
        <f t="array" ref="T128">VLOOKUP(ROW(115:115),L$14:S$163,8)</f>
        <v/>
      </c>
      <c r="U128" t="str" cm="1">
        <f t="array" ref="U128">VLOOKUP(ROW(115:115),L$14:M$163,2)</f>
        <v/>
      </c>
      <c r="V128" t="str" cm="1">
        <f t="array" ref="V128">VLOOKUP(ROW(115:115),L$14:O$163,4)</f>
        <v/>
      </c>
      <c r="W128" t="str" cm="1">
        <f t="array" ref="W128">VLOOKUP(ROW(115:115),L$14:Q$163,6)</f>
        <v/>
      </c>
      <c r="X128" cm="1">
        <f t="array" ref="X128">IFERROR(VLOOKUP(ROW(115:115),L$14:P$213,5)+0,0)</f>
        <v>0</v>
      </c>
      <c r="Y128" t="str" cm="1">
        <f t="array" ref="Y128">VLOOKUP(ROW(115:115),L$14:R$163,7)</f>
        <v/>
      </c>
      <c r="Z128">
        <f>IF(Y128&lt;-2,X128+MAX(Z$14:Z127),0)</f>
        <v>0</v>
      </c>
      <c r="AA128">
        <f>IFERROR(IF(AND(SUM(AA129:AA$214)+X128&lt;=Z$10,W128&lt;=Z$12,Z128=0),X128,0),0)</f>
        <v>0</v>
      </c>
      <c r="AB128">
        <f>IFERROR(IF(AND(W128&lt;=Z$12+10,AB$12-X128&gt;=0,SUM(Z128:AA128)=0,SUM(AB$14:AB127)+X128&lt;AB$12),X128,0),0)</f>
        <v>0</v>
      </c>
      <c r="AD128">
        <f>IF(AND(Y128=-2,SUM(Z128:AB128)=0),X128+MAX(AD$14:AD127),0)</f>
        <v>0</v>
      </c>
      <c r="AE128">
        <f>IFERROR(IF(AND(SUM(AE129:AE$214)+X128&lt;=AD$10,W128&lt;=AD$12,SUM(Z128:AD128)=0),X128,0),0)</f>
        <v>0</v>
      </c>
      <c r="AF128">
        <f>IFERROR(IF(AND(W128&lt;=AD$12+10,AF$12-X128&gt;=0,SUM(Z128:AE128)=0,SUM(AF$14:AF127)+X128&lt;AF$12),X128,0),0)</f>
        <v>0</v>
      </c>
      <c r="AG128">
        <f t="shared" si="71"/>
        <v>0</v>
      </c>
      <c r="AI128">
        <f t="shared" si="60"/>
        <v>0</v>
      </c>
      <c r="AJ128" s="493">
        <f t="shared" si="64"/>
        <v>0</v>
      </c>
      <c r="AK128">
        <f>IF(AJ128=0,0,IF(AJ127=0,MAX(AK$13:AK127)+1,IF(W128&lt;&gt;W127,MAX(AK$14:AK127)+1,IF(ROUNDDOWN(AJ128-0.01,0)=ROUNDDOWN(AJ127-0.01,0),AK127,AK127+1))))</f>
        <v>0</v>
      </c>
      <c r="AL128">
        <f t="shared" si="61"/>
        <v>0</v>
      </c>
      <c r="AM128">
        <f t="shared" si="62"/>
        <v>0</v>
      </c>
      <c r="AN128">
        <f>IF(AM128&gt;AN$12,IF(AK128=AK127,AN127,MAX(AN$13:AN127)+1),0)</f>
        <v>0</v>
      </c>
      <c r="AP128">
        <f t="shared" si="72"/>
        <v>0</v>
      </c>
      <c r="AQ128">
        <f>IF(AP128&gt;0,IF(MAX(AQ129:AQ$214)+AP128&gt;ROUNDUP(MAX(AQ129:AQ$214),0),ROUNDUP(MAX(AQ129:AQ$214),0)+AP128,MAX(AQ129:AQ$214)+AP128),0)</f>
        <v>0</v>
      </c>
      <c r="AR128">
        <f t="shared" si="63"/>
        <v>0</v>
      </c>
      <c r="AS128">
        <f t="shared" si="73"/>
        <v>0</v>
      </c>
      <c r="AT128">
        <f t="shared" si="74"/>
        <v>10</v>
      </c>
      <c r="AV128">
        <v>8</v>
      </c>
      <c r="AW128">
        <f t="shared" si="82"/>
        <v>0</v>
      </c>
      <c r="AX128">
        <f t="shared" si="83"/>
        <v>0</v>
      </c>
      <c r="AY128" s="496">
        <f>IF(AND(AX128=AX$120,SUM(AY$121:AY127)=0,AW128=AZ$120,AX$120&lt;&gt;0),AV128,)</f>
        <v>0</v>
      </c>
      <c r="AZ128">
        <f>IF(AND(SUM(AZ$121:AZ127)=0,SUM($AY128:AY128)=0,$AX128&lt;=AY$156,$AX128&gt;0,$AW128&gt;-1),$AV128,0)</f>
        <v>0</v>
      </c>
      <c r="BA128">
        <f>IF(AND(SUM(BA$121:BA127)=0,SUM($AY128:AZ128)=0,$AX128&lt;=AZ$156,$AX128&gt;0,$AW128&gt;-1),$AV128,0)</f>
        <v>0</v>
      </c>
      <c r="BB128">
        <f>IF(AND(SUM(BB$121:BB127)=0,SUM($AY128:BA128)=0,$AX128&lt;=BA$156,$AX128&gt;0,$AW128&gt;-1),$AV128,0)</f>
        <v>0</v>
      </c>
      <c r="BC128">
        <f>IF(AND(SUM(BC$121:BC127)=0,SUM($AY128:BB128)=0,$AX128&lt;=BB$156,$AX128&gt;0,$AW128&gt;-1),$AV128,0)</f>
        <v>0</v>
      </c>
      <c r="BD128">
        <f>IF(AND(SUM(BD$121:BD127)=0,SUM($AY128:BC128)=0,$AX128&lt;=BC$156,$AX128&gt;0,$AW128&gt;-1),$AV128,0)</f>
        <v>0</v>
      </c>
      <c r="BE128">
        <f>IF(AND(SUM(BE$121:BE127)=0,SUM($AY128:BD128)=0,$AX128&lt;=BD$156,$AX128&gt;0,$AW128&gt;-1),$AV128,0)</f>
        <v>0</v>
      </c>
      <c r="BF128">
        <f>IF(AND(SUM(BF$121:BF127)=0,SUM($AY128:BE128)=0,$AX128&lt;=BE$156,$AX128&gt;0,$AW128&gt;-1),$AV128,0)</f>
        <v>0</v>
      </c>
      <c r="BG128">
        <f t="shared" si="81"/>
        <v>0</v>
      </c>
      <c r="BH128" s="494">
        <f t="shared" si="84"/>
        <v>0</v>
      </c>
      <c r="BI128">
        <f t="shared" si="85"/>
        <v>0</v>
      </c>
    </row>
    <row r="129" spans="1:61" x14ac:dyDescent="0.25">
      <c r="A129">
        <v>116</v>
      </c>
      <c r="B129" t="str">
        <f>_xlfn.XLOOKUP(A129,Order!R$12:R$859,Order!C$12:C$859,"")</f>
        <v/>
      </c>
      <c r="C129" t="str">
        <f>_xlfn.XLOOKUP(A129,Order!R$12:R$859,Order!S$12:S$859,"")</f>
        <v/>
      </c>
      <c r="D129" t="str">
        <f>_xlfn.XLOOKUP(A129,Order!R$12:R$859,Order!B$12:B$859,"")</f>
        <v/>
      </c>
      <c r="E129" t="str">
        <f>_xlfn.XLOOKUP(A129,Order!R$12:R$859,Order!P$12:P$859,"")</f>
        <v/>
      </c>
      <c r="F129" t="str">
        <f>_xlfn.XLOOKUP(A129,Order!R$12:R$859,Order!T$12:T$859,"")</f>
        <v/>
      </c>
      <c r="G129" t="str">
        <f>_xlfn.XLOOKUP(A129,Order!R$12:R$859,Order!U$12:U$859,"")</f>
        <v/>
      </c>
      <c r="H129" t="str">
        <f>_xlfn.XLOOKUP(A129,Order!R$12:R$859,Order!B$12:B$859,"")</f>
        <v/>
      </c>
      <c r="I129" t="str">
        <f>_xlfn.XLOOKUP(A129,Order!R$12:R$859,Order!V$12:V$859,"")</f>
        <v/>
      </c>
      <c r="J129" t="str">
        <f>IFERROR(RANK(F129,F$14:F$213,1)+COUNTIF(F$14:F129,F129)-1,"")</f>
        <v/>
      </c>
      <c r="L129" t="str">
        <f t="shared" si="66"/>
        <v/>
      </c>
      <c r="M129" t="str" cm="1">
        <f t="array" ref="M129">_xlfn.XLOOKUP(A129,J$14:J328,B$14:B328,"")</f>
        <v/>
      </c>
      <c r="N129" t="str" cm="1">
        <f t="array" ref="N129">_xlfn.XLOOKUP(A129,J$14:J328,C$14:C328,"")</f>
        <v/>
      </c>
      <c r="O129" t="str" cm="1">
        <f t="array" ref="O129">_xlfn.XLOOKUP(A129,J$14:J328,E$14:E328,"")</f>
        <v/>
      </c>
      <c r="P129" t="str" cm="1">
        <f t="array" ref="P129">_xlfn.XLOOKUP(A129,J$14:J328,G$14:G328,"")</f>
        <v/>
      </c>
      <c r="Q129" t="str" cm="1">
        <f t="array" ref="Q129">_xlfn.XLOOKUP(A129,J$14:J328,F$14:F328,"")</f>
        <v/>
      </c>
      <c r="R129" t="str" cm="1">
        <f t="array" ref="R129">_xlfn.XLOOKUP(A129,J$14:J328,I$14:I328,"")</f>
        <v/>
      </c>
      <c r="S129" t="str" cm="1">
        <f t="array" ref="S129">_xlfn.XLOOKUP(A129,J$14:J328,H$14:H328,"")</f>
        <v/>
      </c>
      <c r="T129" t="str" cm="1">
        <f t="array" ref="T129">VLOOKUP(ROW(116:116),L$14:S$163,8)</f>
        <v/>
      </c>
      <c r="U129" t="str" cm="1">
        <f t="array" ref="U129">VLOOKUP(ROW(116:116),L$14:M$163,2)</f>
        <v/>
      </c>
      <c r="V129" t="str" cm="1">
        <f t="array" ref="V129">VLOOKUP(ROW(116:116),L$14:O$163,4)</f>
        <v/>
      </c>
      <c r="W129" t="str" cm="1">
        <f t="array" ref="W129">VLOOKUP(ROW(116:116),L$14:Q$163,6)</f>
        <v/>
      </c>
      <c r="X129" cm="1">
        <f t="array" ref="X129">IFERROR(VLOOKUP(ROW(116:116),L$14:P$213,5)+0,0)</f>
        <v>0</v>
      </c>
      <c r="Y129" t="str" cm="1">
        <f t="array" ref="Y129">VLOOKUP(ROW(116:116),L$14:R$163,7)</f>
        <v/>
      </c>
      <c r="Z129">
        <f>IF(Y129&lt;-2,X129+MAX(Z$14:Z128),0)</f>
        <v>0</v>
      </c>
      <c r="AA129">
        <f>IFERROR(IF(AND(SUM(AA130:AA$214)+X129&lt;=Z$10,W129&lt;=Z$12,Z129=0),X129,0),0)</f>
        <v>0</v>
      </c>
      <c r="AB129">
        <f>IFERROR(IF(AND(W129&lt;=Z$12+10,AB$12-X129&gt;=0,SUM(Z129:AA129)=0,SUM(AB$14:AB128)+X129&lt;AB$12),X129,0),0)</f>
        <v>0</v>
      </c>
      <c r="AD129">
        <f>IF(AND(Y129=-2,SUM(Z129:AB129)=0),X129+MAX(AD$14:AD128),0)</f>
        <v>0</v>
      </c>
      <c r="AE129">
        <f>IFERROR(IF(AND(SUM(AE130:AE$214)+X129&lt;=AD$10,W129&lt;=AD$12,SUM(Z129:AD129)=0),X129,0),0)</f>
        <v>0</v>
      </c>
      <c r="AF129">
        <f>IFERROR(IF(AND(W129&lt;=AD$12+10,AF$12-X129&gt;=0,SUM(Z129:AE129)=0,SUM(AF$14:AF128)+X129&lt;AF$12),X129,0),0)</f>
        <v>0</v>
      </c>
      <c r="AG129">
        <f t="shared" si="71"/>
        <v>0</v>
      </c>
      <c r="AI129">
        <f t="shared" si="60"/>
        <v>0</v>
      </c>
      <c r="AJ129" s="493">
        <f t="shared" si="64"/>
        <v>0</v>
      </c>
      <c r="AK129">
        <f>IF(AJ129=0,0,IF(AJ128=0,MAX(AK$13:AK128)+1,IF(W129&lt;&gt;W128,MAX(AK$14:AK128)+1,IF(ROUNDDOWN(AJ129-0.01,0)=ROUNDDOWN(AJ128-0.01,0),AK128,AK128+1))))</f>
        <v>0</v>
      </c>
      <c r="AL129">
        <f t="shared" si="61"/>
        <v>0</v>
      </c>
      <c r="AM129">
        <f t="shared" si="62"/>
        <v>0</v>
      </c>
      <c r="AN129">
        <f>IF(AM129&gt;AN$12,IF(AK129=AK128,AN128,MAX(AN$13:AN128)+1),0)</f>
        <v>0</v>
      </c>
      <c r="AP129">
        <f t="shared" si="72"/>
        <v>0</v>
      </c>
      <c r="AQ129">
        <f>IF(AP129&gt;0,IF(MAX(AQ130:AQ$214)+AP129&gt;ROUNDUP(MAX(AQ130:AQ$214),0),ROUNDUP(MAX(AQ130:AQ$214),0)+AP129,MAX(AQ130:AQ$214)+AP129),0)</f>
        <v>0</v>
      </c>
      <c r="AR129">
        <f t="shared" si="63"/>
        <v>0</v>
      </c>
      <c r="AS129">
        <f t="shared" si="73"/>
        <v>0</v>
      </c>
      <c r="AT129">
        <f t="shared" si="74"/>
        <v>10</v>
      </c>
      <c r="AV129">
        <v>9</v>
      </c>
      <c r="AW129">
        <f t="shared" si="82"/>
        <v>0</v>
      </c>
      <c r="AX129">
        <f t="shared" si="83"/>
        <v>0</v>
      </c>
      <c r="AY129" s="496">
        <f>IF(AND(AX129=AX$120,SUM(AY$121:AY128)=0,AW129=AZ$120,AX$120&lt;&gt;0),AV129,)</f>
        <v>0</v>
      </c>
      <c r="AZ129">
        <f>IF(AND(SUM(AZ$121:AZ128)=0,SUM($AY129:AY129)=0,$AX129&lt;=AY$156,$AX129&gt;0,$AW129&gt;-1),$AV129,0)</f>
        <v>0</v>
      </c>
      <c r="BA129">
        <f>IF(AND(SUM(BA$121:BA128)=0,SUM($AY129:AZ129)=0,$AX129&lt;=AZ$156,$AX129&gt;0,$AW129&gt;-1),$AV129,0)</f>
        <v>0</v>
      </c>
      <c r="BB129">
        <f>IF(AND(SUM(BB$121:BB128)=0,SUM($AY129:BA129)=0,$AX129&lt;=BA$156,$AX129&gt;0,$AW129&gt;-1),$AV129,0)</f>
        <v>0</v>
      </c>
      <c r="BC129">
        <f>IF(AND(SUM(BC$121:BC128)=0,SUM($AY129:BB129)=0,$AX129&lt;=BB$156,$AX129&gt;0,$AW129&gt;-1),$AV129,0)</f>
        <v>0</v>
      </c>
      <c r="BD129">
        <f>IF(AND(SUM(BD$121:BD128)=0,SUM($AY129:BC129)=0,$AX129&lt;=BC$156,$AX129&gt;0,$AW129&gt;-1),$AV129,0)</f>
        <v>0</v>
      </c>
      <c r="BE129">
        <f>IF(AND(SUM(BE$121:BE128)=0,SUM($AY129:BD129)=0,$AX129&lt;=BD$156,$AX129&gt;0,$AW129&gt;-1),$AV129,0)</f>
        <v>0</v>
      </c>
      <c r="BF129">
        <f>IF(AND(SUM(BF$121:BF128)=0,SUM($AY129:BE129)=0,$AX129&lt;=BE$156,$AX129&gt;0,$AW129&gt;-1),$AV129,0)</f>
        <v>0</v>
      </c>
      <c r="BG129">
        <f t="shared" si="81"/>
        <v>0</v>
      </c>
      <c r="BH129" s="494">
        <f t="shared" si="84"/>
        <v>0</v>
      </c>
      <c r="BI129">
        <f t="shared" si="85"/>
        <v>0</v>
      </c>
    </row>
    <row r="130" spans="1:61" x14ac:dyDescent="0.25">
      <c r="A130">
        <v>117</v>
      </c>
      <c r="B130" t="str">
        <f>_xlfn.XLOOKUP(A130,Order!R$12:R$859,Order!C$12:C$859,"")</f>
        <v/>
      </c>
      <c r="C130" t="str">
        <f>_xlfn.XLOOKUP(A130,Order!R$12:R$859,Order!S$12:S$859,"")</f>
        <v/>
      </c>
      <c r="D130" t="str">
        <f>_xlfn.XLOOKUP(A130,Order!R$12:R$859,Order!B$12:B$859,"")</f>
        <v/>
      </c>
      <c r="E130" t="str">
        <f>_xlfn.XLOOKUP(A130,Order!R$12:R$859,Order!P$12:P$859,"")</f>
        <v/>
      </c>
      <c r="F130" t="str">
        <f>_xlfn.XLOOKUP(A130,Order!R$12:R$859,Order!T$12:T$859,"")</f>
        <v/>
      </c>
      <c r="G130" t="str">
        <f>_xlfn.XLOOKUP(A130,Order!R$12:R$859,Order!U$12:U$859,"")</f>
        <v/>
      </c>
      <c r="H130" t="str">
        <f>_xlfn.XLOOKUP(A130,Order!R$12:R$859,Order!B$12:B$859,"")</f>
        <v/>
      </c>
      <c r="I130" t="str">
        <f>_xlfn.XLOOKUP(A130,Order!R$12:R$859,Order!V$12:V$859,"")</f>
        <v/>
      </c>
      <c r="J130" t="str">
        <f>IFERROR(RANK(F130,F$14:F$213,1)+COUNTIF(F$14:F130,F130)-1,"")</f>
        <v/>
      </c>
      <c r="L130" t="str">
        <f t="shared" si="66"/>
        <v/>
      </c>
      <c r="M130" t="str" cm="1">
        <f t="array" ref="M130">_xlfn.XLOOKUP(A130,J$14:J329,B$14:B329,"")</f>
        <v/>
      </c>
      <c r="N130" t="str" cm="1">
        <f t="array" ref="N130">_xlfn.XLOOKUP(A130,J$14:J329,C$14:C329,"")</f>
        <v/>
      </c>
      <c r="O130" t="str" cm="1">
        <f t="array" ref="O130">_xlfn.XLOOKUP(A130,J$14:J329,E$14:E329,"")</f>
        <v/>
      </c>
      <c r="P130" t="str" cm="1">
        <f t="array" ref="P130">_xlfn.XLOOKUP(A130,J$14:J329,G$14:G329,"")</f>
        <v/>
      </c>
      <c r="Q130" t="str" cm="1">
        <f t="array" ref="Q130">_xlfn.XLOOKUP(A130,J$14:J329,F$14:F329,"")</f>
        <v/>
      </c>
      <c r="R130" t="str" cm="1">
        <f t="array" ref="R130">_xlfn.XLOOKUP(A130,J$14:J329,I$14:I329,"")</f>
        <v/>
      </c>
      <c r="S130" t="str" cm="1">
        <f t="array" ref="S130">_xlfn.XLOOKUP(A130,J$14:J329,H$14:H329,"")</f>
        <v/>
      </c>
      <c r="T130" t="str" cm="1">
        <f t="array" ref="T130">VLOOKUP(ROW(117:117),L$14:S$163,8)</f>
        <v/>
      </c>
      <c r="U130" t="str" cm="1">
        <f t="array" ref="U130">VLOOKUP(ROW(117:117),L$14:M$163,2)</f>
        <v/>
      </c>
      <c r="V130" t="str" cm="1">
        <f t="array" ref="V130">VLOOKUP(ROW(117:117),L$14:O$163,4)</f>
        <v/>
      </c>
      <c r="W130" t="str" cm="1">
        <f t="array" ref="W130">VLOOKUP(ROW(117:117),L$14:Q$163,6)</f>
        <v/>
      </c>
      <c r="X130" cm="1">
        <f t="array" ref="X130">IFERROR(VLOOKUP(ROW(117:117),L$14:P$213,5)+0,0)</f>
        <v>0</v>
      </c>
      <c r="Y130" t="str" cm="1">
        <f t="array" ref="Y130">VLOOKUP(ROW(117:117),L$14:R$163,7)</f>
        <v/>
      </c>
      <c r="Z130">
        <f>IF(Y130&lt;-2,X130+MAX(Z$14:Z129),0)</f>
        <v>0</v>
      </c>
      <c r="AA130">
        <f>IFERROR(IF(AND(SUM(AA131:AA$214)+X130&lt;=Z$10,W130&lt;=Z$12,Z130=0),X130,0),0)</f>
        <v>0</v>
      </c>
      <c r="AB130">
        <f>IFERROR(IF(AND(W130&lt;=Z$12+10,AB$12-X130&gt;=0,SUM(Z130:AA130)=0,SUM(AB$14:AB129)+X130&lt;AB$12),X130,0),0)</f>
        <v>0</v>
      </c>
      <c r="AD130">
        <f>IF(AND(Y130=-2,SUM(Z130:AB130)=0),X130+MAX(AD$14:AD129),0)</f>
        <v>0</v>
      </c>
      <c r="AE130">
        <f>IFERROR(IF(AND(SUM(AE131:AE$214)+X130&lt;=AD$10,W130&lt;=AD$12,SUM(Z130:AD130)=0),X130,0),0)</f>
        <v>0</v>
      </c>
      <c r="AF130">
        <f>IFERROR(IF(AND(W130&lt;=AD$12+10,AF$12-X130&gt;=0,SUM(Z130:AE130)=0,SUM(AF$14:AF129)+X130&lt;AF$12),X130,0),0)</f>
        <v>0</v>
      </c>
      <c r="AG130">
        <f t="shared" si="71"/>
        <v>0</v>
      </c>
      <c r="AI130">
        <f t="shared" si="60"/>
        <v>0</v>
      </c>
      <c r="AJ130" s="493">
        <f t="shared" si="64"/>
        <v>0</v>
      </c>
      <c r="AK130">
        <f>IF(AJ130=0,0,IF(AJ129=0,MAX(AK$13:AK129)+1,IF(W130&lt;&gt;W129,MAX(AK$14:AK129)+1,IF(ROUNDDOWN(AJ130-0.01,0)=ROUNDDOWN(AJ129-0.01,0),AK129,AK129+1))))</f>
        <v>0</v>
      </c>
      <c r="AL130">
        <f t="shared" si="61"/>
        <v>0</v>
      </c>
      <c r="AM130">
        <f t="shared" si="62"/>
        <v>0</v>
      </c>
      <c r="AN130">
        <f>IF(AM130&gt;AN$12,IF(AK130=AK129,AN129,MAX(AN$13:AN129)+1),0)</f>
        <v>0</v>
      </c>
      <c r="AP130">
        <f t="shared" si="72"/>
        <v>0</v>
      </c>
      <c r="AQ130">
        <f>IF(AP130&gt;0,IF(MAX(AQ131:AQ$214)+AP130&gt;ROUNDUP(MAX(AQ131:AQ$214),0),ROUNDUP(MAX(AQ131:AQ$214),0)+AP130,MAX(AQ131:AQ$214)+AP130),0)</f>
        <v>0</v>
      </c>
      <c r="AR130">
        <f t="shared" si="63"/>
        <v>0</v>
      </c>
      <c r="AS130">
        <f t="shared" si="73"/>
        <v>0</v>
      </c>
      <c r="AT130">
        <f t="shared" si="74"/>
        <v>10</v>
      </c>
      <c r="AV130">
        <v>10</v>
      </c>
      <c r="AW130">
        <f t="shared" si="82"/>
        <v>0</v>
      </c>
      <c r="AX130">
        <f t="shared" si="83"/>
        <v>0</v>
      </c>
      <c r="AY130" s="496">
        <f>IF(AND(AX130=AX$120,SUM(AY$121:AY129)=0,AW130=AZ$120,AX$120&lt;&gt;0),AV130,)</f>
        <v>0</v>
      </c>
      <c r="AZ130">
        <f>IF(AND(SUM(AZ$121:AZ129)=0,SUM($AY130:AY130)=0,$AX130&lt;=AY$156,$AX130&gt;0,$AW130&gt;-1),$AV130,0)</f>
        <v>0</v>
      </c>
      <c r="BA130">
        <f>IF(AND(SUM(BA$121:BA129)=0,SUM($AY130:AZ130)=0,$AX130&lt;=AZ$156,$AX130&gt;0,$AW130&gt;-1),$AV130,0)</f>
        <v>0</v>
      </c>
      <c r="BB130">
        <f>IF(AND(SUM(BB$121:BB129)=0,SUM($AY130:BA130)=0,$AX130&lt;=BA$156,$AX130&gt;0,$AW130&gt;-1),$AV130,0)</f>
        <v>0</v>
      </c>
      <c r="BC130">
        <f>IF(AND(SUM(BC$121:BC129)=0,SUM($AY130:BB130)=0,$AX130&lt;=BB$156,$AX130&gt;0,$AW130&gt;-1),$AV130,0)</f>
        <v>0</v>
      </c>
      <c r="BD130">
        <f>IF(AND(SUM(BD$121:BD129)=0,SUM($AY130:BC130)=0,$AX130&lt;=BC$156,$AX130&gt;0,$AW130&gt;-1),$AV130,0)</f>
        <v>0</v>
      </c>
      <c r="BE130">
        <f>IF(AND(SUM(BE$121:BE129)=0,SUM($AY130:BD130)=0,$AX130&lt;=BD$156,$AX130&gt;0,$AW130&gt;-1),$AV130,0)</f>
        <v>0</v>
      </c>
      <c r="BF130">
        <f>IF(AND(SUM(BF$121:BF129)=0,SUM($AY130:BE130)=0,$AX130&lt;=BE$156,$AX130&gt;0,$AW130&gt;-1),$AV130,0)</f>
        <v>0</v>
      </c>
      <c r="BG130">
        <f t="shared" si="81"/>
        <v>0</v>
      </c>
      <c r="BH130" s="494">
        <f t="shared" si="84"/>
        <v>0</v>
      </c>
      <c r="BI130">
        <f t="shared" si="85"/>
        <v>0</v>
      </c>
    </row>
    <row r="131" spans="1:61" x14ac:dyDescent="0.25">
      <c r="A131">
        <v>118</v>
      </c>
      <c r="B131" t="str">
        <f>_xlfn.XLOOKUP(A131,Order!R$12:R$859,Order!C$12:C$859,"")</f>
        <v/>
      </c>
      <c r="C131" t="str">
        <f>_xlfn.XLOOKUP(A131,Order!R$12:R$859,Order!S$12:S$859,"")</f>
        <v/>
      </c>
      <c r="D131" t="str">
        <f>_xlfn.XLOOKUP(A131,Order!R$12:R$859,Order!B$12:B$859,"")</f>
        <v/>
      </c>
      <c r="E131" t="str">
        <f>_xlfn.XLOOKUP(A131,Order!R$12:R$859,Order!P$12:P$859,"")</f>
        <v/>
      </c>
      <c r="F131" t="str">
        <f>_xlfn.XLOOKUP(A131,Order!R$12:R$859,Order!T$12:T$859,"")</f>
        <v/>
      </c>
      <c r="G131" t="str">
        <f>_xlfn.XLOOKUP(A131,Order!R$12:R$859,Order!U$12:U$859,"")</f>
        <v/>
      </c>
      <c r="H131" t="str">
        <f>_xlfn.XLOOKUP(A131,Order!R$12:R$859,Order!B$12:B$859,"")</f>
        <v/>
      </c>
      <c r="I131" t="str">
        <f>_xlfn.XLOOKUP(A131,Order!R$12:R$859,Order!V$12:V$859,"")</f>
        <v/>
      </c>
      <c r="J131" t="str">
        <f>IFERROR(RANK(F131,F$14:F$213,1)+COUNTIF(F$14:F131,F131)-1,"")</f>
        <v/>
      </c>
      <c r="L131" t="str">
        <f t="shared" si="66"/>
        <v/>
      </c>
      <c r="M131" t="str" cm="1">
        <f t="array" ref="M131">_xlfn.XLOOKUP(A131,J$14:J330,B$14:B330,"")</f>
        <v/>
      </c>
      <c r="N131" t="str" cm="1">
        <f t="array" ref="N131">_xlfn.XLOOKUP(A131,J$14:J330,C$14:C330,"")</f>
        <v/>
      </c>
      <c r="O131" t="str" cm="1">
        <f t="array" ref="O131">_xlfn.XLOOKUP(A131,J$14:J330,E$14:E330,"")</f>
        <v/>
      </c>
      <c r="P131" t="str" cm="1">
        <f t="array" ref="P131">_xlfn.XLOOKUP(A131,J$14:J330,G$14:G330,"")</f>
        <v/>
      </c>
      <c r="Q131" t="str" cm="1">
        <f t="array" ref="Q131">_xlfn.XLOOKUP(A131,J$14:J330,F$14:F330,"")</f>
        <v/>
      </c>
      <c r="R131" t="str" cm="1">
        <f t="array" ref="R131">_xlfn.XLOOKUP(A131,J$14:J330,I$14:I330,"")</f>
        <v/>
      </c>
      <c r="S131" t="str" cm="1">
        <f t="array" ref="S131">_xlfn.XLOOKUP(A131,J$14:J330,H$14:H330,"")</f>
        <v/>
      </c>
      <c r="T131" t="str" cm="1">
        <f t="array" ref="T131">VLOOKUP(ROW(118:118),L$14:S$163,8)</f>
        <v/>
      </c>
      <c r="U131" t="str" cm="1">
        <f t="array" ref="U131">VLOOKUP(ROW(118:118),L$14:M$163,2)</f>
        <v/>
      </c>
      <c r="V131" t="str" cm="1">
        <f t="array" ref="V131">VLOOKUP(ROW(118:118),L$14:O$163,4)</f>
        <v/>
      </c>
      <c r="W131" t="str" cm="1">
        <f t="array" ref="W131">VLOOKUP(ROW(118:118),L$14:Q$163,6)</f>
        <v/>
      </c>
      <c r="X131" cm="1">
        <f t="array" ref="X131">IFERROR(VLOOKUP(ROW(118:118),L$14:P$213,5)+0,0)</f>
        <v>0</v>
      </c>
      <c r="Y131" t="str" cm="1">
        <f t="array" ref="Y131">VLOOKUP(ROW(118:118),L$14:R$163,7)</f>
        <v/>
      </c>
      <c r="Z131">
        <f>IF(Y131&lt;-2,X131+MAX(Z$14:Z130),0)</f>
        <v>0</v>
      </c>
      <c r="AA131">
        <f>IFERROR(IF(AND(SUM(AA132:AA$214)+X131&lt;=Z$10,W131&lt;=Z$12,Z131=0),X131,0),0)</f>
        <v>0</v>
      </c>
      <c r="AB131">
        <f>IFERROR(IF(AND(W131&lt;=Z$12+10,AB$12-X131&gt;=0,SUM(Z131:AA131)=0,SUM(AB$14:AB130)+X131&lt;AB$12),X131,0),0)</f>
        <v>0</v>
      </c>
      <c r="AD131">
        <f>IF(AND(Y131=-2,SUM(Z131:AB131)=0),X131+MAX(AD$14:AD130),0)</f>
        <v>0</v>
      </c>
      <c r="AE131">
        <f>IFERROR(IF(AND(SUM(AE132:AE$214)+X131&lt;=AD$10,W131&lt;=AD$12,SUM(Z131:AD131)=0),X131,0),0)</f>
        <v>0</v>
      </c>
      <c r="AF131">
        <f>IFERROR(IF(AND(W131&lt;=AD$12+10,AF$12-X131&gt;=0,SUM(Z131:AE131)=0,SUM(AF$14:AF130)+X131&lt;AF$12),X131,0),0)</f>
        <v>0</v>
      </c>
      <c r="AG131">
        <f t="shared" si="71"/>
        <v>0</v>
      </c>
      <c r="AI131">
        <f t="shared" si="60"/>
        <v>0</v>
      </c>
      <c r="AJ131" s="493">
        <f t="shared" si="64"/>
        <v>0</v>
      </c>
      <c r="AK131">
        <f>IF(AJ131=0,0,IF(AJ130=0,MAX(AK$13:AK130)+1,IF(W131&lt;&gt;W130,MAX(AK$14:AK130)+1,IF(ROUNDDOWN(AJ131-0.01,0)=ROUNDDOWN(AJ130-0.01,0),AK130,AK130+1))))</f>
        <v>0</v>
      </c>
      <c r="AL131">
        <f t="shared" si="61"/>
        <v>0</v>
      </c>
      <c r="AM131">
        <f t="shared" si="62"/>
        <v>0</v>
      </c>
      <c r="AN131">
        <f>IF(AM131&gt;AN$12,IF(AK131=AK130,AN130,MAX(AN$13:AN130)+1),0)</f>
        <v>0</v>
      </c>
      <c r="AP131">
        <f t="shared" si="72"/>
        <v>0</v>
      </c>
      <c r="AQ131">
        <f>IF(AP131&gt;0,IF(MAX(AQ132:AQ$214)+AP131&gt;ROUNDUP(MAX(AQ132:AQ$214),0),ROUNDUP(MAX(AQ132:AQ$214),0)+AP131,MAX(AQ132:AQ$214)+AP131),0)</f>
        <v>0</v>
      </c>
      <c r="AR131">
        <f t="shared" si="63"/>
        <v>0</v>
      </c>
      <c r="AS131">
        <f t="shared" si="73"/>
        <v>0</v>
      </c>
      <c r="AT131">
        <f t="shared" si="74"/>
        <v>10</v>
      </c>
      <c r="AV131">
        <v>11</v>
      </c>
      <c r="AW131">
        <f t="shared" si="82"/>
        <v>0</v>
      </c>
      <c r="AX131">
        <f t="shared" si="83"/>
        <v>0</v>
      </c>
      <c r="AY131" s="496">
        <f>IF(AND(AX131=AX$120,SUM(AY$121:AY130)=0,AW131=AZ$120,AX$120&lt;&gt;0),AV131,)</f>
        <v>0</v>
      </c>
      <c r="AZ131">
        <f>IF(AND(SUM(AZ$121:AZ130)=0,SUM($AY131:AY131)=0,$AX131&lt;=AY$156,$AX131&gt;0,$AW131&gt;-1),$AV131,0)</f>
        <v>0</v>
      </c>
      <c r="BA131">
        <f>IF(AND(SUM(BA$121:BA130)=0,SUM($AY131:AZ131)=0,$AX131&lt;=AZ$156,$AX131&gt;0,$AW131&gt;-1),$AV131,0)</f>
        <v>0</v>
      </c>
      <c r="BB131">
        <f>IF(AND(SUM(BB$121:BB130)=0,SUM($AY131:BA131)=0,$AX131&lt;=BA$156,$AX131&gt;0,$AW131&gt;-1),$AV131,0)</f>
        <v>0</v>
      </c>
      <c r="BC131">
        <f>IF(AND(SUM(BC$121:BC130)=0,SUM($AY131:BB131)=0,$AX131&lt;=BB$156,$AX131&gt;0,$AW131&gt;-1),$AV131,0)</f>
        <v>0</v>
      </c>
      <c r="BD131">
        <f>IF(AND(SUM(BD$121:BD130)=0,SUM($AY131:BC131)=0,$AX131&lt;=BC$156,$AX131&gt;0,$AW131&gt;-1),$AV131,0)</f>
        <v>0</v>
      </c>
      <c r="BE131">
        <f>IF(AND(SUM(BE$121:BE130)=0,SUM($AY131:BD131)=0,$AX131&lt;=BD$156,$AX131&gt;0,$AW131&gt;-1),$AV131,0)</f>
        <v>0</v>
      </c>
      <c r="BF131">
        <f>IF(AND(SUM(BF$121:BF130)=0,SUM($AY131:BE131)=0,$AX131&lt;=BE$156,$AX131&gt;0,$AW131&gt;-1),$AV131,0)</f>
        <v>0</v>
      </c>
      <c r="BG131">
        <f t="shared" si="81"/>
        <v>0</v>
      </c>
      <c r="BH131" s="494">
        <f t="shared" si="84"/>
        <v>0</v>
      </c>
      <c r="BI131">
        <f t="shared" si="85"/>
        <v>0</v>
      </c>
    </row>
    <row r="132" spans="1:61" x14ac:dyDescent="0.25">
      <c r="A132">
        <v>119</v>
      </c>
      <c r="B132" t="str">
        <f>_xlfn.XLOOKUP(A132,Order!R$12:R$859,Order!C$12:C$859,"")</f>
        <v/>
      </c>
      <c r="C132" t="str">
        <f>_xlfn.XLOOKUP(A132,Order!R$12:R$859,Order!S$12:S$859,"")</f>
        <v/>
      </c>
      <c r="D132" t="str">
        <f>_xlfn.XLOOKUP(A132,Order!R$12:R$859,Order!B$12:B$859,"")</f>
        <v/>
      </c>
      <c r="E132" t="str">
        <f>_xlfn.XLOOKUP(A132,Order!R$12:R$859,Order!P$12:P$859,"")</f>
        <v/>
      </c>
      <c r="F132" t="str">
        <f>_xlfn.XLOOKUP(A132,Order!R$12:R$859,Order!T$12:T$859,"")</f>
        <v/>
      </c>
      <c r="G132" t="str">
        <f>_xlfn.XLOOKUP(A132,Order!R$12:R$859,Order!U$12:U$859,"")</f>
        <v/>
      </c>
      <c r="H132" t="str">
        <f>_xlfn.XLOOKUP(A132,Order!R$12:R$859,Order!B$12:B$859,"")</f>
        <v/>
      </c>
      <c r="I132" t="str">
        <f>_xlfn.XLOOKUP(A132,Order!R$12:R$859,Order!V$12:V$859,"")</f>
        <v/>
      </c>
      <c r="J132" t="str">
        <f>IFERROR(RANK(F132,F$14:F$213,1)+COUNTIF(F$14:F132,F132)-1,"")</f>
        <v/>
      </c>
      <c r="L132" t="str">
        <f t="shared" si="66"/>
        <v/>
      </c>
      <c r="M132" t="str" cm="1">
        <f t="array" ref="M132">_xlfn.XLOOKUP(A132,J$14:J331,B$14:B331,"")</f>
        <v/>
      </c>
      <c r="N132" t="str" cm="1">
        <f t="array" ref="N132">_xlfn.XLOOKUP(A132,J$14:J331,C$14:C331,"")</f>
        <v/>
      </c>
      <c r="O132" t="str" cm="1">
        <f t="array" ref="O132">_xlfn.XLOOKUP(A132,J$14:J331,E$14:E331,"")</f>
        <v/>
      </c>
      <c r="P132" t="str" cm="1">
        <f t="array" ref="P132">_xlfn.XLOOKUP(A132,J$14:J331,G$14:G331,"")</f>
        <v/>
      </c>
      <c r="Q132" t="str" cm="1">
        <f t="array" ref="Q132">_xlfn.XLOOKUP(A132,J$14:J331,F$14:F331,"")</f>
        <v/>
      </c>
      <c r="R132" t="str" cm="1">
        <f t="array" ref="R132">_xlfn.XLOOKUP(A132,J$14:J331,I$14:I331,"")</f>
        <v/>
      </c>
      <c r="S132" t="str" cm="1">
        <f t="array" ref="S132">_xlfn.XLOOKUP(A132,J$14:J331,H$14:H331,"")</f>
        <v/>
      </c>
      <c r="T132" t="str" cm="1">
        <f t="array" ref="T132">VLOOKUP(ROW(119:119),L$14:S$163,8)</f>
        <v/>
      </c>
      <c r="U132" t="str" cm="1">
        <f t="array" ref="U132">VLOOKUP(ROW(119:119),L$14:M$163,2)</f>
        <v/>
      </c>
      <c r="V132" t="str" cm="1">
        <f t="array" ref="V132">VLOOKUP(ROW(119:119),L$14:O$163,4)</f>
        <v/>
      </c>
      <c r="W132" t="str" cm="1">
        <f t="array" ref="W132">VLOOKUP(ROW(119:119),L$14:Q$163,6)</f>
        <v/>
      </c>
      <c r="X132" cm="1">
        <f t="array" ref="X132">IFERROR(VLOOKUP(ROW(119:119),L$14:P$213,5)+0,0)</f>
        <v>0</v>
      </c>
      <c r="Y132" t="str" cm="1">
        <f t="array" ref="Y132">VLOOKUP(ROW(119:119),L$14:R$163,7)</f>
        <v/>
      </c>
      <c r="Z132">
        <f>IF(Y132&lt;-2,X132+MAX(Z$14:Z131),0)</f>
        <v>0</v>
      </c>
      <c r="AA132">
        <f>IFERROR(IF(AND(SUM(AA133:AA$214)+X132&lt;=Z$10,W132&lt;=Z$12,Z132=0),X132,0),0)</f>
        <v>0</v>
      </c>
      <c r="AB132">
        <f>IFERROR(IF(AND(W132&lt;=Z$12+10,AB$12-X132&gt;=0,SUM(Z132:AA132)=0,SUM(AB$14:AB131)+X132&lt;AB$12),X132,0),0)</f>
        <v>0</v>
      </c>
      <c r="AD132">
        <f>IF(AND(Y132=-2,SUM(Z132:AB132)=0),X132+MAX(AD$14:AD131),0)</f>
        <v>0</v>
      </c>
      <c r="AE132">
        <f>IFERROR(IF(AND(SUM(AE133:AE$214)+X132&lt;=AD$10,W132&lt;=AD$12,SUM(Z132:AD132)=0),X132,0),0)</f>
        <v>0</v>
      </c>
      <c r="AF132">
        <f>IFERROR(IF(AND(W132&lt;=AD$12+10,AF$12-X132&gt;=0,SUM(Z132:AE132)=0,SUM(AF$14:AF131)+X132&lt;AF$12),X132,0),0)</f>
        <v>0</v>
      </c>
      <c r="AG132">
        <f t="shared" si="71"/>
        <v>0</v>
      </c>
      <c r="AI132">
        <f t="shared" si="60"/>
        <v>0</v>
      </c>
      <c r="AJ132" s="493">
        <f t="shared" si="64"/>
        <v>0</v>
      </c>
      <c r="AK132">
        <f>IF(AJ132=0,0,IF(AJ131=0,MAX(AK$13:AK131)+1,IF(W132&lt;&gt;W131,MAX(AK$14:AK131)+1,IF(ROUNDDOWN(AJ132-0.01,0)=ROUNDDOWN(AJ131-0.01,0),AK131,AK131+1))))</f>
        <v>0</v>
      </c>
      <c r="AL132">
        <f t="shared" si="61"/>
        <v>0</v>
      </c>
      <c r="AM132">
        <f t="shared" si="62"/>
        <v>0</v>
      </c>
      <c r="AN132">
        <f>IF(AM132&gt;AN$12,IF(AK132=AK131,AN131,MAX(AN$13:AN131)+1),0)</f>
        <v>0</v>
      </c>
      <c r="AP132">
        <f t="shared" si="72"/>
        <v>0</v>
      </c>
      <c r="AQ132">
        <f>IF(AP132&gt;0,IF(MAX(AQ133:AQ$214)+AP132&gt;ROUNDUP(MAX(AQ133:AQ$214),0),ROUNDUP(MAX(AQ133:AQ$214),0)+AP132,MAX(AQ133:AQ$214)+AP132),0)</f>
        <v>0</v>
      </c>
      <c r="AR132">
        <f t="shared" si="63"/>
        <v>0</v>
      </c>
      <c r="AS132">
        <f t="shared" si="73"/>
        <v>0</v>
      </c>
      <c r="AT132">
        <f t="shared" si="74"/>
        <v>10</v>
      </c>
      <c r="AV132">
        <v>12</v>
      </c>
      <c r="AW132">
        <f t="shared" si="82"/>
        <v>0</v>
      </c>
      <c r="AX132">
        <f t="shared" si="83"/>
        <v>0</v>
      </c>
      <c r="AY132" s="496">
        <f>IF(AND(AX132=AX$120,SUM(AY$121:AY131)=0,AW132=AZ$120,AX$120&lt;&gt;0),AV132,)</f>
        <v>0</v>
      </c>
      <c r="AZ132">
        <f>IF(AND(SUM(AZ$121:AZ131)=0,SUM($AY132:AY132)=0,$AX132&lt;=AY$156,$AX132&gt;0,$AW132&gt;-1),$AV132,0)</f>
        <v>0</v>
      </c>
      <c r="BA132">
        <f>IF(AND(SUM(BA$121:BA131)=0,SUM($AY132:AZ132)=0,$AX132&lt;=AZ$156,$AX132&gt;0,$AW132&gt;-1),$AV132,0)</f>
        <v>0</v>
      </c>
      <c r="BB132">
        <f>IF(AND(SUM(BB$121:BB131)=0,SUM($AY132:BA132)=0,$AX132&lt;=BA$156,$AX132&gt;0,$AW132&gt;-1),$AV132,0)</f>
        <v>0</v>
      </c>
      <c r="BC132">
        <f>IF(AND(SUM(BC$121:BC131)=0,SUM($AY132:BB132)=0,$AX132&lt;=BB$156,$AX132&gt;0,$AW132&gt;-1),$AV132,0)</f>
        <v>0</v>
      </c>
      <c r="BD132">
        <f>IF(AND(SUM(BD$121:BD131)=0,SUM($AY132:BC132)=0,$AX132&lt;=BC$156,$AX132&gt;0,$AW132&gt;-1),$AV132,0)</f>
        <v>0</v>
      </c>
      <c r="BE132">
        <f>IF(AND(SUM(BE$121:BE131)=0,SUM($AY132:BD132)=0,$AX132&lt;=BD$156,$AX132&gt;0,$AW132&gt;-1),$AV132,0)</f>
        <v>0</v>
      </c>
      <c r="BF132">
        <f>IF(AND(SUM(BF$121:BF131)=0,SUM($AY132:BE132)=0,$AX132&lt;=BE$156,$AX132&gt;0,$AW132&gt;-1),$AV132,0)</f>
        <v>0</v>
      </c>
      <c r="BG132">
        <f t="shared" si="81"/>
        <v>0</v>
      </c>
      <c r="BH132" s="494">
        <f t="shared" si="84"/>
        <v>0</v>
      </c>
      <c r="BI132">
        <f t="shared" si="85"/>
        <v>0</v>
      </c>
    </row>
    <row r="133" spans="1:61" x14ac:dyDescent="0.25">
      <c r="A133">
        <v>120</v>
      </c>
      <c r="B133" t="str">
        <f>_xlfn.XLOOKUP(A133,Order!R$12:R$859,Order!C$12:C$859,"")</f>
        <v/>
      </c>
      <c r="C133" t="str">
        <f>_xlfn.XLOOKUP(A133,Order!R$12:R$859,Order!S$12:S$859,"")</f>
        <v/>
      </c>
      <c r="D133" t="str">
        <f>_xlfn.XLOOKUP(A133,Order!R$12:R$859,Order!B$12:B$859,"")</f>
        <v/>
      </c>
      <c r="E133" t="str">
        <f>_xlfn.XLOOKUP(A133,Order!R$12:R$859,Order!P$12:P$859,"")</f>
        <v/>
      </c>
      <c r="F133" t="str">
        <f>_xlfn.XLOOKUP(A133,Order!R$12:R$859,Order!T$12:T$859,"")</f>
        <v/>
      </c>
      <c r="G133" t="str">
        <f>_xlfn.XLOOKUP(A133,Order!R$12:R$859,Order!U$12:U$859,"")</f>
        <v/>
      </c>
      <c r="H133" t="str">
        <f>_xlfn.XLOOKUP(A133,Order!R$12:R$859,Order!B$12:B$859,"")</f>
        <v/>
      </c>
      <c r="I133" t="str">
        <f>_xlfn.XLOOKUP(A133,Order!R$12:R$859,Order!V$12:V$859,"")</f>
        <v/>
      </c>
      <c r="J133" t="str">
        <f>IFERROR(RANK(F133,F$14:F$213,1)+COUNTIF(F$14:F133,F133)-1,"")</f>
        <v/>
      </c>
      <c r="L133" t="str">
        <f t="shared" si="66"/>
        <v/>
      </c>
      <c r="M133" t="str" cm="1">
        <f t="array" ref="M133">_xlfn.XLOOKUP(A133,J$14:J332,B$14:B332,"")</f>
        <v/>
      </c>
      <c r="N133" t="str" cm="1">
        <f t="array" ref="N133">_xlfn.XLOOKUP(A133,J$14:J332,C$14:C332,"")</f>
        <v/>
      </c>
      <c r="O133" t="str" cm="1">
        <f t="array" ref="O133">_xlfn.XLOOKUP(A133,J$14:J332,E$14:E332,"")</f>
        <v/>
      </c>
      <c r="P133" t="str" cm="1">
        <f t="array" ref="P133">_xlfn.XLOOKUP(A133,J$14:J332,G$14:G332,"")</f>
        <v/>
      </c>
      <c r="Q133" t="str" cm="1">
        <f t="array" ref="Q133">_xlfn.XLOOKUP(A133,J$14:J332,F$14:F332,"")</f>
        <v/>
      </c>
      <c r="R133" t="str" cm="1">
        <f t="array" ref="R133">_xlfn.XLOOKUP(A133,J$14:J332,I$14:I332,"")</f>
        <v/>
      </c>
      <c r="S133" t="str" cm="1">
        <f t="array" ref="S133">_xlfn.XLOOKUP(A133,J$14:J332,H$14:H332,"")</f>
        <v/>
      </c>
      <c r="T133" t="str" cm="1">
        <f t="array" ref="T133">VLOOKUP(ROW(120:120),L$14:S$163,8)</f>
        <v/>
      </c>
      <c r="U133" t="str" cm="1">
        <f t="array" ref="U133">VLOOKUP(ROW(120:120),L$14:M$163,2)</f>
        <v/>
      </c>
      <c r="V133" t="str" cm="1">
        <f t="array" ref="V133">VLOOKUP(ROW(120:120),L$14:O$163,4)</f>
        <v/>
      </c>
      <c r="W133" t="str" cm="1">
        <f t="array" ref="W133">VLOOKUP(ROW(120:120),L$14:Q$163,6)</f>
        <v/>
      </c>
      <c r="X133" cm="1">
        <f t="array" ref="X133">IFERROR(VLOOKUP(ROW(120:120),L$14:P$213,5)+0,0)</f>
        <v>0</v>
      </c>
      <c r="Y133" t="str" cm="1">
        <f t="array" ref="Y133">VLOOKUP(ROW(120:120),L$14:R$163,7)</f>
        <v/>
      </c>
      <c r="Z133">
        <f>IF(Y133&lt;-2,X133+MAX(Z$14:Z132),0)</f>
        <v>0</v>
      </c>
      <c r="AA133">
        <f>IFERROR(IF(AND(SUM(AA134:AA$214)+X133&lt;=Z$10,W133&lt;=Z$12,Z133=0),X133,0),0)</f>
        <v>0</v>
      </c>
      <c r="AB133">
        <f>IFERROR(IF(AND(W133&lt;=Z$12+10,AB$12-X133&gt;=0,SUM(Z133:AA133)=0,SUM(AB$14:AB132)+X133&lt;AB$12),X133,0),0)</f>
        <v>0</v>
      </c>
      <c r="AD133">
        <f>IF(AND(Y133=-2,SUM(Z133:AB133)=0),X133+MAX(AD$14:AD132),0)</f>
        <v>0</v>
      </c>
      <c r="AE133">
        <f>IFERROR(IF(AND(SUM(AE134:AE$214)+X133&lt;=AD$10,W133&lt;=AD$12,SUM(Z133:AD133)=0),X133,0),0)</f>
        <v>0</v>
      </c>
      <c r="AF133">
        <f>IFERROR(IF(AND(W133&lt;=AD$12+10,AF$12-X133&gt;=0,SUM(Z133:AE133)=0,SUM(AF$14:AF132)+X133&lt;AF$12),X133,0),0)</f>
        <v>0</v>
      </c>
      <c r="AG133">
        <f t="shared" si="71"/>
        <v>0</v>
      </c>
      <c r="AI133">
        <f t="shared" si="60"/>
        <v>0</v>
      </c>
      <c r="AJ133" s="493">
        <f t="shared" si="64"/>
        <v>0</v>
      </c>
      <c r="AK133">
        <f>IF(AJ133=0,0,IF(AJ132=0,MAX(AK$13:AK132)+1,IF(W133&lt;&gt;W132,MAX(AK$14:AK132)+1,IF(ROUNDDOWN(AJ133-0.01,0)=ROUNDDOWN(AJ132-0.01,0),AK132,AK132+1))))</f>
        <v>0</v>
      </c>
      <c r="AL133">
        <f t="shared" si="61"/>
        <v>0</v>
      </c>
      <c r="AM133">
        <f t="shared" si="62"/>
        <v>0</v>
      </c>
      <c r="AN133">
        <f>IF(AM133&gt;AN$12,IF(AK133=AK132,AN132,MAX(AN$13:AN132)+1),0)</f>
        <v>0</v>
      </c>
      <c r="AP133">
        <f t="shared" si="72"/>
        <v>0</v>
      </c>
      <c r="AQ133">
        <f>IF(AP133&gt;0,IF(MAX(AQ134:AQ$214)+AP133&gt;ROUNDUP(MAX(AQ134:AQ$214),0),ROUNDUP(MAX(AQ134:AQ$214),0)+AP133,MAX(AQ134:AQ$214)+AP133),0)</f>
        <v>0</v>
      </c>
      <c r="AR133">
        <f t="shared" si="63"/>
        <v>0</v>
      </c>
      <c r="AS133">
        <f t="shared" si="73"/>
        <v>0</v>
      </c>
      <c r="AT133">
        <f t="shared" si="74"/>
        <v>10</v>
      </c>
      <c r="AV133">
        <v>13</v>
      </c>
      <c r="AW133">
        <f t="shared" si="82"/>
        <v>0</v>
      </c>
      <c r="AX133">
        <f t="shared" si="83"/>
        <v>0</v>
      </c>
      <c r="AY133" s="496">
        <f>IF(AND(AX133=AX$120,SUM(AY$121:AY132)=0,AW133=AZ$120,AX$120&lt;&gt;0),AV133,)</f>
        <v>0</v>
      </c>
      <c r="AZ133">
        <f>IF(AND(SUM(AZ$121:AZ132)=0,SUM($AY133:AY133)=0,$AX133&lt;=AY$156,$AX133&gt;0,$AW133&gt;-1),$AV133,0)</f>
        <v>0</v>
      </c>
      <c r="BA133">
        <f>IF(AND(SUM(BA$121:BA132)=0,SUM($AY133:AZ133)=0,$AX133&lt;=AZ$156,$AX133&gt;0,$AW133&gt;-1),$AV133,0)</f>
        <v>0</v>
      </c>
      <c r="BB133">
        <f>IF(AND(SUM(BB$121:BB132)=0,SUM($AY133:BA133)=0,$AX133&lt;=BA$156,$AX133&gt;0,$AW133&gt;-1),$AV133,0)</f>
        <v>0</v>
      </c>
      <c r="BC133">
        <f>IF(AND(SUM(BC$121:BC132)=0,SUM($AY133:BB133)=0,$AX133&lt;=BB$156,$AX133&gt;0,$AW133&gt;-1),$AV133,0)</f>
        <v>0</v>
      </c>
      <c r="BD133">
        <f>IF(AND(SUM(BD$121:BD132)=0,SUM($AY133:BC133)=0,$AX133&lt;=BC$156,$AX133&gt;0,$AW133&gt;-1),$AV133,0)</f>
        <v>0</v>
      </c>
      <c r="BE133">
        <f>IF(AND(SUM(BE$121:BE132)=0,SUM($AY133:BD133)=0,$AX133&lt;=BD$156,$AX133&gt;0,$AW133&gt;-1),$AV133,0)</f>
        <v>0</v>
      </c>
      <c r="BF133">
        <f>IF(AND(SUM(BF$121:BF132)=0,SUM($AY133:BE133)=0,$AX133&lt;=BE$156,$AX133&gt;0,$AW133&gt;-1),$AV133,0)</f>
        <v>0</v>
      </c>
      <c r="BG133">
        <f t="shared" si="81"/>
        <v>0</v>
      </c>
      <c r="BH133" s="494">
        <f t="shared" si="84"/>
        <v>0</v>
      </c>
      <c r="BI133">
        <f t="shared" si="85"/>
        <v>0</v>
      </c>
    </row>
    <row r="134" spans="1:61" x14ac:dyDescent="0.25">
      <c r="A134">
        <v>121</v>
      </c>
      <c r="B134" t="str">
        <f>_xlfn.XLOOKUP(A134,Order!R$12:R$859,Order!C$12:C$859,"")</f>
        <v/>
      </c>
      <c r="C134" t="str">
        <f>_xlfn.XLOOKUP(A134,Order!R$12:R$859,Order!S$12:S$859,"")</f>
        <v/>
      </c>
      <c r="D134" t="str">
        <f>_xlfn.XLOOKUP(A134,Order!R$12:R$859,Order!B$12:B$859,"")</f>
        <v/>
      </c>
      <c r="E134" t="str">
        <f>_xlfn.XLOOKUP(A134,Order!R$12:R$859,Order!P$12:P$859,"")</f>
        <v/>
      </c>
      <c r="F134" t="str">
        <f>_xlfn.XLOOKUP(A134,Order!R$12:R$859,Order!T$12:T$859,"")</f>
        <v/>
      </c>
      <c r="G134" t="str">
        <f>_xlfn.XLOOKUP(A134,Order!R$12:R$859,Order!U$12:U$859,"")</f>
        <v/>
      </c>
      <c r="H134" t="str">
        <f>_xlfn.XLOOKUP(A134,Order!R$12:R$859,Order!B$12:B$859,"")</f>
        <v/>
      </c>
      <c r="I134" t="str">
        <f>_xlfn.XLOOKUP(A134,Order!R$12:R$859,Order!V$12:V$859,"")</f>
        <v/>
      </c>
      <c r="J134" t="str">
        <f>IFERROR(RANK(F134,F$14:F$213,1)+COUNTIF(F$14:F134,F134)-1,"")</f>
        <v/>
      </c>
      <c r="L134" t="str">
        <f t="shared" si="66"/>
        <v/>
      </c>
      <c r="M134" t="str" cm="1">
        <f t="array" ref="M134">_xlfn.XLOOKUP(A134,J$14:J333,B$14:B333,"")</f>
        <v/>
      </c>
      <c r="N134" t="str" cm="1">
        <f t="array" ref="N134">_xlfn.XLOOKUP(A134,J$14:J333,C$14:C333,"")</f>
        <v/>
      </c>
      <c r="O134" t="str" cm="1">
        <f t="array" ref="O134">_xlfn.XLOOKUP(A134,J$14:J333,E$14:E333,"")</f>
        <v/>
      </c>
      <c r="P134" t="str" cm="1">
        <f t="array" ref="P134">_xlfn.XLOOKUP(A134,J$14:J333,G$14:G333,"")</f>
        <v/>
      </c>
      <c r="Q134" t="str" cm="1">
        <f t="array" ref="Q134">_xlfn.XLOOKUP(A134,J$14:J333,F$14:F333,"")</f>
        <v/>
      </c>
      <c r="R134" t="str" cm="1">
        <f t="array" ref="R134">_xlfn.XLOOKUP(A134,J$14:J333,I$14:I333,"")</f>
        <v/>
      </c>
      <c r="S134" t="str" cm="1">
        <f t="array" ref="S134">_xlfn.XLOOKUP(A134,J$14:J333,H$14:H333,"")</f>
        <v/>
      </c>
      <c r="T134" t="str" cm="1">
        <f t="array" ref="T134">VLOOKUP(ROW(121:121),L$14:S$163,8)</f>
        <v/>
      </c>
      <c r="U134" t="str" cm="1">
        <f t="array" ref="U134">VLOOKUP(ROW(121:121),L$14:M$163,2)</f>
        <v/>
      </c>
      <c r="V134" t="str" cm="1">
        <f t="array" ref="V134">VLOOKUP(ROW(121:121),L$14:O$163,4)</f>
        <v/>
      </c>
      <c r="W134" t="str" cm="1">
        <f t="array" ref="W134">VLOOKUP(ROW(121:121),L$14:Q$163,6)</f>
        <v/>
      </c>
      <c r="X134" cm="1">
        <f t="array" ref="X134">IFERROR(VLOOKUP(ROW(121:121),L$14:P$213,5)+0,0)</f>
        <v>0</v>
      </c>
      <c r="Y134" t="str" cm="1">
        <f t="array" ref="Y134">VLOOKUP(ROW(121:121),L$14:R$163,7)</f>
        <v/>
      </c>
      <c r="Z134">
        <f>IF(Y134&lt;-2,X134+MAX(Z$14:Z133),0)</f>
        <v>0</v>
      </c>
      <c r="AA134">
        <f>IFERROR(IF(AND(SUM(AA135:AA$214)+X134&lt;=Z$10,W134&lt;=Z$12,Z134=0),X134,0),0)</f>
        <v>0</v>
      </c>
      <c r="AB134">
        <f>IFERROR(IF(AND(W134&lt;=Z$12+10,AB$12-X134&gt;=0,SUM(Z134:AA134)=0,SUM(AB$14:AB133)+X134&lt;AB$12),X134,0),0)</f>
        <v>0</v>
      </c>
      <c r="AD134">
        <f>IF(AND(Y134=-2,SUM(Z134:AB134)=0),X134+MAX(AD$14:AD133),0)</f>
        <v>0</v>
      </c>
      <c r="AE134">
        <f>IFERROR(IF(AND(SUM(AE135:AE$214)+X134&lt;=AD$10,W134&lt;=AD$12,SUM(Z134:AD134)=0),X134,0),0)</f>
        <v>0</v>
      </c>
      <c r="AF134">
        <f>IFERROR(IF(AND(W134&lt;=AD$12+10,AF$12-X134&gt;=0,SUM(Z134:AE134)=0,SUM(AF$14:AF133)+X134&lt;AF$12),X134,0),0)</f>
        <v>0</v>
      </c>
      <c r="AG134">
        <f t="shared" si="71"/>
        <v>0</v>
      </c>
      <c r="AI134">
        <f t="shared" si="60"/>
        <v>0</v>
      </c>
      <c r="AJ134" s="493">
        <f t="shared" si="64"/>
        <v>0</v>
      </c>
      <c r="AK134">
        <f>IF(AJ134=0,0,IF(AJ133=0,MAX(AK$13:AK133)+1,IF(W134&lt;&gt;W133,MAX(AK$14:AK133)+1,IF(ROUNDDOWN(AJ134-0.01,0)=ROUNDDOWN(AJ133-0.01,0),AK133,AK133+1))))</f>
        <v>0</v>
      </c>
      <c r="AL134">
        <f t="shared" si="61"/>
        <v>0</v>
      </c>
      <c r="AM134">
        <f t="shared" si="62"/>
        <v>0</v>
      </c>
      <c r="AN134">
        <f>IF(AM134&gt;AN$12,IF(AK134=AK133,AN133,MAX(AN$13:AN133)+1),0)</f>
        <v>0</v>
      </c>
      <c r="AP134">
        <f t="shared" si="72"/>
        <v>0</v>
      </c>
      <c r="AQ134">
        <f>IF(AP134&gt;0,IF(MAX(AQ135:AQ$214)+AP134&gt;ROUNDUP(MAX(AQ135:AQ$214),0),ROUNDUP(MAX(AQ135:AQ$214),0)+AP134,MAX(AQ135:AQ$214)+AP134),0)</f>
        <v>0</v>
      </c>
      <c r="AR134">
        <f t="shared" si="63"/>
        <v>0</v>
      </c>
      <c r="AS134">
        <f t="shared" si="73"/>
        <v>0</v>
      </c>
      <c r="AT134">
        <f t="shared" si="74"/>
        <v>10</v>
      </c>
      <c r="AV134">
        <v>14</v>
      </c>
      <c r="AW134">
        <f t="shared" si="82"/>
        <v>0</v>
      </c>
      <c r="AX134">
        <f t="shared" si="83"/>
        <v>0</v>
      </c>
      <c r="AY134" s="496">
        <f>IF(AND(AX134=AX$120,SUM(AY$121:AY133)=0,AW134=AZ$120,AX$120&lt;&gt;0),AV134,)</f>
        <v>0</v>
      </c>
      <c r="AZ134">
        <f>IF(AND(SUM(AZ$121:AZ133)=0,SUM($AY134:AY134)=0,$AX134&lt;=AY$156,$AX134&gt;0,$AW134&gt;-1),$AV134,0)</f>
        <v>0</v>
      </c>
      <c r="BA134">
        <f>IF(AND(SUM(BA$121:BA133)=0,SUM($AY134:AZ134)=0,$AX134&lt;=AZ$156,$AX134&gt;0,$AW134&gt;-1),$AV134,0)</f>
        <v>0</v>
      </c>
      <c r="BB134">
        <f>IF(AND(SUM(BB$121:BB133)=0,SUM($AY134:BA134)=0,$AX134&lt;=BA$156,$AX134&gt;0,$AW134&gt;-1),$AV134,0)</f>
        <v>0</v>
      </c>
      <c r="BC134">
        <f>IF(AND(SUM(BC$121:BC133)=0,SUM($AY134:BB134)=0,$AX134&lt;=BB$156,$AX134&gt;0,$AW134&gt;-1),$AV134,0)</f>
        <v>0</v>
      </c>
      <c r="BD134">
        <f>IF(AND(SUM(BD$121:BD133)=0,SUM($AY134:BC134)=0,$AX134&lt;=BC$156,$AX134&gt;0,$AW134&gt;-1),$AV134,0)</f>
        <v>0</v>
      </c>
      <c r="BE134">
        <f>IF(AND(SUM(BE$121:BE133)=0,SUM($AY134:BD134)=0,$AX134&lt;=BD$156,$AX134&gt;0,$AW134&gt;-1),$AV134,0)</f>
        <v>0</v>
      </c>
      <c r="BF134">
        <f>IF(AND(SUM(BF$121:BF133)=0,SUM($AY134:BE134)=0,$AX134&lt;=BE$156,$AX134&gt;0,$AW134&gt;-1),$AV134,0)</f>
        <v>0</v>
      </c>
      <c r="BG134">
        <f t="shared" si="81"/>
        <v>0</v>
      </c>
      <c r="BH134" s="494">
        <f t="shared" si="84"/>
        <v>0</v>
      </c>
      <c r="BI134">
        <f t="shared" si="85"/>
        <v>0</v>
      </c>
    </row>
    <row r="135" spans="1:61" x14ac:dyDescent="0.25">
      <c r="A135">
        <v>122</v>
      </c>
      <c r="B135" t="str">
        <f>_xlfn.XLOOKUP(A135,Order!R$12:R$859,Order!C$12:C$859,"")</f>
        <v/>
      </c>
      <c r="C135" t="str">
        <f>_xlfn.XLOOKUP(A135,Order!R$12:R$859,Order!S$12:S$859,"")</f>
        <v/>
      </c>
      <c r="D135" t="str">
        <f>_xlfn.XLOOKUP(A135,Order!R$12:R$859,Order!B$12:B$859,"")</f>
        <v/>
      </c>
      <c r="E135" t="str">
        <f>_xlfn.XLOOKUP(A135,Order!R$12:R$859,Order!P$12:P$859,"")</f>
        <v/>
      </c>
      <c r="F135" t="str">
        <f>_xlfn.XLOOKUP(A135,Order!R$12:R$859,Order!T$12:T$859,"")</f>
        <v/>
      </c>
      <c r="G135" t="str">
        <f>_xlfn.XLOOKUP(A135,Order!R$12:R$859,Order!U$12:U$859,"")</f>
        <v/>
      </c>
      <c r="H135" t="str">
        <f>_xlfn.XLOOKUP(A135,Order!R$12:R$859,Order!B$12:B$859,"")</f>
        <v/>
      </c>
      <c r="I135" t="str">
        <f>_xlfn.XLOOKUP(A135,Order!R$12:R$859,Order!V$12:V$859,"")</f>
        <v/>
      </c>
      <c r="J135" t="str">
        <f>IFERROR(RANK(F135,F$14:F$213,1)+COUNTIF(F$14:F135,F135)-1,"")</f>
        <v/>
      </c>
      <c r="L135" t="str">
        <f t="shared" si="66"/>
        <v/>
      </c>
      <c r="M135" t="str" cm="1">
        <f t="array" ref="M135">_xlfn.XLOOKUP(A135,J$14:J334,B$14:B334,"")</f>
        <v/>
      </c>
      <c r="N135" t="str" cm="1">
        <f t="array" ref="N135">_xlfn.XLOOKUP(A135,J$14:J334,C$14:C334,"")</f>
        <v/>
      </c>
      <c r="O135" t="str" cm="1">
        <f t="array" ref="O135">_xlfn.XLOOKUP(A135,J$14:J334,E$14:E334,"")</f>
        <v/>
      </c>
      <c r="P135" t="str" cm="1">
        <f t="array" ref="P135">_xlfn.XLOOKUP(A135,J$14:J334,G$14:G334,"")</f>
        <v/>
      </c>
      <c r="Q135" t="str" cm="1">
        <f t="array" ref="Q135">_xlfn.XLOOKUP(A135,J$14:J334,F$14:F334,"")</f>
        <v/>
      </c>
      <c r="R135" t="str" cm="1">
        <f t="array" ref="R135">_xlfn.XLOOKUP(A135,J$14:J334,I$14:I334,"")</f>
        <v/>
      </c>
      <c r="S135" t="str" cm="1">
        <f t="array" ref="S135">_xlfn.XLOOKUP(A135,J$14:J334,H$14:H334,"")</f>
        <v/>
      </c>
      <c r="T135" t="str" cm="1">
        <f t="array" ref="T135">VLOOKUP(ROW(122:122),L$14:S$163,8)</f>
        <v/>
      </c>
      <c r="U135" t="str" cm="1">
        <f t="array" ref="U135">VLOOKUP(ROW(122:122),L$14:M$163,2)</f>
        <v/>
      </c>
      <c r="V135" t="str" cm="1">
        <f t="array" ref="V135">VLOOKUP(ROW(122:122),L$14:O$163,4)</f>
        <v/>
      </c>
      <c r="W135" t="str" cm="1">
        <f t="array" ref="W135">VLOOKUP(ROW(122:122),L$14:Q$163,6)</f>
        <v/>
      </c>
      <c r="X135" cm="1">
        <f t="array" ref="X135">IFERROR(VLOOKUP(ROW(122:122),L$14:P$213,5)+0,0)</f>
        <v>0</v>
      </c>
      <c r="Y135" t="str" cm="1">
        <f t="array" ref="Y135">VLOOKUP(ROW(122:122),L$14:R$163,7)</f>
        <v/>
      </c>
      <c r="Z135">
        <f>IF(Y135&lt;-2,X135+MAX(Z$14:Z134),0)</f>
        <v>0</v>
      </c>
      <c r="AA135">
        <f>IFERROR(IF(AND(SUM(AA136:AA$214)+X135&lt;=Z$10,W135&lt;=Z$12,Z135=0),X135,0),0)</f>
        <v>0</v>
      </c>
      <c r="AB135">
        <f>IFERROR(IF(AND(W135&lt;=Z$12+10,AB$12-X135&gt;=0,SUM(Z135:AA135)=0,SUM(AB$14:AB134)+X135&lt;AB$12),X135,0),0)</f>
        <v>0</v>
      </c>
      <c r="AD135">
        <f>IF(AND(Y135=-2,SUM(Z135:AB135)=0),X135+MAX(AD$14:AD134),0)</f>
        <v>0</v>
      </c>
      <c r="AE135">
        <f>IFERROR(IF(AND(SUM(AE136:AE$214)+X135&lt;=AD$10,W135&lt;=AD$12,SUM(Z135:AD135)=0),X135,0),0)</f>
        <v>0</v>
      </c>
      <c r="AF135">
        <f>IFERROR(IF(AND(W135&lt;=AD$12+10,AF$12-X135&gt;=0,SUM(Z135:AE135)=0,SUM(AF$14:AF134)+X135&lt;AF$12),X135,0),0)</f>
        <v>0</v>
      </c>
      <c r="AG135">
        <f t="shared" si="71"/>
        <v>0</v>
      </c>
      <c r="AI135">
        <f t="shared" si="60"/>
        <v>0</v>
      </c>
      <c r="AJ135" s="493">
        <f t="shared" si="64"/>
        <v>0</v>
      </c>
      <c r="AK135">
        <f>IF(AJ135=0,0,IF(AJ134=0,MAX(AK$13:AK134)+1,IF(W135&lt;&gt;W134,MAX(AK$14:AK134)+1,IF(ROUNDDOWN(AJ135-0.01,0)=ROUNDDOWN(AJ134-0.01,0),AK134,AK134+1))))</f>
        <v>0</v>
      </c>
      <c r="AL135">
        <f t="shared" si="61"/>
        <v>0</v>
      </c>
      <c r="AM135">
        <f t="shared" si="62"/>
        <v>0</v>
      </c>
      <c r="AN135">
        <f>IF(AM135&gt;AN$12,IF(AK135=AK134,AN134,MAX(AN$13:AN134)+1),0)</f>
        <v>0</v>
      </c>
      <c r="AP135">
        <f t="shared" si="72"/>
        <v>0</v>
      </c>
      <c r="AQ135">
        <f>IF(AP135&gt;0,IF(MAX(AQ136:AQ$214)+AP135&gt;ROUNDUP(MAX(AQ136:AQ$214),0),ROUNDUP(MAX(AQ136:AQ$214),0)+AP135,MAX(AQ136:AQ$214)+AP135),0)</f>
        <v>0</v>
      </c>
      <c r="AR135">
        <f t="shared" si="63"/>
        <v>0</v>
      </c>
      <c r="AS135">
        <f t="shared" si="73"/>
        <v>0</v>
      </c>
      <c r="AT135">
        <f t="shared" si="74"/>
        <v>10</v>
      </c>
      <c r="AV135">
        <v>15</v>
      </c>
      <c r="AW135">
        <f t="shared" si="82"/>
        <v>0</v>
      </c>
      <c r="AX135">
        <f t="shared" si="83"/>
        <v>0</v>
      </c>
      <c r="AY135" s="496">
        <f>IF(AND(AX135=AX$120,SUM(AY$121:AY134)=0,AW135=AZ$120,AX$120&lt;&gt;0),AV135,)</f>
        <v>0</v>
      </c>
      <c r="AZ135">
        <f>IF(AND(SUM(AZ$121:AZ134)=0,SUM($AY135:AY135)=0,$AX135&lt;=AY$156,$AX135&gt;0,$AW135&gt;-1),$AV135,0)</f>
        <v>0</v>
      </c>
      <c r="BA135">
        <f>IF(AND(SUM(BA$121:BA134)=0,SUM($AY135:AZ135)=0,$AX135&lt;=AZ$156,$AX135&gt;0,$AW135&gt;-1),$AV135,0)</f>
        <v>0</v>
      </c>
      <c r="BB135">
        <f>IF(AND(SUM(BB$121:BB134)=0,SUM($AY135:BA135)=0,$AX135&lt;=BA$156,$AX135&gt;0,$AW135&gt;-1),$AV135,0)</f>
        <v>0</v>
      </c>
      <c r="BC135">
        <f>IF(AND(SUM(BC$121:BC134)=0,SUM($AY135:BB135)=0,$AX135&lt;=BB$156,$AX135&gt;0,$AW135&gt;-1),$AV135,0)</f>
        <v>0</v>
      </c>
      <c r="BD135">
        <f>IF(AND(SUM(BD$121:BD134)=0,SUM($AY135:BC135)=0,$AX135&lt;=BC$156,$AX135&gt;0,$AW135&gt;-1),$AV135,0)</f>
        <v>0</v>
      </c>
      <c r="BE135">
        <f>IF(AND(SUM(BE$121:BE134)=0,SUM($AY135:BD135)=0,$AX135&lt;=BD$156,$AX135&gt;0,$AW135&gt;-1),$AV135,0)</f>
        <v>0</v>
      </c>
      <c r="BF135">
        <f>IF(AND(SUM(BF$121:BF134)=0,SUM($AY135:BE135)=0,$AX135&lt;=BE$156,$AX135&gt;0,$AW135&gt;-1),$AV135,0)</f>
        <v>0</v>
      </c>
      <c r="BG135">
        <f t="shared" si="81"/>
        <v>0</v>
      </c>
      <c r="BH135" s="494">
        <f t="shared" si="84"/>
        <v>0</v>
      </c>
      <c r="BI135">
        <f t="shared" si="85"/>
        <v>0</v>
      </c>
    </row>
    <row r="136" spans="1:61" x14ac:dyDescent="0.25">
      <c r="A136">
        <v>123</v>
      </c>
      <c r="B136" t="str">
        <f>_xlfn.XLOOKUP(A136,Order!R$12:R$859,Order!C$12:C$859,"")</f>
        <v/>
      </c>
      <c r="C136" t="str">
        <f>_xlfn.XLOOKUP(A136,Order!R$12:R$859,Order!S$12:S$859,"")</f>
        <v/>
      </c>
      <c r="D136" t="str">
        <f>_xlfn.XLOOKUP(A136,Order!R$12:R$859,Order!B$12:B$859,"")</f>
        <v/>
      </c>
      <c r="E136" t="str">
        <f>_xlfn.XLOOKUP(A136,Order!R$12:R$859,Order!P$12:P$859,"")</f>
        <v/>
      </c>
      <c r="F136" t="str">
        <f>_xlfn.XLOOKUP(A136,Order!R$12:R$859,Order!T$12:T$859,"")</f>
        <v/>
      </c>
      <c r="G136" t="str">
        <f>_xlfn.XLOOKUP(A136,Order!R$12:R$859,Order!U$12:U$859,"")</f>
        <v/>
      </c>
      <c r="H136" t="str">
        <f>_xlfn.XLOOKUP(A136,Order!R$12:R$859,Order!B$12:B$859,"")</f>
        <v/>
      </c>
      <c r="I136" t="str">
        <f>_xlfn.XLOOKUP(A136,Order!R$12:R$859,Order!V$12:V$859,"")</f>
        <v/>
      </c>
      <c r="J136" t="str">
        <f>IFERROR(RANK(F136,F$14:F$213,1)+COUNTIF(F$14:F136,F136)-1,"")</f>
        <v/>
      </c>
      <c r="L136" t="str">
        <f t="shared" si="66"/>
        <v/>
      </c>
      <c r="M136" t="str" cm="1">
        <f t="array" ref="M136">_xlfn.XLOOKUP(A136,J$14:J335,B$14:B335,"")</f>
        <v/>
      </c>
      <c r="N136" t="str" cm="1">
        <f t="array" ref="N136">_xlfn.XLOOKUP(A136,J$14:J335,C$14:C335,"")</f>
        <v/>
      </c>
      <c r="O136" t="str" cm="1">
        <f t="array" ref="O136">_xlfn.XLOOKUP(A136,J$14:J335,E$14:E335,"")</f>
        <v/>
      </c>
      <c r="P136" t="str" cm="1">
        <f t="array" ref="P136">_xlfn.XLOOKUP(A136,J$14:J335,G$14:G335,"")</f>
        <v/>
      </c>
      <c r="Q136" t="str" cm="1">
        <f t="array" ref="Q136">_xlfn.XLOOKUP(A136,J$14:J335,F$14:F335,"")</f>
        <v/>
      </c>
      <c r="R136" t="str" cm="1">
        <f t="array" ref="R136">_xlfn.XLOOKUP(A136,J$14:J335,I$14:I335,"")</f>
        <v/>
      </c>
      <c r="S136" t="str" cm="1">
        <f t="array" ref="S136">_xlfn.XLOOKUP(A136,J$14:J335,H$14:H335,"")</f>
        <v/>
      </c>
      <c r="T136" t="str" cm="1">
        <f t="array" ref="T136">VLOOKUP(ROW(123:123),L$14:S$163,8)</f>
        <v/>
      </c>
      <c r="U136" t="str" cm="1">
        <f t="array" ref="U136">VLOOKUP(ROW(123:123),L$14:M$163,2)</f>
        <v/>
      </c>
      <c r="V136" t="str" cm="1">
        <f t="array" ref="V136">VLOOKUP(ROW(123:123),L$14:O$163,4)</f>
        <v/>
      </c>
      <c r="W136" t="str" cm="1">
        <f t="array" ref="W136">VLOOKUP(ROW(123:123),L$14:Q$163,6)</f>
        <v/>
      </c>
      <c r="X136" cm="1">
        <f t="array" ref="X136">IFERROR(VLOOKUP(ROW(123:123),L$14:P$213,5)+0,0)</f>
        <v>0</v>
      </c>
      <c r="Y136" t="str" cm="1">
        <f t="array" ref="Y136">VLOOKUP(ROW(123:123),L$14:R$163,7)</f>
        <v/>
      </c>
      <c r="Z136">
        <f>IF(Y136&lt;-2,X136+MAX(Z$14:Z135),0)</f>
        <v>0</v>
      </c>
      <c r="AA136">
        <f>IFERROR(IF(AND(SUM(AA137:AA$214)+X136&lt;=Z$10,W136&lt;=Z$12,Z136=0),X136,0),0)</f>
        <v>0</v>
      </c>
      <c r="AB136">
        <f>IFERROR(IF(AND(W136&lt;=Z$12+10,AB$12-X136&gt;=0,SUM(Z136:AA136)=0,SUM(AB$14:AB135)+X136&lt;AB$12),X136,0),0)</f>
        <v>0</v>
      </c>
      <c r="AD136">
        <f>IF(AND(Y136=-2,SUM(Z136:AB136)=0),X136+MAX(AD$14:AD135),0)</f>
        <v>0</v>
      </c>
      <c r="AE136">
        <f>IFERROR(IF(AND(SUM(AE137:AE$214)+X136&lt;=AD$10,W136&lt;=AD$12,SUM(Z136:AD136)=0),X136,0),0)</f>
        <v>0</v>
      </c>
      <c r="AF136">
        <f>IFERROR(IF(AND(W136&lt;=AD$12+10,AF$12-X136&gt;=0,SUM(Z136:AE136)=0,SUM(AF$14:AF135)+X136&lt;AF$12),X136,0),0)</f>
        <v>0</v>
      </c>
      <c r="AG136">
        <f t="shared" si="71"/>
        <v>0</v>
      </c>
      <c r="AI136">
        <f t="shared" si="60"/>
        <v>0</v>
      </c>
      <c r="AJ136" s="493">
        <f t="shared" si="64"/>
        <v>0</v>
      </c>
      <c r="AK136">
        <f>IF(AJ136=0,0,IF(AJ135=0,MAX(AK$13:AK135)+1,IF(W136&lt;&gt;W135,MAX(AK$14:AK135)+1,IF(ROUNDDOWN(AJ136-0.01,0)=ROUNDDOWN(AJ135-0.01,0),AK135,AK135+1))))</f>
        <v>0</v>
      </c>
      <c r="AL136">
        <f t="shared" si="61"/>
        <v>0</v>
      </c>
      <c r="AM136">
        <f t="shared" si="62"/>
        <v>0</v>
      </c>
      <c r="AN136">
        <f>IF(AM136&gt;AN$12,IF(AK136=AK135,AN135,MAX(AN$13:AN135)+1),0)</f>
        <v>0</v>
      </c>
      <c r="AP136">
        <f t="shared" si="72"/>
        <v>0</v>
      </c>
      <c r="AQ136">
        <f>IF(AP136&gt;0,IF(MAX(AQ137:AQ$214)+AP136&gt;ROUNDUP(MAX(AQ137:AQ$214),0),ROUNDUP(MAX(AQ137:AQ$214),0)+AP136,MAX(AQ137:AQ$214)+AP136),0)</f>
        <v>0</v>
      </c>
      <c r="AR136">
        <f t="shared" si="63"/>
        <v>0</v>
      </c>
      <c r="AS136">
        <f t="shared" si="73"/>
        <v>0</v>
      </c>
      <c r="AT136">
        <f t="shared" si="74"/>
        <v>10</v>
      </c>
      <c r="AV136">
        <v>16</v>
      </c>
      <c r="AW136">
        <f t="shared" si="82"/>
        <v>0</v>
      </c>
      <c r="AX136">
        <f t="shared" si="83"/>
        <v>0</v>
      </c>
      <c r="AY136" s="496">
        <f>IF(AND(AX136=AX$120,SUM(AY$121:AY135)=0,AW136=AZ$120,AX$120&lt;&gt;0),AV136,)</f>
        <v>0</v>
      </c>
      <c r="AZ136">
        <f>IF(AND(SUM(AZ$121:AZ135)=0,SUM($AY136:AY136)=0,$AX136&lt;=AY$156,$AX136&gt;0,$AW136&gt;-1),$AV136,0)</f>
        <v>0</v>
      </c>
      <c r="BA136">
        <f>IF(AND(SUM(BA$121:BA135)=0,SUM($AY136:AZ136)=0,$AX136&lt;=AZ$156,$AX136&gt;0,$AW136&gt;-1),$AV136,0)</f>
        <v>0</v>
      </c>
      <c r="BB136">
        <f>IF(AND(SUM(BB$121:BB135)=0,SUM($AY136:BA136)=0,$AX136&lt;=BA$156,$AX136&gt;0,$AW136&gt;-1),$AV136,0)</f>
        <v>0</v>
      </c>
      <c r="BC136">
        <f>IF(AND(SUM(BC$121:BC135)=0,SUM($AY136:BB136)=0,$AX136&lt;=BB$156,$AX136&gt;0,$AW136&gt;-1),$AV136,0)</f>
        <v>0</v>
      </c>
      <c r="BD136">
        <f>IF(AND(SUM(BD$121:BD135)=0,SUM($AY136:BC136)=0,$AX136&lt;=BC$156,$AX136&gt;0,$AW136&gt;-1),$AV136,0)</f>
        <v>0</v>
      </c>
      <c r="BE136">
        <f>IF(AND(SUM(BE$121:BE135)=0,SUM($AY136:BD136)=0,$AX136&lt;=BD$156,$AX136&gt;0,$AW136&gt;-1),$AV136,0)</f>
        <v>0</v>
      </c>
      <c r="BF136">
        <f>IF(AND(SUM(BF$121:BF135)=0,SUM($AY136:BE136)=0,$AX136&lt;=BE$156,$AX136&gt;0,$AW136&gt;-1),$AV136,0)</f>
        <v>0</v>
      </c>
      <c r="BG136">
        <f t="shared" si="81"/>
        <v>0</v>
      </c>
      <c r="BH136" s="494">
        <f t="shared" si="84"/>
        <v>0</v>
      </c>
      <c r="BI136">
        <f t="shared" si="85"/>
        <v>0</v>
      </c>
    </row>
    <row r="137" spans="1:61" x14ac:dyDescent="0.25">
      <c r="A137">
        <v>124</v>
      </c>
      <c r="B137" t="str">
        <f>_xlfn.XLOOKUP(A137,Order!R$12:R$859,Order!C$12:C$859,"")</f>
        <v/>
      </c>
      <c r="C137" t="str">
        <f>_xlfn.XLOOKUP(A137,Order!R$12:R$859,Order!S$12:S$859,"")</f>
        <v/>
      </c>
      <c r="D137" t="str">
        <f>_xlfn.XLOOKUP(A137,Order!R$12:R$859,Order!B$12:B$859,"")</f>
        <v/>
      </c>
      <c r="E137" t="str">
        <f>_xlfn.XLOOKUP(A137,Order!R$12:R$859,Order!P$12:P$859,"")</f>
        <v/>
      </c>
      <c r="F137" t="str">
        <f>_xlfn.XLOOKUP(A137,Order!R$12:R$859,Order!T$12:T$859,"")</f>
        <v/>
      </c>
      <c r="G137" t="str">
        <f>_xlfn.XLOOKUP(A137,Order!R$12:R$859,Order!U$12:U$859,"")</f>
        <v/>
      </c>
      <c r="H137" t="str">
        <f>_xlfn.XLOOKUP(A137,Order!R$12:R$859,Order!B$12:B$859,"")</f>
        <v/>
      </c>
      <c r="I137" t="str">
        <f>_xlfn.XLOOKUP(A137,Order!R$12:R$859,Order!V$12:V$859,"")</f>
        <v/>
      </c>
      <c r="J137" t="str">
        <f>IFERROR(RANK(F137,F$14:F$213,1)+COUNTIF(F$14:F137,F137)-1,"")</f>
        <v/>
      </c>
      <c r="L137" t="str">
        <f t="shared" si="66"/>
        <v/>
      </c>
      <c r="M137" t="str" cm="1">
        <f t="array" ref="M137">_xlfn.XLOOKUP(A137,J$14:J336,B$14:B336,"")</f>
        <v/>
      </c>
      <c r="N137" t="str" cm="1">
        <f t="array" ref="N137">_xlfn.XLOOKUP(A137,J$14:J336,C$14:C336,"")</f>
        <v/>
      </c>
      <c r="O137" t="str" cm="1">
        <f t="array" ref="O137">_xlfn.XLOOKUP(A137,J$14:J336,E$14:E336,"")</f>
        <v/>
      </c>
      <c r="P137" t="str" cm="1">
        <f t="array" ref="P137">_xlfn.XLOOKUP(A137,J$14:J336,G$14:G336,"")</f>
        <v/>
      </c>
      <c r="Q137" t="str" cm="1">
        <f t="array" ref="Q137">_xlfn.XLOOKUP(A137,J$14:J336,F$14:F336,"")</f>
        <v/>
      </c>
      <c r="R137" t="str" cm="1">
        <f t="array" ref="R137">_xlfn.XLOOKUP(A137,J$14:J336,I$14:I336,"")</f>
        <v/>
      </c>
      <c r="S137" t="str" cm="1">
        <f t="array" ref="S137">_xlfn.XLOOKUP(A137,J$14:J336,H$14:H336,"")</f>
        <v/>
      </c>
      <c r="T137" t="str" cm="1">
        <f t="array" ref="T137">VLOOKUP(ROW(124:124),L$14:S$163,8)</f>
        <v/>
      </c>
      <c r="U137" t="str" cm="1">
        <f t="array" ref="U137">VLOOKUP(ROW(124:124),L$14:M$163,2)</f>
        <v/>
      </c>
      <c r="V137" t="str" cm="1">
        <f t="array" ref="V137">VLOOKUP(ROW(124:124),L$14:O$163,4)</f>
        <v/>
      </c>
      <c r="W137" t="str" cm="1">
        <f t="array" ref="W137">VLOOKUP(ROW(124:124),L$14:Q$163,6)</f>
        <v/>
      </c>
      <c r="X137" cm="1">
        <f t="array" ref="X137">IFERROR(VLOOKUP(ROW(124:124),L$14:P$213,5)+0,0)</f>
        <v>0</v>
      </c>
      <c r="Y137" t="str" cm="1">
        <f t="array" ref="Y137">VLOOKUP(ROW(124:124),L$14:R$163,7)</f>
        <v/>
      </c>
      <c r="Z137">
        <f>IF(Y137&lt;-2,X137+MAX(Z$14:Z136),0)</f>
        <v>0</v>
      </c>
      <c r="AA137">
        <f>IFERROR(IF(AND(SUM(AA138:AA$214)+X137&lt;=Z$10,W137&lt;=Z$12,Z137=0),X137,0),0)</f>
        <v>0</v>
      </c>
      <c r="AB137">
        <f>IFERROR(IF(AND(W137&lt;=Z$12+10,AB$12-X137&gt;=0,SUM(Z137:AA137)=0,SUM(AB$14:AB136)+X137&lt;AB$12),X137,0),0)</f>
        <v>0</v>
      </c>
      <c r="AD137">
        <f>IF(AND(Y137=-2,SUM(Z137:AB137)=0),X137+MAX(AD$14:AD136),0)</f>
        <v>0</v>
      </c>
      <c r="AE137">
        <f>IFERROR(IF(AND(SUM(AE138:AE$214)+X137&lt;=AD$10,W137&lt;=AD$12,SUM(Z137:AD137)=0),X137,0),0)</f>
        <v>0</v>
      </c>
      <c r="AF137">
        <f>IFERROR(IF(AND(W137&lt;=AD$12+10,AF$12-X137&gt;=0,SUM(Z137:AE137)=0,SUM(AF$14:AF136)+X137&lt;AF$12),X137,0),0)</f>
        <v>0</v>
      </c>
      <c r="AG137">
        <f t="shared" si="71"/>
        <v>0</v>
      </c>
      <c r="AI137">
        <f t="shared" si="60"/>
        <v>0</v>
      </c>
      <c r="AJ137" s="493">
        <f t="shared" si="64"/>
        <v>0</v>
      </c>
      <c r="AK137">
        <f>IF(AJ137=0,0,IF(AJ136=0,MAX(AK$13:AK136)+1,IF(W137&lt;&gt;W136,MAX(AK$14:AK136)+1,IF(ROUNDDOWN(AJ137-0.01,0)=ROUNDDOWN(AJ136-0.01,0),AK136,AK136+1))))</f>
        <v>0</v>
      </c>
      <c r="AL137">
        <f t="shared" si="61"/>
        <v>0</v>
      </c>
      <c r="AM137">
        <f t="shared" si="62"/>
        <v>0</v>
      </c>
      <c r="AN137">
        <f>IF(AM137&gt;AN$12,IF(AK137=AK136,AN136,MAX(AN$13:AN136)+1),0)</f>
        <v>0</v>
      </c>
      <c r="AP137">
        <f t="shared" si="72"/>
        <v>0</v>
      </c>
      <c r="AQ137">
        <f>IF(AP137&gt;0,IF(MAX(AQ138:AQ$214)+AP137&gt;ROUNDUP(MAX(AQ138:AQ$214),0),ROUNDUP(MAX(AQ138:AQ$214),0)+AP137,MAX(AQ138:AQ$214)+AP137),0)</f>
        <v>0</v>
      </c>
      <c r="AR137">
        <f t="shared" si="63"/>
        <v>0</v>
      </c>
      <c r="AS137">
        <f t="shared" si="73"/>
        <v>0</v>
      </c>
      <c r="AT137">
        <f t="shared" si="74"/>
        <v>10</v>
      </c>
      <c r="AV137">
        <v>17</v>
      </c>
      <c r="AW137">
        <f t="shared" si="82"/>
        <v>0</v>
      </c>
      <c r="AX137">
        <f t="shared" si="83"/>
        <v>0</v>
      </c>
      <c r="AY137" s="496">
        <f>IF(AND(AX137=AX$120,SUM(AY$121:AY136)=0,AW137=AZ$120,AX$120&lt;&gt;0),AV137,)</f>
        <v>0</v>
      </c>
      <c r="AZ137">
        <f>IF(AND(SUM(AZ$121:AZ136)=0,SUM($AY137:AY137)=0,$AX137&lt;=AY$156,$AX137&gt;0,$AW137&gt;-1),$AV137,0)</f>
        <v>0</v>
      </c>
      <c r="BA137">
        <f>IF(AND(SUM(BA$121:BA136)=0,SUM($AY137:AZ137)=0,$AX137&lt;=AZ$156,$AX137&gt;0,$AW137&gt;-1),$AV137,0)</f>
        <v>0</v>
      </c>
      <c r="BB137">
        <f>IF(AND(SUM(BB$121:BB136)=0,SUM($AY137:BA137)=0,$AX137&lt;=BA$156,$AX137&gt;0,$AW137&gt;-1),$AV137,0)</f>
        <v>0</v>
      </c>
      <c r="BC137">
        <f>IF(AND(SUM(BC$121:BC136)=0,SUM($AY137:BB137)=0,$AX137&lt;=BB$156,$AX137&gt;0,$AW137&gt;-1),$AV137,0)</f>
        <v>0</v>
      </c>
      <c r="BD137">
        <f>IF(AND(SUM(BD$121:BD136)=0,SUM($AY137:BC137)=0,$AX137&lt;=BC$156,$AX137&gt;0,$AW137&gt;-1),$AV137,0)</f>
        <v>0</v>
      </c>
      <c r="BE137">
        <f>IF(AND(SUM(BE$121:BE136)=0,SUM($AY137:BD137)=0,$AX137&lt;=BD$156,$AX137&gt;0,$AW137&gt;-1),$AV137,0)</f>
        <v>0</v>
      </c>
      <c r="BF137">
        <f>IF(AND(SUM(BF$121:BF136)=0,SUM($AY137:BE137)=0,$AX137&lt;=BE$156,$AX137&gt;0,$AW137&gt;-1),$AV137,0)</f>
        <v>0</v>
      </c>
      <c r="BG137">
        <f t="shared" si="81"/>
        <v>0</v>
      </c>
      <c r="BH137" s="494">
        <f t="shared" si="84"/>
        <v>0</v>
      </c>
      <c r="BI137">
        <f t="shared" si="85"/>
        <v>0</v>
      </c>
    </row>
    <row r="138" spans="1:61" x14ac:dyDescent="0.25">
      <c r="A138">
        <v>125</v>
      </c>
      <c r="B138" t="str">
        <f>_xlfn.XLOOKUP(A138,Order!R$12:R$859,Order!C$12:C$859,"")</f>
        <v/>
      </c>
      <c r="C138" t="str">
        <f>_xlfn.XLOOKUP(A138,Order!R$12:R$859,Order!S$12:S$859,"")</f>
        <v/>
      </c>
      <c r="D138" t="str">
        <f>_xlfn.XLOOKUP(A138,Order!R$12:R$859,Order!B$12:B$859,"")</f>
        <v/>
      </c>
      <c r="E138" t="str">
        <f>_xlfn.XLOOKUP(A138,Order!R$12:R$859,Order!P$12:P$859,"")</f>
        <v/>
      </c>
      <c r="F138" t="str">
        <f>_xlfn.XLOOKUP(A138,Order!R$12:R$859,Order!T$12:T$859,"")</f>
        <v/>
      </c>
      <c r="G138" t="str">
        <f>_xlfn.XLOOKUP(A138,Order!R$12:R$859,Order!U$12:U$859,"")</f>
        <v/>
      </c>
      <c r="H138" t="str">
        <f>_xlfn.XLOOKUP(A138,Order!R$12:R$859,Order!B$12:B$859,"")</f>
        <v/>
      </c>
      <c r="I138" t="str">
        <f>_xlfn.XLOOKUP(A138,Order!R$12:R$859,Order!V$12:V$859,"")</f>
        <v/>
      </c>
      <c r="J138" t="str">
        <f>IFERROR(RANK(F138,F$14:F$213,1)+COUNTIF(F$14:F138,F138)-1,"")</f>
        <v/>
      </c>
      <c r="L138" t="str">
        <f t="shared" si="66"/>
        <v/>
      </c>
      <c r="M138" t="str" cm="1">
        <f t="array" ref="M138">_xlfn.XLOOKUP(A138,J$14:J337,B$14:B337,"")</f>
        <v/>
      </c>
      <c r="N138" t="str" cm="1">
        <f t="array" ref="N138">_xlfn.XLOOKUP(A138,J$14:J337,C$14:C337,"")</f>
        <v/>
      </c>
      <c r="O138" t="str" cm="1">
        <f t="array" ref="O138">_xlfn.XLOOKUP(A138,J$14:J337,E$14:E337,"")</f>
        <v/>
      </c>
      <c r="P138" t="str" cm="1">
        <f t="array" ref="P138">_xlfn.XLOOKUP(A138,J$14:J337,G$14:G337,"")</f>
        <v/>
      </c>
      <c r="Q138" t="str" cm="1">
        <f t="array" ref="Q138">_xlfn.XLOOKUP(A138,J$14:J337,F$14:F337,"")</f>
        <v/>
      </c>
      <c r="R138" t="str" cm="1">
        <f t="array" ref="R138">_xlfn.XLOOKUP(A138,J$14:J337,I$14:I337,"")</f>
        <v/>
      </c>
      <c r="S138" t="str" cm="1">
        <f t="array" ref="S138">_xlfn.XLOOKUP(A138,J$14:J337,H$14:H337,"")</f>
        <v/>
      </c>
      <c r="T138" t="str" cm="1">
        <f t="array" ref="T138">VLOOKUP(ROW(125:125),L$14:S$163,8)</f>
        <v/>
      </c>
      <c r="U138" t="str" cm="1">
        <f t="array" ref="U138">VLOOKUP(ROW(125:125),L$14:M$163,2)</f>
        <v/>
      </c>
      <c r="V138" t="str" cm="1">
        <f t="array" ref="V138">VLOOKUP(ROW(125:125),L$14:O$163,4)</f>
        <v/>
      </c>
      <c r="W138" t="str" cm="1">
        <f t="array" ref="W138">VLOOKUP(ROW(125:125),L$14:Q$163,6)</f>
        <v/>
      </c>
      <c r="X138" cm="1">
        <f t="array" ref="X138">IFERROR(VLOOKUP(ROW(125:125),L$14:P$213,5)+0,0)</f>
        <v>0</v>
      </c>
      <c r="Y138" t="str" cm="1">
        <f t="array" ref="Y138">VLOOKUP(ROW(125:125),L$14:R$163,7)</f>
        <v/>
      </c>
      <c r="Z138">
        <f>IF(Y138&lt;-2,X138+MAX(Z$14:Z137),0)</f>
        <v>0</v>
      </c>
      <c r="AA138">
        <f>IFERROR(IF(AND(SUM(AA139:AA$214)+X138&lt;=Z$10,W138&lt;=Z$12,Z138=0),X138,0),0)</f>
        <v>0</v>
      </c>
      <c r="AB138">
        <f>IFERROR(IF(AND(W138&lt;=Z$12+10,AB$12-X138&gt;=0,SUM(Z138:AA138)=0,SUM(AB$14:AB137)+X138&lt;AB$12),X138,0),0)</f>
        <v>0</v>
      </c>
      <c r="AD138">
        <f>IF(AND(Y138=-2,SUM(Z138:AB138)=0),X138+MAX(AD$14:AD137),0)</f>
        <v>0</v>
      </c>
      <c r="AE138">
        <f>IFERROR(IF(AND(SUM(AE139:AE$214)+X138&lt;=AD$10,W138&lt;=AD$12,SUM(Z138:AD138)=0),X138,0),0)</f>
        <v>0</v>
      </c>
      <c r="AF138">
        <f>IFERROR(IF(AND(W138&lt;=AD$12+10,AF$12-X138&gt;=0,SUM(Z138:AE138)=0,SUM(AF$14:AF137)+X138&lt;AF$12),X138,0),0)</f>
        <v>0</v>
      </c>
      <c r="AG138">
        <f t="shared" si="71"/>
        <v>0</v>
      </c>
      <c r="AI138">
        <f t="shared" si="60"/>
        <v>0</v>
      </c>
      <c r="AJ138" s="493">
        <f t="shared" si="64"/>
        <v>0</v>
      </c>
      <c r="AK138">
        <f>IF(AJ138=0,0,IF(AJ137=0,MAX(AK$13:AK137)+1,IF(W138&lt;&gt;W137,MAX(AK$14:AK137)+1,IF(ROUNDDOWN(AJ138-0.01,0)=ROUNDDOWN(AJ137-0.01,0),AK137,AK137+1))))</f>
        <v>0</v>
      </c>
      <c r="AL138">
        <f t="shared" si="61"/>
        <v>0</v>
      </c>
      <c r="AM138">
        <f t="shared" si="62"/>
        <v>0</v>
      </c>
      <c r="AN138">
        <f>IF(AM138&gt;AN$12,IF(AK138=AK137,AN137,MAX(AN$13:AN137)+1),0)</f>
        <v>0</v>
      </c>
      <c r="AP138">
        <f t="shared" si="72"/>
        <v>0</v>
      </c>
      <c r="AQ138">
        <f>IF(AP138&gt;0,IF(MAX(AQ139:AQ$214)+AP138&gt;ROUNDUP(MAX(AQ139:AQ$214),0),ROUNDUP(MAX(AQ139:AQ$214),0)+AP138,MAX(AQ139:AQ$214)+AP138),0)</f>
        <v>0</v>
      </c>
      <c r="AR138">
        <f t="shared" si="63"/>
        <v>0</v>
      </c>
      <c r="AS138">
        <f t="shared" si="73"/>
        <v>0</v>
      </c>
      <c r="AT138">
        <f t="shared" si="74"/>
        <v>10</v>
      </c>
      <c r="AV138">
        <v>18</v>
      </c>
      <c r="AW138">
        <f t="shared" si="82"/>
        <v>0</v>
      </c>
      <c r="AX138">
        <f t="shared" si="83"/>
        <v>0</v>
      </c>
      <c r="AY138" s="496">
        <f>IF(AND(AX138=AX$120,SUM(AY$121:AY137)=0,AW138=AZ$120,AX$120&lt;&gt;0),AV138,)</f>
        <v>0</v>
      </c>
      <c r="AZ138">
        <f>IF(AND(SUM(AZ$121:AZ137)=0,SUM($AY138:AY138)=0,$AX138&lt;=AY$156,$AX138&gt;0,$AW138&gt;-1),$AV138,0)</f>
        <v>0</v>
      </c>
      <c r="BA138">
        <f>IF(AND(SUM(BA$121:BA137)=0,SUM($AY138:AZ138)=0,$AX138&lt;=AZ$156,$AX138&gt;0,$AW138&gt;-1),$AV138,0)</f>
        <v>0</v>
      </c>
      <c r="BB138">
        <f>IF(AND(SUM(BB$121:BB137)=0,SUM($AY138:BA138)=0,$AX138&lt;=BA$156,$AX138&gt;0,$AW138&gt;-1),$AV138,0)</f>
        <v>0</v>
      </c>
      <c r="BC138">
        <f>IF(AND(SUM(BC$121:BC137)=0,SUM($AY138:BB138)=0,$AX138&lt;=BB$156,$AX138&gt;0,$AW138&gt;-1),$AV138,0)</f>
        <v>0</v>
      </c>
      <c r="BD138">
        <f>IF(AND(SUM(BD$121:BD137)=0,SUM($AY138:BC138)=0,$AX138&lt;=BC$156,$AX138&gt;0,$AW138&gt;-1),$AV138,0)</f>
        <v>0</v>
      </c>
      <c r="BE138">
        <f>IF(AND(SUM(BE$121:BE137)=0,SUM($AY138:BD138)=0,$AX138&lt;=BD$156,$AX138&gt;0,$AW138&gt;-1),$AV138,0)</f>
        <v>0</v>
      </c>
      <c r="BF138">
        <f>IF(AND(SUM(BF$121:BF137)=0,SUM($AY138:BE138)=0,$AX138&lt;=BE$156,$AX138&gt;0,$AW138&gt;-1),$AV138,0)</f>
        <v>0</v>
      </c>
      <c r="BG138">
        <f t="shared" si="81"/>
        <v>0</v>
      </c>
      <c r="BH138" s="494">
        <f t="shared" si="84"/>
        <v>0</v>
      </c>
      <c r="BI138">
        <f t="shared" si="85"/>
        <v>0</v>
      </c>
    </row>
    <row r="139" spans="1:61" x14ac:dyDescent="0.25">
      <c r="A139">
        <v>126</v>
      </c>
      <c r="B139" t="str">
        <f>_xlfn.XLOOKUP(A139,Order!R$12:R$859,Order!C$12:C$859,"")</f>
        <v/>
      </c>
      <c r="C139" t="str">
        <f>_xlfn.XLOOKUP(A139,Order!R$12:R$859,Order!S$12:S$859,"")</f>
        <v/>
      </c>
      <c r="D139" t="str">
        <f>_xlfn.XLOOKUP(A139,Order!R$12:R$859,Order!B$12:B$859,"")</f>
        <v/>
      </c>
      <c r="E139" t="str">
        <f>_xlfn.XLOOKUP(A139,Order!R$12:R$859,Order!P$12:P$859,"")</f>
        <v/>
      </c>
      <c r="F139" t="str">
        <f>_xlfn.XLOOKUP(A139,Order!R$12:R$859,Order!T$12:T$859,"")</f>
        <v/>
      </c>
      <c r="G139" t="str">
        <f>_xlfn.XLOOKUP(A139,Order!R$12:R$859,Order!U$12:U$859,"")</f>
        <v/>
      </c>
      <c r="H139" t="str">
        <f>_xlfn.XLOOKUP(A139,Order!R$12:R$859,Order!B$12:B$859,"")</f>
        <v/>
      </c>
      <c r="I139" t="str">
        <f>_xlfn.XLOOKUP(A139,Order!R$12:R$859,Order!V$12:V$859,"")</f>
        <v/>
      </c>
      <c r="J139" t="str">
        <f>IFERROR(RANK(F139,F$14:F$213,1)+COUNTIF(F$14:F139,F139)-1,"")</f>
        <v/>
      </c>
      <c r="L139" t="str">
        <f t="shared" si="66"/>
        <v/>
      </c>
      <c r="M139" t="str" cm="1">
        <f t="array" ref="M139">_xlfn.XLOOKUP(A139,J$14:J338,B$14:B338,"")</f>
        <v/>
      </c>
      <c r="N139" t="str" cm="1">
        <f t="array" ref="N139">_xlfn.XLOOKUP(A139,J$14:J338,C$14:C338,"")</f>
        <v/>
      </c>
      <c r="O139" t="str" cm="1">
        <f t="array" ref="O139">_xlfn.XLOOKUP(A139,J$14:J338,E$14:E338,"")</f>
        <v/>
      </c>
      <c r="P139" t="str" cm="1">
        <f t="array" ref="P139">_xlfn.XLOOKUP(A139,J$14:J338,G$14:G338,"")</f>
        <v/>
      </c>
      <c r="Q139" t="str" cm="1">
        <f t="array" ref="Q139">_xlfn.XLOOKUP(A139,J$14:J338,F$14:F338,"")</f>
        <v/>
      </c>
      <c r="R139" t="str" cm="1">
        <f t="array" ref="R139">_xlfn.XLOOKUP(A139,J$14:J338,I$14:I338,"")</f>
        <v/>
      </c>
      <c r="S139" t="str" cm="1">
        <f t="array" ref="S139">_xlfn.XLOOKUP(A139,J$14:J338,H$14:H338,"")</f>
        <v/>
      </c>
      <c r="T139" t="str" cm="1">
        <f t="array" ref="T139">VLOOKUP(ROW(126:126),L$14:S$163,8)</f>
        <v/>
      </c>
      <c r="U139" t="str" cm="1">
        <f t="array" ref="U139">VLOOKUP(ROW(126:126),L$14:M$163,2)</f>
        <v/>
      </c>
      <c r="V139" t="str" cm="1">
        <f t="array" ref="V139">VLOOKUP(ROW(126:126),L$14:O$163,4)</f>
        <v/>
      </c>
      <c r="W139" t="str" cm="1">
        <f t="array" ref="W139">VLOOKUP(ROW(126:126),L$14:Q$163,6)</f>
        <v/>
      </c>
      <c r="X139" cm="1">
        <f t="array" ref="X139">IFERROR(VLOOKUP(ROW(126:126),L$14:P$213,5)+0,0)</f>
        <v>0</v>
      </c>
      <c r="Y139" t="str" cm="1">
        <f t="array" ref="Y139">VLOOKUP(ROW(126:126),L$14:R$163,7)</f>
        <v/>
      </c>
      <c r="Z139">
        <f>IF(Y139&lt;-2,X139+MAX(Z$14:Z138),0)</f>
        <v>0</v>
      </c>
      <c r="AA139">
        <f>IFERROR(IF(AND(SUM(AA140:AA$214)+X139&lt;=Z$10,W139&lt;=Z$12,Z139=0),X139,0),0)</f>
        <v>0</v>
      </c>
      <c r="AB139">
        <f>IFERROR(IF(AND(W139&lt;=Z$12+10,AB$12-X139&gt;=0,SUM(Z139:AA139)=0,SUM(AB$14:AB138)+X139&lt;AB$12),X139,0),0)</f>
        <v>0</v>
      </c>
      <c r="AD139">
        <f>IF(AND(Y139=-2,SUM(Z139:AB139)=0),X139+MAX(AD$14:AD138),0)</f>
        <v>0</v>
      </c>
      <c r="AE139">
        <f>IFERROR(IF(AND(SUM(AE140:AE$214)+X139&lt;=AD$10,W139&lt;=AD$12,SUM(Z139:AD139)=0),X139,0),0)</f>
        <v>0</v>
      </c>
      <c r="AF139">
        <f>IFERROR(IF(AND(W139&lt;=AD$12+10,AF$12-X139&gt;=0,SUM(Z139:AE139)=0,SUM(AF$14:AF138)+X139&lt;AF$12),X139,0),0)</f>
        <v>0</v>
      </c>
      <c r="AG139">
        <f t="shared" si="71"/>
        <v>0</v>
      </c>
      <c r="AI139">
        <f t="shared" si="60"/>
        <v>0</v>
      </c>
      <c r="AJ139" s="493">
        <f t="shared" si="64"/>
        <v>0</v>
      </c>
      <c r="AK139">
        <f>IF(AJ139=0,0,IF(AJ138=0,MAX(AK$13:AK138)+1,IF(W139&lt;&gt;W138,MAX(AK$14:AK138)+1,IF(ROUNDDOWN(AJ139-0.01,0)=ROUNDDOWN(AJ138-0.01,0),AK138,AK138+1))))</f>
        <v>0</v>
      </c>
      <c r="AL139">
        <f t="shared" si="61"/>
        <v>0</v>
      </c>
      <c r="AM139">
        <f t="shared" si="62"/>
        <v>0</v>
      </c>
      <c r="AN139">
        <f>IF(AM139&gt;AN$12,IF(AK139=AK138,AN138,MAX(AN$13:AN138)+1),0)</f>
        <v>0</v>
      </c>
      <c r="AP139">
        <f t="shared" si="72"/>
        <v>0</v>
      </c>
      <c r="AQ139">
        <f>IF(AP139&gt;0,IF(MAX(AQ140:AQ$214)+AP139&gt;ROUNDUP(MAX(AQ140:AQ$214),0),ROUNDUP(MAX(AQ140:AQ$214),0)+AP139,MAX(AQ140:AQ$214)+AP139),0)</f>
        <v>0</v>
      </c>
      <c r="AR139">
        <f t="shared" si="63"/>
        <v>0</v>
      </c>
      <c r="AS139">
        <f t="shared" si="73"/>
        <v>0</v>
      </c>
      <c r="AT139">
        <f t="shared" si="74"/>
        <v>10</v>
      </c>
      <c r="AV139">
        <v>19</v>
      </c>
      <c r="AW139">
        <f t="shared" si="82"/>
        <v>0</v>
      </c>
      <c r="AX139">
        <f t="shared" si="83"/>
        <v>0</v>
      </c>
      <c r="AY139" s="496">
        <f>IF(AND(AX139=AX$120,SUM(AY$121:AY138)=0,AW139=AZ$120,AX$120&lt;&gt;0),AV139,)</f>
        <v>0</v>
      </c>
      <c r="AZ139">
        <f>IF(AND(SUM(AZ$121:AZ138)=0,SUM($AY139:AY139)=0,$AX139&lt;=AY$156,$AX139&gt;0,$AW139&gt;-1),$AV139,0)</f>
        <v>0</v>
      </c>
      <c r="BA139">
        <f>IF(AND(SUM(BA$121:BA138)=0,SUM($AY139:AZ139)=0,$AX139&lt;=AZ$156,$AX139&gt;0,$AW139&gt;-1),$AV139,0)</f>
        <v>0</v>
      </c>
      <c r="BB139">
        <f>IF(AND(SUM(BB$121:BB138)=0,SUM($AY139:BA139)=0,$AX139&lt;=BA$156,$AX139&gt;0,$AW139&gt;-1),$AV139,0)</f>
        <v>0</v>
      </c>
      <c r="BC139">
        <f>IF(AND(SUM(BC$121:BC138)=0,SUM($AY139:BB139)=0,$AX139&lt;=BB$156,$AX139&gt;0,$AW139&gt;-1),$AV139,0)</f>
        <v>0</v>
      </c>
      <c r="BD139">
        <f>IF(AND(SUM(BD$121:BD138)=0,SUM($AY139:BC139)=0,$AX139&lt;=BC$156,$AX139&gt;0,$AW139&gt;-1),$AV139,0)</f>
        <v>0</v>
      </c>
      <c r="BE139">
        <f>IF(AND(SUM(BE$121:BE138)=0,SUM($AY139:BD139)=0,$AX139&lt;=BD$156,$AX139&gt;0,$AW139&gt;-1),$AV139,0)</f>
        <v>0</v>
      </c>
      <c r="BF139">
        <f>IF(AND(SUM(BF$121:BF138)=0,SUM($AY139:BE139)=0,$AX139&lt;=BE$156,$AX139&gt;0,$AW139&gt;-1),$AV139,0)</f>
        <v>0</v>
      </c>
      <c r="BG139">
        <f t="shared" si="81"/>
        <v>0</v>
      </c>
      <c r="BH139" s="494">
        <f t="shared" si="84"/>
        <v>0</v>
      </c>
      <c r="BI139">
        <f t="shared" si="85"/>
        <v>0</v>
      </c>
    </row>
    <row r="140" spans="1:61" x14ac:dyDescent="0.25">
      <c r="A140">
        <v>127</v>
      </c>
      <c r="B140" t="str">
        <f>_xlfn.XLOOKUP(A140,Order!R$12:R$859,Order!C$12:C$859,"")</f>
        <v/>
      </c>
      <c r="C140" t="str">
        <f>_xlfn.XLOOKUP(A140,Order!R$12:R$859,Order!S$12:S$859,"")</f>
        <v/>
      </c>
      <c r="D140" t="str">
        <f>_xlfn.XLOOKUP(A140,Order!R$12:R$859,Order!B$12:B$859,"")</f>
        <v/>
      </c>
      <c r="E140" t="str">
        <f>_xlfn.XLOOKUP(A140,Order!R$12:R$859,Order!P$12:P$859,"")</f>
        <v/>
      </c>
      <c r="F140" t="str">
        <f>_xlfn.XLOOKUP(A140,Order!R$12:R$859,Order!T$12:T$859,"")</f>
        <v/>
      </c>
      <c r="G140" t="str">
        <f>_xlfn.XLOOKUP(A140,Order!R$12:R$859,Order!U$12:U$859,"")</f>
        <v/>
      </c>
      <c r="H140" t="str">
        <f>_xlfn.XLOOKUP(A140,Order!R$12:R$859,Order!B$12:B$859,"")</f>
        <v/>
      </c>
      <c r="I140" t="str">
        <f>_xlfn.XLOOKUP(A140,Order!R$12:R$859,Order!V$12:V$859,"")</f>
        <v/>
      </c>
      <c r="J140" t="str">
        <f>IFERROR(RANK(F140,F$14:F$213,1)+COUNTIF(F$14:F140,F140)-1,"")</f>
        <v/>
      </c>
      <c r="L140" t="str">
        <f t="shared" si="66"/>
        <v/>
      </c>
      <c r="M140" t="str" cm="1">
        <f t="array" ref="M140">_xlfn.XLOOKUP(A140,J$14:J339,B$14:B339,"")</f>
        <v/>
      </c>
      <c r="N140" t="str" cm="1">
        <f t="array" ref="N140">_xlfn.XLOOKUP(A140,J$14:J339,C$14:C339,"")</f>
        <v/>
      </c>
      <c r="O140" t="str" cm="1">
        <f t="array" ref="O140">_xlfn.XLOOKUP(A140,J$14:J339,E$14:E339,"")</f>
        <v/>
      </c>
      <c r="P140" t="str" cm="1">
        <f t="array" ref="P140">_xlfn.XLOOKUP(A140,J$14:J339,G$14:G339,"")</f>
        <v/>
      </c>
      <c r="Q140" t="str" cm="1">
        <f t="array" ref="Q140">_xlfn.XLOOKUP(A140,J$14:J339,F$14:F339,"")</f>
        <v/>
      </c>
      <c r="R140" t="str" cm="1">
        <f t="array" ref="R140">_xlfn.XLOOKUP(A140,J$14:J339,I$14:I339,"")</f>
        <v/>
      </c>
      <c r="S140" t="str" cm="1">
        <f t="array" ref="S140">_xlfn.XLOOKUP(A140,J$14:J339,H$14:H339,"")</f>
        <v/>
      </c>
      <c r="T140" t="str" cm="1">
        <f t="array" ref="T140">VLOOKUP(ROW(127:127),L$14:S$163,8)</f>
        <v/>
      </c>
      <c r="U140" t="str" cm="1">
        <f t="array" ref="U140">VLOOKUP(ROW(127:127),L$14:M$163,2)</f>
        <v/>
      </c>
      <c r="V140" t="str" cm="1">
        <f t="array" ref="V140">VLOOKUP(ROW(127:127),L$14:O$163,4)</f>
        <v/>
      </c>
      <c r="W140" t="str" cm="1">
        <f t="array" ref="W140">VLOOKUP(ROW(127:127),L$14:Q$163,6)</f>
        <v/>
      </c>
      <c r="X140" cm="1">
        <f t="array" ref="X140">IFERROR(VLOOKUP(ROW(127:127),L$14:P$213,5)+0,0)</f>
        <v>0</v>
      </c>
      <c r="Y140" t="str" cm="1">
        <f t="array" ref="Y140">VLOOKUP(ROW(127:127),L$14:R$163,7)</f>
        <v/>
      </c>
      <c r="Z140">
        <f>IF(Y140&lt;-2,X140+MAX(Z$14:Z139),0)</f>
        <v>0</v>
      </c>
      <c r="AA140">
        <f>IFERROR(IF(AND(SUM(AA141:AA$214)+X140&lt;=Z$10,W140&lt;=Z$12,Z140=0),X140,0),0)</f>
        <v>0</v>
      </c>
      <c r="AB140">
        <f>IFERROR(IF(AND(W140&lt;=Z$12+10,AB$12-X140&gt;=0,SUM(Z140:AA140)=0,SUM(AB$14:AB139)+X140&lt;AB$12),X140,0),0)</f>
        <v>0</v>
      </c>
      <c r="AD140">
        <f>IF(AND(Y140=-2,SUM(Z140:AB140)=0),X140+MAX(AD$14:AD139),0)</f>
        <v>0</v>
      </c>
      <c r="AE140">
        <f>IFERROR(IF(AND(SUM(AE141:AE$214)+X140&lt;=AD$10,W140&lt;=AD$12,SUM(Z140:AD140)=0),X140,0),0)</f>
        <v>0</v>
      </c>
      <c r="AF140">
        <f>IFERROR(IF(AND(W140&lt;=AD$12+10,AF$12-X140&gt;=0,SUM(Z140:AE140)=0,SUM(AF$14:AF139)+X140&lt;AF$12),X140,0),0)</f>
        <v>0</v>
      </c>
      <c r="AG140">
        <f t="shared" si="71"/>
        <v>0</v>
      </c>
      <c r="AI140">
        <f t="shared" si="60"/>
        <v>0</v>
      </c>
      <c r="AJ140" s="493">
        <f t="shared" si="64"/>
        <v>0</v>
      </c>
      <c r="AK140">
        <f>IF(AJ140=0,0,IF(AJ139=0,MAX(AK$13:AK139)+1,IF(W140&lt;&gt;W139,MAX(AK$14:AK139)+1,IF(ROUNDDOWN(AJ140-0.01,0)=ROUNDDOWN(AJ139-0.01,0),AK139,AK139+1))))</f>
        <v>0</v>
      </c>
      <c r="AL140">
        <f t="shared" si="61"/>
        <v>0</v>
      </c>
      <c r="AM140">
        <f t="shared" si="62"/>
        <v>0</v>
      </c>
      <c r="AN140">
        <f>IF(AM140&gt;AN$12,IF(AK140=AK139,AN139,MAX(AN$13:AN139)+1),0)</f>
        <v>0</v>
      </c>
      <c r="AP140">
        <f t="shared" si="72"/>
        <v>0</v>
      </c>
      <c r="AQ140">
        <f>IF(AP140&gt;0,IF(MAX(AQ141:AQ$214)+AP140&gt;ROUNDUP(MAX(AQ141:AQ$214),0),ROUNDUP(MAX(AQ141:AQ$214),0)+AP140,MAX(AQ141:AQ$214)+AP140),0)</f>
        <v>0</v>
      </c>
      <c r="AR140">
        <f t="shared" si="63"/>
        <v>0</v>
      </c>
      <c r="AS140">
        <f t="shared" si="73"/>
        <v>0</v>
      </c>
      <c r="AT140">
        <f t="shared" si="74"/>
        <v>10</v>
      </c>
      <c r="AV140">
        <v>20</v>
      </c>
      <c r="AW140">
        <f t="shared" si="82"/>
        <v>0</v>
      </c>
      <c r="AX140">
        <f t="shared" si="83"/>
        <v>0</v>
      </c>
      <c r="AY140" s="496">
        <f>IF(AND(AX140=AX$120,SUM(AY$121:AY139)=0,AW140=AZ$120,AX$120&lt;&gt;0),AV140,)</f>
        <v>0</v>
      </c>
      <c r="AZ140">
        <f>IF(AND(SUM(AZ$121:AZ139)=0,SUM($AY140:AY140)=0,$AX140&lt;=AY$156,$AX140&gt;0,$AW140&gt;-1),$AV140,0)</f>
        <v>0</v>
      </c>
      <c r="BA140">
        <f>IF(AND(SUM(BA$121:BA139)=0,SUM($AY140:AZ140)=0,$AX140&lt;=AZ$156,$AX140&gt;0,$AW140&gt;-1),$AV140,0)</f>
        <v>0</v>
      </c>
      <c r="BB140">
        <f>IF(AND(SUM(BB$121:BB139)=0,SUM($AY140:BA140)=0,$AX140&lt;=BA$156,$AX140&gt;0,$AW140&gt;-1),$AV140,0)</f>
        <v>0</v>
      </c>
      <c r="BC140">
        <f>IF(AND(SUM(BC$121:BC139)=0,SUM($AY140:BB140)=0,$AX140&lt;=BB$156,$AX140&gt;0,$AW140&gt;-1),$AV140,0)</f>
        <v>0</v>
      </c>
      <c r="BD140">
        <f>IF(AND(SUM(BD$121:BD139)=0,SUM($AY140:BC140)=0,$AX140&lt;=BC$156,$AX140&gt;0,$AW140&gt;-1),$AV140,0)</f>
        <v>0</v>
      </c>
      <c r="BE140">
        <f>IF(AND(SUM(BE$121:BE139)=0,SUM($AY140:BD140)=0,$AX140&lt;=BD$156,$AX140&gt;0,$AW140&gt;-1),$AV140,0)</f>
        <v>0</v>
      </c>
      <c r="BF140">
        <f>IF(AND(SUM(BF$121:BF139)=0,SUM($AY140:BE140)=0,$AX140&lt;=BE$156,$AX140&gt;0,$AW140&gt;-1),$AV140,0)</f>
        <v>0</v>
      </c>
      <c r="BG140">
        <f t="shared" si="81"/>
        <v>0</v>
      </c>
      <c r="BH140" s="494">
        <f t="shared" si="84"/>
        <v>0</v>
      </c>
      <c r="BI140">
        <f t="shared" si="85"/>
        <v>0</v>
      </c>
    </row>
    <row r="141" spans="1:61" x14ac:dyDescent="0.25">
      <c r="A141">
        <v>128</v>
      </c>
      <c r="B141" t="str">
        <f>_xlfn.XLOOKUP(A141,Order!R$12:R$859,Order!C$12:C$859,"")</f>
        <v/>
      </c>
      <c r="C141" t="str">
        <f>_xlfn.XLOOKUP(A141,Order!R$12:R$859,Order!S$12:S$859,"")</f>
        <v/>
      </c>
      <c r="D141" t="str">
        <f>_xlfn.XLOOKUP(A141,Order!R$12:R$859,Order!B$12:B$859,"")</f>
        <v/>
      </c>
      <c r="E141" t="str">
        <f>_xlfn.XLOOKUP(A141,Order!R$12:R$859,Order!P$12:P$859,"")</f>
        <v/>
      </c>
      <c r="F141" t="str">
        <f>_xlfn.XLOOKUP(A141,Order!R$12:R$859,Order!T$12:T$859,"")</f>
        <v/>
      </c>
      <c r="G141" t="str">
        <f>_xlfn.XLOOKUP(A141,Order!R$12:R$859,Order!U$12:U$859,"")</f>
        <v/>
      </c>
      <c r="H141" t="str">
        <f>_xlfn.XLOOKUP(A141,Order!R$12:R$859,Order!B$12:B$859,"")</f>
        <v/>
      </c>
      <c r="I141" t="str">
        <f>_xlfn.XLOOKUP(A141,Order!R$12:R$859,Order!V$12:V$859,"")</f>
        <v/>
      </c>
      <c r="J141" t="str">
        <f>IFERROR(RANK(F141,F$14:F$213,1)+COUNTIF(F$14:F141,F141)-1,"")</f>
        <v/>
      </c>
      <c r="L141" t="str">
        <f t="shared" si="66"/>
        <v/>
      </c>
      <c r="M141" t="str" cm="1">
        <f t="array" ref="M141">_xlfn.XLOOKUP(A141,J$14:J340,B$14:B340,"")</f>
        <v/>
      </c>
      <c r="N141" t="str" cm="1">
        <f t="array" ref="N141">_xlfn.XLOOKUP(A141,J$14:J340,C$14:C340,"")</f>
        <v/>
      </c>
      <c r="O141" t="str" cm="1">
        <f t="array" ref="O141">_xlfn.XLOOKUP(A141,J$14:J340,E$14:E340,"")</f>
        <v/>
      </c>
      <c r="P141" t="str" cm="1">
        <f t="array" ref="P141">_xlfn.XLOOKUP(A141,J$14:J340,G$14:G340,"")</f>
        <v/>
      </c>
      <c r="Q141" t="str" cm="1">
        <f t="array" ref="Q141">_xlfn.XLOOKUP(A141,J$14:J340,F$14:F340,"")</f>
        <v/>
      </c>
      <c r="R141" t="str" cm="1">
        <f t="array" ref="R141">_xlfn.XLOOKUP(A141,J$14:J340,I$14:I340,"")</f>
        <v/>
      </c>
      <c r="S141" t="str" cm="1">
        <f t="array" ref="S141">_xlfn.XLOOKUP(A141,J$14:J340,H$14:H340,"")</f>
        <v/>
      </c>
      <c r="T141" t="str" cm="1">
        <f t="array" ref="T141">VLOOKUP(ROW(128:128),L$14:S$163,8)</f>
        <v/>
      </c>
      <c r="U141" t="str" cm="1">
        <f t="array" ref="U141">VLOOKUP(ROW(128:128),L$14:M$163,2)</f>
        <v/>
      </c>
      <c r="V141" t="str" cm="1">
        <f t="array" ref="V141">VLOOKUP(ROW(128:128),L$14:O$163,4)</f>
        <v/>
      </c>
      <c r="W141" t="str" cm="1">
        <f t="array" ref="W141">VLOOKUP(ROW(128:128),L$14:Q$163,6)</f>
        <v/>
      </c>
      <c r="X141" cm="1">
        <f t="array" ref="X141">IFERROR(VLOOKUP(ROW(128:128),L$14:P$213,5)+0,0)</f>
        <v>0</v>
      </c>
      <c r="Y141" t="str" cm="1">
        <f t="array" ref="Y141">VLOOKUP(ROW(128:128),L$14:R$163,7)</f>
        <v/>
      </c>
      <c r="Z141">
        <f>IF(Y141&lt;-2,X141+MAX(Z$14:Z140),0)</f>
        <v>0</v>
      </c>
      <c r="AA141">
        <f>IFERROR(IF(AND(SUM(AA142:AA$214)+X141&lt;=Z$10,W141&lt;=Z$12,Z141=0),X141,0),0)</f>
        <v>0</v>
      </c>
      <c r="AB141">
        <f>IFERROR(IF(AND(W141&lt;=Z$12+10,AB$12-X141&gt;=0,SUM(Z141:AA141)=0,SUM(AB$14:AB140)+X141&lt;AB$12),X141,0),0)</f>
        <v>0</v>
      </c>
      <c r="AD141">
        <f>IF(AND(Y141=-2,SUM(Z141:AB141)=0),X141+MAX(AD$14:AD140),0)</f>
        <v>0</v>
      </c>
      <c r="AE141">
        <f>IFERROR(IF(AND(SUM(AE142:AE$214)+X141&lt;=AD$10,W141&lt;=AD$12,SUM(Z141:AD141)=0),X141,0),0)</f>
        <v>0</v>
      </c>
      <c r="AF141">
        <f>IFERROR(IF(AND(W141&lt;=AD$12+10,AF$12-X141&gt;=0,SUM(Z141:AE141)=0,SUM(AF$14:AF140)+X141&lt;AF$12),X141,0),0)</f>
        <v>0</v>
      </c>
      <c r="AG141">
        <f t="shared" si="71"/>
        <v>0</v>
      </c>
      <c r="AI141">
        <f t="shared" si="60"/>
        <v>0</v>
      </c>
      <c r="AJ141" s="493">
        <f t="shared" si="64"/>
        <v>0</v>
      </c>
      <c r="AK141">
        <f>IF(AJ141=0,0,IF(AJ140=0,MAX(AK$13:AK140)+1,IF(W141&lt;&gt;W140,MAX(AK$14:AK140)+1,IF(ROUNDDOWN(AJ141-0.01,0)=ROUNDDOWN(AJ140-0.01,0),AK140,AK140+1))))</f>
        <v>0</v>
      </c>
      <c r="AL141">
        <f t="shared" si="61"/>
        <v>0</v>
      </c>
      <c r="AM141">
        <f t="shared" si="62"/>
        <v>0</v>
      </c>
      <c r="AN141">
        <f>IF(AM141&gt;AN$12,IF(AK141=AK140,AN140,MAX(AN$13:AN140)+1),0)</f>
        <v>0</v>
      </c>
      <c r="AP141">
        <f t="shared" si="72"/>
        <v>0</v>
      </c>
      <c r="AQ141">
        <f>IF(AP141&gt;0,IF(MAX(AQ142:AQ$214)+AP141&gt;ROUNDUP(MAX(AQ142:AQ$214),0),ROUNDUP(MAX(AQ142:AQ$214),0)+AP141,MAX(AQ142:AQ$214)+AP141),0)</f>
        <v>0</v>
      </c>
      <c r="AR141">
        <f t="shared" si="63"/>
        <v>0</v>
      </c>
      <c r="AS141">
        <f t="shared" si="73"/>
        <v>0</v>
      </c>
      <c r="AT141">
        <f t="shared" si="74"/>
        <v>10</v>
      </c>
      <c r="AV141">
        <v>21</v>
      </c>
      <c r="AW141">
        <f t="shared" si="82"/>
        <v>0</v>
      </c>
      <c r="AX141">
        <f t="shared" si="83"/>
        <v>0</v>
      </c>
      <c r="AY141" s="496">
        <f>IF(AND(AX141=AX$120,SUM(AY$121:AY140)=0,AW141=AZ$120,AX$120&lt;&gt;0),AV141,)</f>
        <v>0</v>
      </c>
      <c r="AZ141">
        <f>IF(AND(SUM(AZ$121:AZ140)=0,SUM($AY141:AY141)=0,$AX141&lt;=AY$156,$AX141&gt;0,$AW141&gt;-1),$AV141,0)</f>
        <v>0</v>
      </c>
      <c r="BA141">
        <f>IF(AND(SUM(BA$121:BA140)=0,SUM($AY141:AZ141)=0,$AX141&lt;=AZ$156,$AX141&gt;0,$AW141&gt;-1),$AV141,0)</f>
        <v>0</v>
      </c>
      <c r="BB141">
        <f>IF(AND(SUM(BB$121:BB140)=0,SUM($AY141:BA141)=0,$AX141&lt;=BA$156,$AX141&gt;0,$AW141&gt;-1),$AV141,0)</f>
        <v>0</v>
      </c>
      <c r="BC141">
        <f>IF(AND(SUM(BC$121:BC140)=0,SUM($AY141:BB141)=0,$AX141&lt;=BB$156,$AX141&gt;0,$AW141&gt;-1),$AV141,0)</f>
        <v>0</v>
      </c>
      <c r="BD141">
        <f>IF(AND(SUM(BD$121:BD140)=0,SUM($AY141:BC141)=0,$AX141&lt;=BC$156,$AX141&gt;0,$AW141&gt;-1),$AV141,0)</f>
        <v>0</v>
      </c>
      <c r="BE141">
        <f>IF(AND(SUM(BE$121:BE140)=0,SUM($AY141:BD141)=0,$AX141&lt;=BD$156,$AX141&gt;0,$AW141&gt;-1),$AV141,0)</f>
        <v>0</v>
      </c>
      <c r="BF141">
        <f>IF(AND(SUM(BF$121:BF140)=0,SUM($AY141:BE141)=0,$AX141&lt;=BE$156,$AX141&gt;0,$AW141&gt;-1),$AV141,0)</f>
        <v>0</v>
      </c>
      <c r="BG141">
        <f t="shared" si="81"/>
        <v>0</v>
      </c>
      <c r="BH141" s="494">
        <f t="shared" si="84"/>
        <v>0</v>
      </c>
      <c r="BI141">
        <f t="shared" si="85"/>
        <v>0</v>
      </c>
    </row>
    <row r="142" spans="1:61" x14ac:dyDescent="0.25">
      <c r="A142">
        <v>129</v>
      </c>
      <c r="B142" t="str">
        <f>_xlfn.XLOOKUP(A142,Order!R$12:R$859,Order!C$12:C$859,"")</f>
        <v/>
      </c>
      <c r="C142" t="str">
        <f>_xlfn.XLOOKUP(A142,Order!R$12:R$859,Order!S$12:S$859,"")</f>
        <v/>
      </c>
      <c r="D142" t="str">
        <f>_xlfn.XLOOKUP(A142,Order!R$12:R$859,Order!B$12:B$859,"")</f>
        <v/>
      </c>
      <c r="E142" t="str">
        <f>_xlfn.XLOOKUP(A142,Order!R$12:R$859,Order!P$12:P$859,"")</f>
        <v/>
      </c>
      <c r="F142" t="str">
        <f>_xlfn.XLOOKUP(A142,Order!R$12:R$859,Order!T$12:T$859,"")</f>
        <v/>
      </c>
      <c r="G142" t="str">
        <f>_xlfn.XLOOKUP(A142,Order!R$12:R$859,Order!U$12:U$859,"")</f>
        <v/>
      </c>
      <c r="H142" t="str">
        <f>_xlfn.XLOOKUP(A142,Order!R$12:R$859,Order!B$12:B$859,"")</f>
        <v/>
      </c>
      <c r="I142" t="str">
        <f>_xlfn.XLOOKUP(A142,Order!R$12:R$859,Order!V$12:V$859,"")</f>
        <v/>
      </c>
      <c r="J142" t="str">
        <f>IFERROR(RANK(F142,F$14:F$213,1)+COUNTIF(F$14:F142,F142)-1,"")</f>
        <v/>
      </c>
      <c r="L142" t="str">
        <f t="shared" si="66"/>
        <v/>
      </c>
      <c r="M142" t="str" cm="1">
        <f t="array" ref="M142">_xlfn.XLOOKUP(A142,J$14:J341,B$14:B341,"")</f>
        <v/>
      </c>
      <c r="N142" t="str" cm="1">
        <f t="array" ref="N142">_xlfn.XLOOKUP(A142,J$14:J341,C$14:C341,"")</f>
        <v/>
      </c>
      <c r="O142" t="str" cm="1">
        <f t="array" ref="O142">_xlfn.XLOOKUP(A142,J$14:J341,E$14:E341,"")</f>
        <v/>
      </c>
      <c r="P142" t="str" cm="1">
        <f t="array" ref="P142">_xlfn.XLOOKUP(A142,J$14:J341,G$14:G341,"")</f>
        <v/>
      </c>
      <c r="Q142" t="str" cm="1">
        <f t="array" ref="Q142">_xlfn.XLOOKUP(A142,J$14:J341,F$14:F341,"")</f>
        <v/>
      </c>
      <c r="R142" t="str" cm="1">
        <f t="array" ref="R142">_xlfn.XLOOKUP(A142,J$14:J341,I$14:I341,"")</f>
        <v/>
      </c>
      <c r="S142" t="str" cm="1">
        <f t="array" ref="S142">_xlfn.XLOOKUP(A142,J$14:J341,H$14:H341,"")</f>
        <v/>
      </c>
      <c r="T142" t="str" cm="1">
        <f t="array" ref="T142">VLOOKUP(ROW(129:129),L$14:S$163,8)</f>
        <v/>
      </c>
      <c r="U142" t="str" cm="1">
        <f t="array" ref="U142">VLOOKUP(ROW(129:129),L$14:M$163,2)</f>
        <v/>
      </c>
      <c r="V142" t="str" cm="1">
        <f t="array" ref="V142">VLOOKUP(ROW(129:129),L$14:O$163,4)</f>
        <v/>
      </c>
      <c r="W142" t="str" cm="1">
        <f t="array" ref="W142">VLOOKUP(ROW(129:129),L$14:Q$163,6)</f>
        <v/>
      </c>
      <c r="X142" cm="1">
        <f t="array" ref="X142">IFERROR(VLOOKUP(ROW(129:129),L$14:P$213,5)+0,0)</f>
        <v>0</v>
      </c>
      <c r="Y142" t="str" cm="1">
        <f t="array" ref="Y142">VLOOKUP(ROW(129:129),L$14:R$163,7)</f>
        <v/>
      </c>
      <c r="Z142">
        <f>IF(Y142&lt;-2,X142+MAX(Z$14:Z141),0)</f>
        <v>0</v>
      </c>
      <c r="AA142">
        <f>IFERROR(IF(AND(SUM(AA143:AA$214)+X142&lt;=Z$10,W142&lt;=Z$12,Z142=0),X142,0),0)</f>
        <v>0</v>
      </c>
      <c r="AB142">
        <f>IFERROR(IF(AND(W142&lt;=Z$12+10,AB$12-X142&gt;=0,SUM(Z142:AA142)=0,SUM(AB$14:AB141)+X142&lt;AB$12),X142,0),0)</f>
        <v>0</v>
      </c>
      <c r="AD142">
        <f>IF(AND(Y142=-2,SUM(Z142:AB142)=0),X142+MAX(AD$14:AD141),0)</f>
        <v>0</v>
      </c>
      <c r="AE142">
        <f>IFERROR(IF(AND(SUM(AE143:AE$214)+X142&lt;=AD$10,W142&lt;=AD$12,SUM(Z142:AD142)=0),X142,0),0)</f>
        <v>0</v>
      </c>
      <c r="AF142">
        <f>IFERROR(IF(AND(W142&lt;=AD$12+10,AF$12-X142&gt;=0,SUM(Z142:AE142)=0,SUM(AF$14:AF141)+X142&lt;AF$12),X142,0),0)</f>
        <v>0</v>
      </c>
      <c r="AG142">
        <f t="shared" ref="AG142:AG173" si="86">IF(SUM(Z142:AF142)&gt;0,0,X142)</f>
        <v>0</v>
      </c>
      <c r="AI142">
        <f t="shared" si="60"/>
        <v>0</v>
      </c>
      <c r="AJ142" s="493">
        <f t="shared" si="64"/>
        <v>0</v>
      </c>
      <c r="AK142">
        <f>IF(AJ142=0,0,IF(AJ141=0,MAX(AK$13:AK141)+1,IF(W142&lt;&gt;W141,MAX(AK$14:AK141)+1,IF(ROUNDDOWN(AJ142-0.01,0)=ROUNDDOWN(AJ141-0.01,0),AK141,AK141+1))))</f>
        <v>0</v>
      </c>
      <c r="AL142">
        <f t="shared" si="61"/>
        <v>0</v>
      </c>
      <c r="AM142">
        <f t="shared" si="62"/>
        <v>0</v>
      </c>
      <c r="AN142">
        <f>IF(AM142&gt;AN$12,IF(AK142=AK141,AN141,MAX(AN$13:AN141)+1),0)</f>
        <v>0</v>
      </c>
      <c r="AP142">
        <f t="shared" ref="AP142:AP173" si="87">IF(AN142+AI142&gt;0,0,X142)</f>
        <v>0</v>
      </c>
      <c r="AQ142">
        <f>IF(AP142&gt;0,IF(MAX(AQ143:AQ$214)+AP142&gt;ROUNDUP(MAX(AQ143:AQ$214),0),ROUNDUP(MAX(AQ143:AQ$214),0)+AP142,MAX(AQ143:AQ$214)+AP142),0)</f>
        <v>0</v>
      </c>
      <c r="AR142">
        <f t="shared" si="63"/>
        <v>0</v>
      </c>
      <c r="AS142">
        <f t="shared" ref="AS142:AS173" si="88">_xlfn.MAXIFS(W142:W341,AR142:AR341,AR142)</f>
        <v>0</v>
      </c>
      <c r="AT142">
        <f t="shared" ref="AT142:AT173" si="89">_xlfn.SINGLE(_xlfn.XLOOKUP(AR142,BK$4:BK$48,BJ$4:BJ$48,0))</f>
        <v>10</v>
      </c>
      <c r="AV142">
        <v>22</v>
      </c>
      <c r="AW142">
        <f t="shared" si="82"/>
        <v>0</v>
      </c>
      <c r="AX142">
        <f t="shared" si="83"/>
        <v>0</v>
      </c>
      <c r="AY142" s="496">
        <f>IF(AND(AX142=AX$120,SUM(AY$121:AY141)=0,AW142=AZ$120,AX$120&lt;&gt;0),AV142,)</f>
        <v>0</v>
      </c>
      <c r="AZ142">
        <f>IF(AND(SUM(AZ$121:AZ141)=0,SUM($AY142:AY142)=0,$AX142&lt;=AY$156,$AX142&gt;0,$AW142&gt;-1),$AV142,0)</f>
        <v>0</v>
      </c>
      <c r="BA142">
        <f>IF(AND(SUM(BA$121:BA141)=0,SUM($AY142:AZ142)=0,$AX142&lt;=AZ$156,$AX142&gt;0,$AW142&gt;-1),$AV142,0)</f>
        <v>0</v>
      </c>
      <c r="BB142">
        <f>IF(AND(SUM(BB$121:BB141)=0,SUM($AY142:BA142)=0,$AX142&lt;=BA$156,$AX142&gt;0,$AW142&gt;-1),$AV142,0)</f>
        <v>0</v>
      </c>
      <c r="BC142">
        <f>IF(AND(SUM(BC$121:BC141)=0,SUM($AY142:BB142)=0,$AX142&lt;=BB$156,$AX142&gt;0,$AW142&gt;-1),$AV142,0)</f>
        <v>0</v>
      </c>
      <c r="BD142">
        <f>IF(AND(SUM(BD$121:BD141)=0,SUM($AY142:BC142)=0,$AX142&lt;=BC$156,$AX142&gt;0,$AW142&gt;-1),$AV142,0)</f>
        <v>0</v>
      </c>
      <c r="BE142">
        <f>IF(AND(SUM(BE$121:BE141)=0,SUM($AY142:BD142)=0,$AX142&lt;=BD$156,$AX142&gt;0,$AW142&gt;-1),$AV142,0)</f>
        <v>0</v>
      </c>
      <c r="BF142">
        <f>IF(AND(SUM(BF$121:BF141)=0,SUM($AY142:BE142)=0,$AX142&lt;=BE$156,$AX142&gt;0,$AW142&gt;-1),$AV142,0)</f>
        <v>0</v>
      </c>
      <c r="BG142">
        <f t="shared" si="81"/>
        <v>0</v>
      </c>
      <c r="BH142" s="494">
        <f t="shared" si="84"/>
        <v>0</v>
      </c>
      <c r="BI142">
        <f t="shared" si="85"/>
        <v>0</v>
      </c>
    </row>
    <row r="143" spans="1:61" x14ac:dyDescent="0.25">
      <c r="A143">
        <v>130</v>
      </c>
      <c r="B143" t="str">
        <f>_xlfn.XLOOKUP(A143,Order!R$12:R$859,Order!C$12:C$859,"")</f>
        <v/>
      </c>
      <c r="C143" t="str">
        <f>_xlfn.XLOOKUP(A143,Order!R$12:R$859,Order!S$12:S$859,"")</f>
        <v/>
      </c>
      <c r="D143" t="str">
        <f>_xlfn.XLOOKUP(A143,Order!R$12:R$859,Order!B$12:B$859,"")</f>
        <v/>
      </c>
      <c r="E143" t="str">
        <f>_xlfn.XLOOKUP(A143,Order!R$12:R$859,Order!P$12:P$859,"")</f>
        <v/>
      </c>
      <c r="F143" t="str">
        <f>_xlfn.XLOOKUP(A143,Order!R$12:R$859,Order!T$12:T$859,"")</f>
        <v/>
      </c>
      <c r="G143" t="str">
        <f>_xlfn.XLOOKUP(A143,Order!R$12:R$859,Order!U$12:U$859,"")</f>
        <v/>
      </c>
      <c r="H143" t="str">
        <f>_xlfn.XLOOKUP(A143,Order!R$12:R$859,Order!B$12:B$859,"")</f>
        <v/>
      </c>
      <c r="I143" t="str">
        <f>_xlfn.XLOOKUP(A143,Order!R$12:R$859,Order!V$12:V$859,"")</f>
        <v/>
      </c>
      <c r="J143" t="str">
        <f>IFERROR(RANK(F143,F$14:F$213,1)+COUNTIF(F$14:F143,F143)-1,"")</f>
        <v/>
      </c>
      <c r="L143" t="str">
        <f t="shared" si="66"/>
        <v/>
      </c>
      <c r="M143" t="str" cm="1">
        <f t="array" ref="M143">_xlfn.XLOOKUP(A143,J$14:J342,B$14:B342,"")</f>
        <v/>
      </c>
      <c r="N143" t="str" cm="1">
        <f t="array" ref="N143">_xlfn.XLOOKUP(A143,J$14:J342,C$14:C342,"")</f>
        <v/>
      </c>
      <c r="O143" t="str" cm="1">
        <f t="array" ref="O143">_xlfn.XLOOKUP(A143,J$14:J342,E$14:E342,"")</f>
        <v/>
      </c>
      <c r="P143" t="str" cm="1">
        <f t="array" ref="P143">_xlfn.XLOOKUP(A143,J$14:J342,G$14:G342,"")</f>
        <v/>
      </c>
      <c r="Q143" t="str" cm="1">
        <f t="array" ref="Q143">_xlfn.XLOOKUP(A143,J$14:J342,F$14:F342,"")</f>
        <v/>
      </c>
      <c r="R143" t="str" cm="1">
        <f t="array" ref="R143">_xlfn.XLOOKUP(A143,J$14:J342,I$14:I342,"")</f>
        <v/>
      </c>
      <c r="S143" t="str" cm="1">
        <f t="array" ref="S143">_xlfn.XLOOKUP(A143,J$14:J342,H$14:H342,"")</f>
        <v/>
      </c>
      <c r="T143" t="str" cm="1">
        <f t="array" ref="T143">VLOOKUP(ROW(130:130),L$14:S$163,8)</f>
        <v/>
      </c>
      <c r="U143" t="str" cm="1">
        <f t="array" ref="U143">VLOOKUP(ROW(130:130),L$14:M$163,2)</f>
        <v/>
      </c>
      <c r="V143" t="str" cm="1">
        <f t="array" ref="V143">VLOOKUP(ROW(130:130),L$14:O$163,4)</f>
        <v/>
      </c>
      <c r="W143" t="str" cm="1">
        <f t="array" ref="W143">VLOOKUP(ROW(130:130),L$14:Q$163,6)</f>
        <v/>
      </c>
      <c r="X143" cm="1">
        <f t="array" ref="X143">IFERROR(VLOOKUP(ROW(130:130),L$14:P$213,5)+0,0)</f>
        <v>0</v>
      </c>
      <c r="Y143" t="str" cm="1">
        <f t="array" ref="Y143">VLOOKUP(ROW(130:130),L$14:R$163,7)</f>
        <v/>
      </c>
      <c r="Z143">
        <f>IF(Y143&lt;-2,X143+MAX(Z$14:Z142),0)</f>
        <v>0</v>
      </c>
      <c r="AA143">
        <f>IFERROR(IF(AND(SUM(AA144:AA$214)+X143&lt;=Z$10,W143&lt;=Z$12,Z143=0),X143,0),0)</f>
        <v>0</v>
      </c>
      <c r="AB143">
        <f>IFERROR(IF(AND(W143&lt;=Z$12+10,AB$12-X143&gt;=0,SUM(Z143:AA143)=0,SUM(AB$14:AB142)+X143&lt;AB$12),X143,0),0)</f>
        <v>0</v>
      </c>
      <c r="AD143">
        <f>IF(AND(Y143=-2,SUM(Z143:AB143)=0),X143+MAX(AD$14:AD142),0)</f>
        <v>0</v>
      </c>
      <c r="AE143">
        <f>IFERROR(IF(AND(SUM(AE144:AE$214)+X143&lt;=AD$10,W143&lt;=AD$12,SUM(Z143:AD143)=0),X143,0),0)</f>
        <v>0</v>
      </c>
      <c r="AF143">
        <f>IFERROR(IF(AND(W143&lt;=AD$12+10,AF$12-X143&gt;=0,SUM(Z143:AE143)=0,SUM(AF$14:AF142)+X143&lt;AF$12),X143,0),0)</f>
        <v>0</v>
      </c>
      <c r="AG143">
        <f t="shared" si="86"/>
        <v>0</v>
      </c>
      <c r="AI143">
        <f t="shared" ref="AI143:AI206" si="90">ROUNDUP(Z143,0)+IF(SUM(AA143:AB143)&gt;0,AB$10,0)+IF(AD143&gt;0,ROUNDUP(AD143+AB$10,0),0)+IF(SUM(AE143:AF143)&gt;0,AE$10,0)</f>
        <v>0</v>
      </c>
      <c r="AJ143" s="493">
        <f t="shared" si="64"/>
        <v>0</v>
      </c>
      <c r="AK143">
        <f>IF(AJ143=0,0,IF(AJ142=0,MAX(AK$13:AK142)+1,IF(W143&lt;&gt;W142,MAX(AK$14:AK142)+1,IF(ROUNDDOWN(AJ143-0.01,0)=ROUNDDOWN(AJ142-0.01,0),AK142,AK142+1))))</f>
        <v>0</v>
      </c>
      <c r="AL143">
        <f t="shared" ref="AL143:AL206" si="91">_xlfn.MAXIFS(AJ$14:AJ$213,AK$14:AK$213,AK143)</f>
        <v>0</v>
      </c>
      <c r="AM143">
        <f t="shared" ref="AM143:AM206" si="92">IF(AL143&gt;1,AL143-ROUNDDOWN(AL143,0),AL143)</f>
        <v>0</v>
      </c>
      <c r="AN143">
        <f>IF(AM143&gt;AN$12,IF(AK143=AK142,AN142,MAX(AN$13:AN142)+1),0)</f>
        <v>0</v>
      </c>
      <c r="AP143">
        <f t="shared" si="87"/>
        <v>0</v>
      </c>
      <c r="AQ143">
        <f>IF(AP143&gt;0,IF(MAX(AQ144:AQ$214)+AP143&gt;ROUNDUP(MAX(AQ144:AQ$214),0),ROUNDUP(MAX(AQ144:AQ$214),0)+AP143,MAX(AQ144:AQ$214)+AP143),0)</f>
        <v>0</v>
      </c>
      <c r="AR143">
        <f t="shared" ref="AR143:AR206" si="93">IF(AP143&gt;0,ROUNDUP(AQ143,0)+AR$12,IF(AN143&gt;0,AN143,0)+AI143)</f>
        <v>0</v>
      </c>
      <c r="AS143">
        <f t="shared" si="88"/>
        <v>0</v>
      </c>
      <c r="AT143">
        <f t="shared" si="89"/>
        <v>10</v>
      </c>
      <c r="AV143">
        <v>23</v>
      </c>
      <c r="AW143">
        <f t="shared" si="82"/>
        <v>0</v>
      </c>
      <c r="AX143">
        <f t="shared" si="83"/>
        <v>0</v>
      </c>
      <c r="AY143" s="496">
        <f>IF(AND(AX143=AX$120,SUM(AY$121:AY142)=0,AW143=AZ$120,AX$120&lt;&gt;0),AV143,)</f>
        <v>0</v>
      </c>
      <c r="AZ143">
        <f>IF(AND(SUM(AZ$121:AZ142)=0,SUM($AY143:AY143)=0,$AX143&lt;=AY$156,$AX143&gt;0,$AW143&gt;-1),$AV143,0)</f>
        <v>0</v>
      </c>
      <c r="BA143">
        <f>IF(AND(SUM(BA$121:BA142)=0,SUM($AY143:AZ143)=0,$AX143&lt;=AZ$156,$AX143&gt;0,$AW143&gt;-1),$AV143,0)</f>
        <v>0</v>
      </c>
      <c r="BB143">
        <f>IF(AND(SUM(BB$121:BB142)=0,SUM($AY143:BA143)=0,$AX143&lt;=BA$156,$AX143&gt;0,$AW143&gt;-1),$AV143,0)</f>
        <v>0</v>
      </c>
      <c r="BC143">
        <f>IF(AND(SUM(BC$121:BC142)=0,SUM($AY143:BB143)=0,$AX143&lt;=BB$156,$AX143&gt;0,$AW143&gt;-1),$AV143,0)</f>
        <v>0</v>
      </c>
      <c r="BD143">
        <f>IF(AND(SUM(BD$121:BD142)=0,SUM($AY143:BC143)=0,$AX143&lt;=BC$156,$AX143&gt;0,$AW143&gt;-1),$AV143,0)</f>
        <v>0</v>
      </c>
      <c r="BE143">
        <f>IF(AND(SUM(BE$121:BE142)=0,SUM($AY143:BD143)=0,$AX143&lt;=BD$156,$AX143&gt;0,$AW143&gt;-1),$AV143,0)</f>
        <v>0</v>
      </c>
      <c r="BF143">
        <f>IF(AND(SUM(BF$121:BF142)=0,SUM($AY143:BE143)=0,$AX143&lt;=BE$156,$AX143&gt;0,$AW143&gt;-1),$AV143,0)</f>
        <v>0</v>
      </c>
      <c r="BG143">
        <f t="shared" si="81"/>
        <v>0</v>
      </c>
      <c r="BH143" s="494">
        <f t="shared" si="84"/>
        <v>0</v>
      </c>
      <c r="BI143">
        <f t="shared" si="85"/>
        <v>0</v>
      </c>
    </row>
    <row r="144" spans="1:61" x14ac:dyDescent="0.25">
      <c r="A144">
        <v>131</v>
      </c>
      <c r="B144" t="str">
        <f>_xlfn.XLOOKUP(A144,Order!R$12:R$859,Order!C$12:C$859,"")</f>
        <v/>
      </c>
      <c r="C144" t="str">
        <f>_xlfn.XLOOKUP(A144,Order!R$12:R$859,Order!S$12:S$859,"")</f>
        <v/>
      </c>
      <c r="D144" t="str">
        <f>_xlfn.XLOOKUP(A144,Order!R$12:R$859,Order!B$12:B$859,"")</f>
        <v/>
      </c>
      <c r="E144" t="str">
        <f>_xlfn.XLOOKUP(A144,Order!R$12:R$859,Order!P$12:P$859,"")</f>
        <v/>
      </c>
      <c r="F144" t="str">
        <f>_xlfn.XLOOKUP(A144,Order!R$12:R$859,Order!T$12:T$859,"")</f>
        <v/>
      </c>
      <c r="G144" t="str">
        <f>_xlfn.XLOOKUP(A144,Order!R$12:R$859,Order!U$12:U$859,"")</f>
        <v/>
      </c>
      <c r="H144" t="str">
        <f>_xlfn.XLOOKUP(A144,Order!R$12:R$859,Order!B$12:B$859,"")</f>
        <v/>
      </c>
      <c r="I144" t="str">
        <f>_xlfn.XLOOKUP(A144,Order!R$12:R$859,Order!V$12:V$859,"")</f>
        <v/>
      </c>
      <c r="J144" t="str">
        <f>IFERROR(RANK(F144,F$14:F$213,1)+COUNTIF(F$14:F144,F144)-1,"")</f>
        <v/>
      </c>
      <c r="L144" t="str">
        <f t="shared" si="66"/>
        <v/>
      </c>
      <c r="M144" t="str" cm="1">
        <f t="array" ref="M144">_xlfn.XLOOKUP(A144,J$14:J343,B$14:B343,"")</f>
        <v/>
      </c>
      <c r="N144" t="str" cm="1">
        <f t="array" ref="N144">_xlfn.XLOOKUP(A144,J$14:J343,C$14:C343,"")</f>
        <v/>
      </c>
      <c r="O144" t="str" cm="1">
        <f t="array" ref="O144">_xlfn.XLOOKUP(A144,J$14:J343,E$14:E343,"")</f>
        <v/>
      </c>
      <c r="P144" t="str" cm="1">
        <f t="array" ref="P144">_xlfn.XLOOKUP(A144,J$14:J343,G$14:G343,"")</f>
        <v/>
      </c>
      <c r="Q144" t="str" cm="1">
        <f t="array" ref="Q144">_xlfn.XLOOKUP(A144,J$14:J343,F$14:F343,"")</f>
        <v/>
      </c>
      <c r="R144" t="str" cm="1">
        <f t="array" ref="R144">_xlfn.XLOOKUP(A144,J$14:J343,I$14:I343,"")</f>
        <v/>
      </c>
      <c r="S144" t="str" cm="1">
        <f t="array" ref="S144">_xlfn.XLOOKUP(A144,J$14:J343,H$14:H343,"")</f>
        <v/>
      </c>
      <c r="T144" t="str" cm="1">
        <f t="array" ref="T144">VLOOKUP(ROW(131:131),L$14:S$163,8)</f>
        <v/>
      </c>
      <c r="U144" t="str" cm="1">
        <f t="array" ref="U144">VLOOKUP(ROW(131:131),L$14:M$163,2)</f>
        <v/>
      </c>
      <c r="V144" t="str" cm="1">
        <f t="array" ref="V144">VLOOKUP(ROW(131:131),L$14:O$163,4)</f>
        <v/>
      </c>
      <c r="W144" t="str" cm="1">
        <f t="array" ref="W144">VLOOKUP(ROW(131:131),L$14:Q$163,6)</f>
        <v/>
      </c>
      <c r="X144" cm="1">
        <f t="array" ref="X144">IFERROR(VLOOKUP(ROW(131:131),L$14:P$213,5)+0,0)</f>
        <v>0</v>
      </c>
      <c r="Y144" t="str" cm="1">
        <f t="array" ref="Y144">VLOOKUP(ROW(131:131),L$14:R$163,7)</f>
        <v/>
      </c>
      <c r="Z144">
        <f>IF(Y144&lt;-2,X144+MAX(Z$14:Z143),0)</f>
        <v>0</v>
      </c>
      <c r="AA144">
        <f>IFERROR(IF(AND(SUM(AA145:AA$214)+X144&lt;=Z$10,W144&lt;=Z$12,Z144=0),X144,0),0)</f>
        <v>0</v>
      </c>
      <c r="AB144">
        <f>IFERROR(IF(AND(W144&lt;=Z$12+10,AB$12-X144&gt;=0,SUM(Z144:AA144)=0,SUM(AB$14:AB143)+X144&lt;AB$12),X144,0),0)</f>
        <v>0</v>
      </c>
      <c r="AD144">
        <f>IF(AND(Y144=-2,SUM(Z144:AB144)=0),X144+MAX(AD$14:AD143),0)</f>
        <v>0</v>
      </c>
      <c r="AE144">
        <f>IFERROR(IF(AND(SUM(AE145:AE$214)+X144&lt;=AD$10,W144&lt;=AD$12,SUM(Z144:AD144)=0),X144,0),0)</f>
        <v>0</v>
      </c>
      <c r="AF144">
        <f>IFERROR(IF(AND(W144&lt;=AD$12+10,AF$12-X144&gt;=0,SUM(Z144:AE144)=0,SUM(AF$14:AF143)+X144&lt;AF$12),X144,0),0)</f>
        <v>0</v>
      </c>
      <c r="AG144">
        <f t="shared" si="86"/>
        <v>0</v>
      </c>
      <c r="AI144">
        <f t="shared" si="90"/>
        <v>0</v>
      </c>
      <c r="AJ144" s="493">
        <f t="shared" ref="AJ144:AJ207" si="94">IF(AG144=0,0,IF(W144&lt;&gt;W143,AG144,IF(AG144+AJ143&gt;ROUNDUP(AJ143,0),ROUNDUP(AJ143,0)+AG144,AJ143+AG144)))</f>
        <v>0</v>
      </c>
      <c r="AK144">
        <f>IF(AJ144=0,0,IF(AJ143=0,MAX(AK$13:AK143)+1,IF(W144&lt;&gt;W143,MAX(AK$14:AK143)+1,IF(ROUNDDOWN(AJ144-0.01,0)=ROUNDDOWN(AJ143-0.01,0),AK143,AK143+1))))</f>
        <v>0</v>
      </c>
      <c r="AL144">
        <f t="shared" si="91"/>
        <v>0</v>
      </c>
      <c r="AM144">
        <f t="shared" si="92"/>
        <v>0</v>
      </c>
      <c r="AN144">
        <f>IF(AM144&gt;AN$12,IF(AK144=AK143,AN143,MAX(AN$13:AN143)+1),0)</f>
        <v>0</v>
      </c>
      <c r="AP144">
        <f t="shared" si="87"/>
        <v>0</v>
      </c>
      <c r="AQ144">
        <f>IF(AP144&gt;0,IF(MAX(AQ145:AQ$214)+AP144&gt;ROUNDUP(MAX(AQ145:AQ$214),0),ROUNDUP(MAX(AQ145:AQ$214),0)+AP144,MAX(AQ145:AQ$214)+AP144),0)</f>
        <v>0</v>
      </c>
      <c r="AR144">
        <f t="shared" si="93"/>
        <v>0</v>
      </c>
      <c r="AS144">
        <f t="shared" si="88"/>
        <v>0</v>
      </c>
      <c r="AT144">
        <f t="shared" si="89"/>
        <v>10</v>
      </c>
      <c r="AV144">
        <v>24</v>
      </c>
      <c r="AW144">
        <f t="shared" si="82"/>
        <v>0</v>
      </c>
      <c r="AX144">
        <f t="shared" si="83"/>
        <v>0</v>
      </c>
      <c r="AY144" s="496">
        <f>IF(AND(AX144=AX$120,SUM(AY$121:AY143)=0,AW144=AZ$120,AX$120&lt;&gt;0),AV144,)</f>
        <v>0</v>
      </c>
      <c r="AZ144">
        <f>IF(AND(SUM(AZ$121:AZ143)=0,SUM($AY144:AY144)=0,$AX144&lt;=AY$156,$AX144&gt;0,$AW144&gt;-1),$AV144,0)</f>
        <v>0</v>
      </c>
      <c r="BA144">
        <f>IF(AND(SUM(BA$121:BA143)=0,SUM($AY144:AZ144)=0,$AX144&lt;=AZ$156,$AX144&gt;0,$AW144&gt;-1),$AV144,0)</f>
        <v>0</v>
      </c>
      <c r="BB144">
        <f>IF(AND(SUM(BB$121:BB143)=0,SUM($AY144:BA144)=0,$AX144&lt;=BA$156,$AX144&gt;0,$AW144&gt;-1),$AV144,0)</f>
        <v>0</v>
      </c>
      <c r="BC144">
        <f>IF(AND(SUM(BC$121:BC143)=0,SUM($AY144:BB144)=0,$AX144&lt;=BB$156,$AX144&gt;0,$AW144&gt;-1),$AV144,0)</f>
        <v>0</v>
      </c>
      <c r="BD144">
        <f>IF(AND(SUM(BD$121:BD143)=0,SUM($AY144:BC144)=0,$AX144&lt;=BC$156,$AX144&gt;0,$AW144&gt;-1),$AV144,0)</f>
        <v>0</v>
      </c>
      <c r="BE144">
        <f>IF(AND(SUM(BE$121:BE143)=0,SUM($AY144:BD144)=0,$AX144&lt;=BD$156,$AX144&gt;0,$AW144&gt;-1),$AV144,0)</f>
        <v>0</v>
      </c>
      <c r="BF144">
        <f>IF(AND(SUM(BF$121:BF143)=0,SUM($AY144:BE144)=0,$AX144&lt;=BE$156,$AX144&gt;0,$AW144&gt;-1),$AV144,0)</f>
        <v>0</v>
      </c>
      <c r="BG144">
        <f t="shared" si="81"/>
        <v>0</v>
      </c>
      <c r="BH144" s="494">
        <f t="shared" si="84"/>
        <v>0</v>
      </c>
      <c r="BI144">
        <f>IF(AND(BG$154=AV144,BH$152&gt;0),AX144,IF(BH$153=AV144,0,BG144))+IF(AND(SUM(AZ144:BF144)=0,AW144=-1),AX144,0)</f>
        <v>0</v>
      </c>
    </row>
    <row r="145" spans="1:61" x14ac:dyDescent="0.25">
      <c r="A145">
        <v>132</v>
      </c>
      <c r="B145" t="str">
        <f>_xlfn.XLOOKUP(A145,Order!R$12:R$859,Order!C$12:C$859,"")</f>
        <v/>
      </c>
      <c r="C145" t="str">
        <f>_xlfn.XLOOKUP(A145,Order!R$12:R$859,Order!S$12:S$859,"")</f>
        <v/>
      </c>
      <c r="D145" t="str">
        <f>_xlfn.XLOOKUP(A145,Order!R$12:R$859,Order!B$12:B$859,"")</f>
        <v/>
      </c>
      <c r="E145" t="str">
        <f>_xlfn.XLOOKUP(A145,Order!R$12:R$859,Order!P$12:P$859,"")</f>
        <v/>
      </c>
      <c r="F145" t="str">
        <f>_xlfn.XLOOKUP(A145,Order!R$12:R$859,Order!T$12:T$859,"")</f>
        <v/>
      </c>
      <c r="G145" t="str">
        <f>_xlfn.XLOOKUP(A145,Order!R$12:R$859,Order!U$12:U$859,"")</f>
        <v/>
      </c>
      <c r="H145" t="str">
        <f>_xlfn.XLOOKUP(A145,Order!R$12:R$859,Order!B$12:B$859,"")</f>
        <v/>
      </c>
      <c r="I145" t="str">
        <f>_xlfn.XLOOKUP(A145,Order!R$12:R$859,Order!V$12:V$859,"")</f>
        <v/>
      </c>
      <c r="J145" t="str">
        <f>IFERROR(RANK(F145,F$14:F$213,1)+COUNTIF(F$14:F145,F145)-1,"")</f>
        <v/>
      </c>
      <c r="L145" t="str">
        <f t="shared" si="66"/>
        <v/>
      </c>
      <c r="M145" t="str" cm="1">
        <f t="array" ref="M145">_xlfn.XLOOKUP(A145,J$14:J344,B$14:B344,"")</f>
        <v/>
      </c>
      <c r="N145" t="str" cm="1">
        <f t="array" ref="N145">_xlfn.XLOOKUP(A145,J$14:J344,C$14:C344,"")</f>
        <v/>
      </c>
      <c r="O145" t="str" cm="1">
        <f t="array" ref="O145">_xlfn.XLOOKUP(A145,J$14:J344,E$14:E344,"")</f>
        <v/>
      </c>
      <c r="P145" t="str" cm="1">
        <f t="array" ref="P145">_xlfn.XLOOKUP(A145,J$14:J344,G$14:G344,"")</f>
        <v/>
      </c>
      <c r="Q145" t="str" cm="1">
        <f t="array" ref="Q145">_xlfn.XLOOKUP(A145,J$14:J344,F$14:F344,"")</f>
        <v/>
      </c>
      <c r="R145" t="str" cm="1">
        <f t="array" ref="R145">_xlfn.XLOOKUP(A145,J$14:J344,I$14:I344,"")</f>
        <v/>
      </c>
      <c r="S145" t="str" cm="1">
        <f t="array" ref="S145">_xlfn.XLOOKUP(A145,J$14:J344,H$14:H344,"")</f>
        <v/>
      </c>
      <c r="T145" t="str" cm="1">
        <f t="array" ref="T145">VLOOKUP(ROW(132:132),L$14:S$163,8)</f>
        <v/>
      </c>
      <c r="U145" t="str" cm="1">
        <f t="array" ref="U145">VLOOKUP(ROW(132:132),L$14:M$163,2)</f>
        <v/>
      </c>
      <c r="V145" t="str" cm="1">
        <f t="array" ref="V145">VLOOKUP(ROW(132:132),L$14:O$163,4)</f>
        <v/>
      </c>
      <c r="W145" t="str" cm="1">
        <f t="array" ref="W145">VLOOKUP(ROW(132:132),L$14:Q$163,6)</f>
        <v/>
      </c>
      <c r="X145" cm="1">
        <f t="array" ref="X145">IFERROR(VLOOKUP(ROW(132:132),L$14:P$213,5)+0,0)</f>
        <v>0</v>
      </c>
      <c r="Y145" t="str" cm="1">
        <f t="array" ref="Y145">VLOOKUP(ROW(132:132),L$14:R$163,7)</f>
        <v/>
      </c>
      <c r="Z145">
        <f>IF(Y145&lt;-2,X145+MAX(Z$14:Z144),0)</f>
        <v>0</v>
      </c>
      <c r="AA145">
        <f>IFERROR(IF(AND(SUM(AA146:AA$214)+X145&lt;=Z$10,W145&lt;=Z$12,Z145=0),X145,0),0)</f>
        <v>0</v>
      </c>
      <c r="AB145">
        <f>IFERROR(IF(AND(W145&lt;=Z$12+10,AB$12-X145&gt;=0,SUM(Z145:AA145)=0,SUM(AB$14:AB144)+X145&lt;AB$12),X145,0),0)</f>
        <v>0</v>
      </c>
      <c r="AD145">
        <f>IF(AND(Y145=-2,SUM(Z145:AB145)=0),X145+MAX(AD$14:AD144),0)</f>
        <v>0</v>
      </c>
      <c r="AE145">
        <f>IFERROR(IF(AND(SUM(AE146:AE$214)+X145&lt;=AD$10,W145&lt;=AD$12,SUM(Z145:AD145)=0),X145,0),0)</f>
        <v>0</v>
      </c>
      <c r="AF145">
        <f>IFERROR(IF(AND(W145&lt;=AD$12+10,AF$12-X145&gt;=0,SUM(Z145:AE145)=0,SUM(AF$14:AF144)+X145&lt;AF$12),X145,0),0)</f>
        <v>0</v>
      </c>
      <c r="AG145">
        <f t="shared" si="86"/>
        <v>0</v>
      </c>
      <c r="AI145">
        <f t="shared" si="90"/>
        <v>0</v>
      </c>
      <c r="AJ145" s="493">
        <f t="shared" si="94"/>
        <v>0</v>
      </c>
      <c r="AK145">
        <f>IF(AJ145=0,0,IF(AJ144=0,MAX(AK$13:AK144)+1,IF(W145&lt;&gt;W144,MAX(AK$14:AK144)+1,IF(ROUNDDOWN(AJ145-0.01,0)=ROUNDDOWN(AJ144-0.01,0),AK144,AK144+1))))</f>
        <v>0</v>
      </c>
      <c r="AL145">
        <f t="shared" si="91"/>
        <v>0</v>
      </c>
      <c r="AM145">
        <f t="shared" si="92"/>
        <v>0</v>
      </c>
      <c r="AN145">
        <f>IF(AM145&gt;AN$12,IF(AK145=AK144,AN144,MAX(AN$13:AN144)+1),0)</f>
        <v>0</v>
      </c>
      <c r="AP145">
        <f t="shared" si="87"/>
        <v>0</v>
      </c>
      <c r="AQ145">
        <f>IF(AP145&gt;0,IF(MAX(AQ146:AQ$214)+AP145&gt;ROUNDUP(MAX(AQ146:AQ$214),0),ROUNDUP(MAX(AQ146:AQ$214),0)+AP145,MAX(AQ146:AQ$214)+AP145),0)</f>
        <v>0</v>
      </c>
      <c r="AR145">
        <f t="shared" si="93"/>
        <v>0</v>
      </c>
      <c r="AS145">
        <f t="shared" si="88"/>
        <v>0</v>
      </c>
      <c r="AT145">
        <f t="shared" si="89"/>
        <v>10</v>
      </c>
      <c r="AV145">
        <v>25</v>
      </c>
      <c r="AW145">
        <f t="shared" si="82"/>
        <v>0</v>
      </c>
      <c r="AX145">
        <f t="shared" si="83"/>
        <v>0</v>
      </c>
      <c r="AY145" s="496">
        <f>IF(AND(AX145=AX$120,SUM(AY$121:AY144)=0,AW145=AZ$120,AX$120&lt;&gt;0),AV145,)</f>
        <v>0</v>
      </c>
      <c r="AZ145">
        <f>IF(AND(SUM(AZ$121:AZ144)=0,SUM($AY145:AY145)=0,$AX145&lt;=AY$156,$AX145&gt;0,$AW145&gt;-1),$AV145,0)</f>
        <v>0</v>
      </c>
      <c r="BA145">
        <f>IF(AND(SUM(BA$121:BA144)=0,SUM($AY145:AZ145)=0,$AX145&lt;=AZ$156,$AX145&gt;0,$AW145&gt;-1),$AV145,0)</f>
        <v>0</v>
      </c>
      <c r="BB145">
        <f>IF(AND(SUM(BB$121:BB144)=0,SUM($AY145:BA145)=0,$AX145&lt;=BA$156,$AX145&gt;0,$AW145&gt;-1),$AV145,0)</f>
        <v>0</v>
      </c>
      <c r="BC145">
        <f>IF(AND(SUM(BC$121:BC144)=0,SUM($AY145:BB145)=0,$AX145&lt;=BB$156,$AX145&gt;0,$AW145&gt;-1),$AV145,0)</f>
        <v>0</v>
      </c>
      <c r="BD145">
        <f>IF(AND(SUM(BD$121:BD144)=0,SUM($AY145:BC145)=0,$AX145&lt;=BC$156,$AX145&gt;0,$AW145&gt;-1),$AV145,0)</f>
        <v>0</v>
      </c>
      <c r="BE145">
        <f>IF(AND(SUM(BE$121:BE144)=0,SUM($AY145:BD145)=0,$AX145&lt;=BD$156,$AX145&gt;0,$AW145&gt;-1),$AV145,0)</f>
        <v>0</v>
      </c>
      <c r="BF145">
        <f>IF(AND(SUM(BF$121:BF144)=0,SUM($AY145:BE145)=0,$AX145&lt;=BE$156,$AX145&gt;0,$AW145&gt;-1),$AV145,0)</f>
        <v>0</v>
      </c>
      <c r="BG145">
        <f t="shared" si="81"/>
        <v>0</v>
      </c>
      <c r="BH145" s="494">
        <f t="shared" si="84"/>
        <v>0</v>
      </c>
      <c r="BI145">
        <f t="shared" si="85"/>
        <v>0</v>
      </c>
    </row>
    <row r="146" spans="1:61" x14ac:dyDescent="0.25">
      <c r="A146">
        <v>133</v>
      </c>
      <c r="B146" t="str">
        <f>_xlfn.XLOOKUP(A146,Order!R$12:R$859,Order!C$12:C$859,"")</f>
        <v/>
      </c>
      <c r="C146" t="str">
        <f>_xlfn.XLOOKUP(A146,Order!R$12:R$859,Order!S$12:S$859,"")</f>
        <v/>
      </c>
      <c r="D146" t="str">
        <f>_xlfn.XLOOKUP(A146,Order!R$12:R$859,Order!B$12:B$859,"")</f>
        <v/>
      </c>
      <c r="E146" t="str">
        <f>_xlfn.XLOOKUP(A146,Order!R$12:R$859,Order!P$12:P$859,"")</f>
        <v/>
      </c>
      <c r="F146" t="str">
        <f>_xlfn.XLOOKUP(A146,Order!R$12:R$859,Order!T$12:T$859,"")</f>
        <v/>
      </c>
      <c r="G146" t="str">
        <f>_xlfn.XLOOKUP(A146,Order!R$12:R$859,Order!U$12:U$859,"")</f>
        <v/>
      </c>
      <c r="H146" t="str">
        <f>_xlfn.XLOOKUP(A146,Order!R$12:R$859,Order!B$12:B$859,"")</f>
        <v/>
      </c>
      <c r="I146" t="str">
        <f>_xlfn.XLOOKUP(A146,Order!R$12:R$859,Order!V$12:V$859,"")</f>
        <v/>
      </c>
      <c r="J146" t="str">
        <f>IFERROR(RANK(F146,F$14:F$213,1)+COUNTIF(F$14:F146,F146)-1,"")</f>
        <v/>
      </c>
      <c r="L146" t="str">
        <f t="shared" si="66"/>
        <v/>
      </c>
      <c r="M146" t="str" cm="1">
        <f t="array" ref="M146">_xlfn.XLOOKUP(A146,J$14:J345,B$14:B345,"")</f>
        <v/>
      </c>
      <c r="N146" t="str" cm="1">
        <f t="array" ref="N146">_xlfn.XLOOKUP(A146,J$14:J345,C$14:C345,"")</f>
        <v/>
      </c>
      <c r="O146" t="str" cm="1">
        <f t="array" ref="O146">_xlfn.XLOOKUP(A146,J$14:J345,E$14:E345,"")</f>
        <v/>
      </c>
      <c r="P146" t="str" cm="1">
        <f t="array" ref="P146">_xlfn.XLOOKUP(A146,J$14:J345,G$14:G345,"")</f>
        <v/>
      </c>
      <c r="Q146" t="str" cm="1">
        <f t="array" ref="Q146">_xlfn.XLOOKUP(A146,J$14:J345,F$14:F345,"")</f>
        <v/>
      </c>
      <c r="R146" t="str" cm="1">
        <f t="array" ref="R146">_xlfn.XLOOKUP(A146,J$14:J345,I$14:I345,"")</f>
        <v/>
      </c>
      <c r="S146" t="str" cm="1">
        <f t="array" ref="S146">_xlfn.XLOOKUP(A146,J$14:J345,H$14:H345,"")</f>
        <v/>
      </c>
      <c r="T146" t="str" cm="1">
        <f t="array" ref="T146">VLOOKUP(ROW(133:133),L$14:S$163,8)</f>
        <v/>
      </c>
      <c r="U146" t="str" cm="1">
        <f t="array" ref="U146">VLOOKUP(ROW(133:133),L$14:M$163,2)</f>
        <v/>
      </c>
      <c r="V146" t="str" cm="1">
        <f t="array" ref="V146">VLOOKUP(ROW(133:133),L$14:O$163,4)</f>
        <v/>
      </c>
      <c r="W146" t="str" cm="1">
        <f t="array" ref="W146">VLOOKUP(ROW(133:133),L$14:Q$163,6)</f>
        <v/>
      </c>
      <c r="X146" cm="1">
        <f t="array" ref="X146">IFERROR(VLOOKUP(ROW(133:133),L$14:P$213,5)+0,0)</f>
        <v>0</v>
      </c>
      <c r="Y146" t="str" cm="1">
        <f t="array" ref="Y146">VLOOKUP(ROW(133:133),L$14:R$163,7)</f>
        <v/>
      </c>
      <c r="Z146">
        <f>IF(Y146&lt;-2,X146+MAX(Z$14:Z145),0)</f>
        <v>0</v>
      </c>
      <c r="AA146">
        <f>IFERROR(IF(AND(SUM(AA147:AA$214)+X146&lt;=Z$10,W146&lt;=Z$12,Z146=0),X146,0),0)</f>
        <v>0</v>
      </c>
      <c r="AB146">
        <f>IFERROR(IF(AND(W146&lt;=Z$12+10,AB$12-X146&gt;=0,SUM(Z146:AA146)=0,SUM(AB$14:AB145)+X146&lt;AB$12),X146,0),0)</f>
        <v>0</v>
      </c>
      <c r="AD146">
        <f>IF(AND(Y146=-2,SUM(Z146:AB146)=0),X146+MAX(AD$14:AD145),0)</f>
        <v>0</v>
      </c>
      <c r="AE146">
        <f>IFERROR(IF(AND(SUM(AE147:AE$214)+X146&lt;=AD$10,W146&lt;=AD$12,SUM(Z146:AD146)=0),X146,0),0)</f>
        <v>0</v>
      </c>
      <c r="AF146">
        <f>IFERROR(IF(AND(W146&lt;=AD$12+10,AF$12-X146&gt;=0,SUM(Z146:AE146)=0,SUM(AF$14:AF145)+X146&lt;AF$12),X146,0),0)</f>
        <v>0</v>
      </c>
      <c r="AG146">
        <f t="shared" si="86"/>
        <v>0</v>
      </c>
      <c r="AI146">
        <f t="shared" si="90"/>
        <v>0</v>
      </c>
      <c r="AJ146" s="493">
        <f t="shared" si="94"/>
        <v>0</v>
      </c>
      <c r="AK146">
        <f>IF(AJ146=0,0,IF(AJ145=0,MAX(AK$13:AK145)+1,IF(W146&lt;&gt;W145,MAX(AK$14:AK145)+1,IF(ROUNDDOWN(AJ146-0.01,0)=ROUNDDOWN(AJ145-0.01,0),AK145,AK145+1))))</f>
        <v>0</v>
      </c>
      <c r="AL146">
        <f t="shared" si="91"/>
        <v>0</v>
      </c>
      <c r="AM146">
        <f t="shared" si="92"/>
        <v>0</v>
      </c>
      <c r="AN146">
        <f>IF(AM146&gt;AN$12,IF(AK146=AK145,AN145,MAX(AN$13:AN145)+1),0)</f>
        <v>0</v>
      </c>
      <c r="AP146">
        <f t="shared" si="87"/>
        <v>0</v>
      </c>
      <c r="AQ146">
        <f>IF(AP146&gt;0,IF(MAX(AQ147:AQ$214)+AP146&gt;ROUNDUP(MAX(AQ147:AQ$214),0),ROUNDUP(MAX(AQ147:AQ$214),0)+AP146,MAX(AQ147:AQ$214)+AP146),0)</f>
        <v>0</v>
      </c>
      <c r="AR146">
        <f t="shared" si="93"/>
        <v>0</v>
      </c>
      <c r="AS146">
        <f t="shared" si="88"/>
        <v>0</v>
      </c>
      <c r="AT146">
        <f t="shared" si="89"/>
        <v>10</v>
      </c>
      <c r="AV146">
        <v>26</v>
      </c>
      <c r="AW146">
        <f t="shared" si="82"/>
        <v>0</v>
      </c>
      <c r="AX146">
        <f t="shared" si="83"/>
        <v>0</v>
      </c>
      <c r="AY146" s="496">
        <f>IF(AND(AX146=AX$120,SUM(AY$121:AY145)=0,AW146=AZ$120,AX$120&lt;&gt;0),AV146,)</f>
        <v>0</v>
      </c>
      <c r="AZ146">
        <f>IF(AND(SUM(AZ$121:AZ145)=0,SUM($AY146:AY146)=0,$AX146&lt;=AY$156,$AX146&gt;0,$AW146&gt;-1),$AV146,0)</f>
        <v>0</v>
      </c>
      <c r="BA146">
        <f>IF(AND(SUM(BA$121:BA145)=0,SUM($AY146:AZ146)=0,$AX146&lt;=AZ$156,$AX146&gt;0,$AW146&gt;-1),$AV146,0)</f>
        <v>0</v>
      </c>
      <c r="BB146">
        <f>IF(AND(SUM(BB$121:BB145)=0,SUM($AY146:BA146)=0,$AX146&lt;=BA$156,$AX146&gt;0,$AW146&gt;-1),$AV146,0)</f>
        <v>0</v>
      </c>
      <c r="BC146">
        <f>IF(AND(SUM(BC$121:BC145)=0,SUM($AY146:BB146)=0,$AX146&lt;=BB$156,$AX146&gt;0,$AW146&gt;-1),$AV146,0)</f>
        <v>0</v>
      </c>
      <c r="BD146">
        <f>IF(AND(SUM(BD$121:BD145)=0,SUM($AY146:BC146)=0,$AX146&lt;=BC$156,$AX146&gt;0,$AW146&gt;-1),$AV146,0)</f>
        <v>0</v>
      </c>
      <c r="BE146">
        <f>IF(AND(SUM(BE$121:BE145)=0,SUM($AY146:BD146)=0,$AX146&lt;=BD$156,$AX146&gt;0,$AW146&gt;-1),$AV146,0)</f>
        <v>0</v>
      </c>
      <c r="BF146">
        <f>IF(AND(SUM(BF$121:BF145)=0,SUM($AY146:BE146)=0,$AX146&lt;=BE$156,$AX146&gt;0,$AW146&gt;-1),$AV146,0)</f>
        <v>0</v>
      </c>
      <c r="BG146">
        <f t="shared" si="81"/>
        <v>0</v>
      </c>
      <c r="BH146" s="494">
        <f t="shared" si="84"/>
        <v>0</v>
      </c>
      <c r="BI146">
        <f t="shared" si="85"/>
        <v>0</v>
      </c>
    </row>
    <row r="147" spans="1:61" x14ac:dyDescent="0.25">
      <c r="A147">
        <v>134</v>
      </c>
      <c r="B147" t="str">
        <f>_xlfn.XLOOKUP(A147,Order!R$12:R$859,Order!C$12:C$859,"")</f>
        <v/>
      </c>
      <c r="C147" t="str">
        <f>_xlfn.XLOOKUP(A147,Order!R$12:R$859,Order!S$12:S$859,"")</f>
        <v/>
      </c>
      <c r="D147" t="str">
        <f>_xlfn.XLOOKUP(A147,Order!R$12:R$859,Order!B$12:B$859,"")</f>
        <v/>
      </c>
      <c r="E147" t="str">
        <f>_xlfn.XLOOKUP(A147,Order!R$12:R$859,Order!P$12:P$859,"")</f>
        <v/>
      </c>
      <c r="F147" t="str">
        <f>_xlfn.XLOOKUP(A147,Order!R$12:R$859,Order!T$12:T$859,"")</f>
        <v/>
      </c>
      <c r="G147" t="str">
        <f>_xlfn.XLOOKUP(A147,Order!R$12:R$859,Order!U$12:U$859,"")</f>
        <v/>
      </c>
      <c r="H147" t="str">
        <f>_xlfn.XLOOKUP(A147,Order!R$12:R$859,Order!B$12:B$859,"")</f>
        <v/>
      </c>
      <c r="I147" t="str">
        <f>_xlfn.XLOOKUP(A147,Order!R$12:R$859,Order!V$12:V$859,"")</f>
        <v/>
      </c>
      <c r="J147" t="str">
        <f>IFERROR(RANK(F147,F$14:F$213,1)+COUNTIF(F$14:F147,F147)-1,"")</f>
        <v/>
      </c>
      <c r="L147" t="str">
        <f t="shared" ref="L147:L210" si="95">IFERROR(L146+N146,"")</f>
        <v/>
      </c>
      <c r="M147" t="str" cm="1">
        <f t="array" ref="M147">_xlfn.XLOOKUP(A147,J$14:J346,B$14:B346,"")</f>
        <v/>
      </c>
      <c r="N147" t="str" cm="1">
        <f t="array" ref="N147">_xlfn.XLOOKUP(A147,J$14:J346,C$14:C346,"")</f>
        <v/>
      </c>
      <c r="O147" t="str" cm="1">
        <f t="array" ref="O147">_xlfn.XLOOKUP(A147,J$14:J346,E$14:E346,"")</f>
        <v/>
      </c>
      <c r="P147" t="str" cm="1">
        <f t="array" ref="P147">_xlfn.XLOOKUP(A147,J$14:J346,G$14:G346,"")</f>
        <v/>
      </c>
      <c r="Q147" t="str" cm="1">
        <f t="array" ref="Q147">_xlfn.XLOOKUP(A147,J$14:J346,F$14:F346,"")</f>
        <v/>
      </c>
      <c r="R147" t="str" cm="1">
        <f t="array" ref="R147">_xlfn.XLOOKUP(A147,J$14:J346,I$14:I346,"")</f>
        <v/>
      </c>
      <c r="S147" t="str" cm="1">
        <f t="array" ref="S147">_xlfn.XLOOKUP(A147,J$14:J346,H$14:H346,"")</f>
        <v/>
      </c>
      <c r="T147" t="str" cm="1">
        <f t="array" ref="T147">VLOOKUP(ROW(134:134),L$14:S$163,8)</f>
        <v/>
      </c>
      <c r="U147" t="str" cm="1">
        <f t="array" ref="U147">VLOOKUP(ROW(134:134),L$14:M$163,2)</f>
        <v/>
      </c>
      <c r="V147" t="str" cm="1">
        <f t="array" ref="V147">VLOOKUP(ROW(134:134),L$14:O$163,4)</f>
        <v/>
      </c>
      <c r="W147" t="str" cm="1">
        <f t="array" ref="W147">VLOOKUP(ROW(134:134),L$14:Q$163,6)</f>
        <v/>
      </c>
      <c r="X147" cm="1">
        <f t="array" ref="X147">IFERROR(VLOOKUP(ROW(134:134),L$14:P$213,5)+0,0)</f>
        <v>0</v>
      </c>
      <c r="Y147" t="str" cm="1">
        <f t="array" ref="Y147">VLOOKUP(ROW(134:134),L$14:R$163,7)</f>
        <v/>
      </c>
      <c r="Z147">
        <f>IF(Y147&lt;-2,X147+MAX(Z$14:Z146),0)</f>
        <v>0</v>
      </c>
      <c r="AA147">
        <f>IFERROR(IF(AND(SUM(AA148:AA$214)+X147&lt;=Z$10,W147&lt;=Z$12,Z147=0),X147,0),0)</f>
        <v>0</v>
      </c>
      <c r="AB147">
        <f>IFERROR(IF(AND(W147&lt;=Z$12+10,AB$12-X147&gt;=0,SUM(Z147:AA147)=0,SUM(AB$14:AB146)+X147&lt;AB$12),X147,0),0)</f>
        <v>0</v>
      </c>
      <c r="AD147">
        <f>IF(AND(Y147=-2,SUM(Z147:AB147)=0),X147+MAX(AD$14:AD146),0)</f>
        <v>0</v>
      </c>
      <c r="AE147">
        <f>IFERROR(IF(AND(SUM(AE148:AE$214)+X147&lt;=AD$10,W147&lt;=AD$12,SUM(Z147:AD147)=0),X147,0),0)</f>
        <v>0</v>
      </c>
      <c r="AF147">
        <f>IFERROR(IF(AND(W147&lt;=AD$12+10,AF$12-X147&gt;=0,SUM(Z147:AE147)=0,SUM(AF$14:AF146)+X147&lt;AF$12),X147,0),0)</f>
        <v>0</v>
      </c>
      <c r="AG147">
        <f t="shared" si="86"/>
        <v>0</v>
      </c>
      <c r="AI147">
        <f t="shared" si="90"/>
        <v>0</v>
      </c>
      <c r="AJ147" s="493">
        <f t="shared" si="94"/>
        <v>0</v>
      </c>
      <c r="AK147">
        <f>IF(AJ147=0,0,IF(AJ146=0,MAX(AK$13:AK146)+1,IF(W147&lt;&gt;W146,MAX(AK$14:AK146)+1,IF(ROUNDDOWN(AJ147-0.01,0)=ROUNDDOWN(AJ146-0.01,0),AK146,AK146+1))))</f>
        <v>0</v>
      </c>
      <c r="AL147">
        <f t="shared" si="91"/>
        <v>0</v>
      </c>
      <c r="AM147">
        <f t="shared" si="92"/>
        <v>0</v>
      </c>
      <c r="AN147">
        <f>IF(AM147&gt;AN$12,IF(AK147=AK146,AN146,MAX(AN$13:AN146)+1),0)</f>
        <v>0</v>
      </c>
      <c r="AP147">
        <f t="shared" si="87"/>
        <v>0</v>
      </c>
      <c r="AQ147">
        <f>IF(AP147&gt;0,IF(MAX(AQ148:AQ$214)+AP147&gt;ROUNDUP(MAX(AQ148:AQ$214),0),ROUNDUP(MAX(AQ148:AQ$214),0)+AP147,MAX(AQ148:AQ$214)+AP147),0)</f>
        <v>0</v>
      </c>
      <c r="AR147">
        <f t="shared" si="93"/>
        <v>0</v>
      </c>
      <c r="AS147">
        <f t="shared" si="88"/>
        <v>0</v>
      </c>
      <c r="AT147">
        <f t="shared" si="89"/>
        <v>10</v>
      </c>
      <c r="AV147">
        <v>27</v>
      </c>
      <c r="AW147">
        <f t="shared" si="82"/>
        <v>0</v>
      </c>
      <c r="AX147">
        <f t="shared" si="83"/>
        <v>0</v>
      </c>
      <c r="AY147" s="496">
        <f>IF(AND(AX147=AX$120,SUM(AY$121:AY146)=0,AW147=AZ$120,AX$120&lt;&gt;0),AV147,)</f>
        <v>0</v>
      </c>
      <c r="AZ147">
        <f>IF(AND(SUM(AZ$121:AZ146)=0,SUM($AY147:AY147)=0,$AX147&lt;=AY$156,$AX147&gt;0,$AW147&gt;-1),$AV147,0)</f>
        <v>0</v>
      </c>
      <c r="BA147">
        <f>IF(AND(SUM(BA$121:BA146)=0,SUM($AY147:AZ147)=0,$AX147&lt;=AZ$156,$AX147&gt;0,$AW147&gt;-1),$AV147,0)</f>
        <v>0</v>
      </c>
      <c r="BB147">
        <f>IF(AND(SUM(BB$121:BB146)=0,SUM($AY147:BA147)=0,$AX147&lt;=BA$156,$AX147&gt;0,$AW147&gt;-1),$AV147,0)</f>
        <v>0</v>
      </c>
      <c r="BC147">
        <f>IF(AND(SUM(BC$121:BC146)=0,SUM($AY147:BB147)=0,$AX147&lt;=BB$156,$AX147&gt;0,$AW147&gt;-1),$AV147,0)</f>
        <v>0</v>
      </c>
      <c r="BD147">
        <f>IF(AND(SUM(BD$121:BD146)=0,SUM($AY147:BC147)=0,$AX147&lt;=BC$156,$AX147&gt;0,$AW147&gt;-1),$AV147,0)</f>
        <v>0</v>
      </c>
      <c r="BE147">
        <f>IF(AND(SUM(BE$121:BE146)=0,SUM($AY147:BD147)=0,$AX147&lt;=BD$156,$AX147&gt;0,$AW147&gt;-1),$AV147,0)</f>
        <v>0</v>
      </c>
      <c r="BF147">
        <f>IF(AND(SUM(BF$121:BF146)=0,SUM($AY147:BE147)=0,$AX147&lt;=BE$156,$AX147&gt;0,$AW147&gt;-1),$AV147,0)</f>
        <v>0</v>
      </c>
      <c r="BG147">
        <f t="shared" si="81"/>
        <v>0</v>
      </c>
      <c r="BH147" s="494">
        <f t="shared" si="84"/>
        <v>0</v>
      </c>
      <c r="BI147">
        <f t="shared" si="85"/>
        <v>0</v>
      </c>
    </row>
    <row r="148" spans="1:61" x14ac:dyDescent="0.25">
      <c r="A148">
        <v>135</v>
      </c>
      <c r="B148" t="str">
        <f>_xlfn.XLOOKUP(A148,Order!R$12:R$859,Order!C$12:C$859,"")</f>
        <v/>
      </c>
      <c r="C148" t="str">
        <f>_xlfn.XLOOKUP(A148,Order!R$12:R$859,Order!S$12:S$859,"")</f>
        <v/>
      </c>
      <c r="D148" t="str">
        <f>_xlfn.XLOOKUP(A148,Order!R$12:R$859,Order!B$12:B$859,"")</f>
        <v/>
      </c>
      <c r="E148" t="str">
        <f>_xlfn.XLOOKUP(A148,Order!R$12:R$859,Order!P$12:P$859,"")</f>
        <v/>
      </c>
      <c r="F148" t="str">
        <f>_xlfn.XLOOKUP(A148,Order!R$12:R$859,Order!T$12:T$859,"")</f>
        <v/>
      </c>
      <c r="G148" t="str">
        <f>_xlfn.XLOOKUP(A148,Order!R$12:R$859,Order!U$12:U$859,"")</f>
        <v/>
      </c>
      <c r="H148" t="str">
        <f>_xlfn.XLOOKUP(A148,Order!R$12:R$859,Order!B$12:B$859,"")</f>
        <v/>
      </c>
      <c r="I148" t="str">
        <f>_xlfn.XLOOKUP(A148,Order!R$12:R$859,Order!V$12:V$859,"")</f>
        <v/>
      </c>
      <c r="J148" t="str">
        <f>IFERROR(RANK(F148,F$14:F$213,1)+COUNTIF(F$14:F148,F148)-1,"")</f>
        <v/>
      </c>
      <c r="L148" t="str">
        <f t="shared" si="95"/>
        <v/>
      </c>
      <c r="M148" t="str" cm="1">
        <f t="array" ref="M148">_xlfn.XLOOKUP(A148,J$14:J347,B$14:B347,"")</f>
        <v/>
      </c>
      <c r="N148" t="str" cm="1">
        <f t="array" ref="N148">_xlfn.XLOOKUP(A148,J$14:J347,C$14:C347,"")</f>
        <v/>
      </c>
      <c r="O148" t="str" cm="1">
        <f t="array" ref="O148">_xlfn.XLOOKUP(A148,J$14:J347,E$14:E347,"")</f>
        <v/>
      </c>
      <c r="P148" t="str" cm="1">
        <f t="array" ref="P148">_xlfn.XLOOKUP(A148,J$14:J347,G$14:G347,"")</f>
        <v/>
      </c>
      <c r="Q148" t="str" cm="1">
        <f t="array" ref="Q148">_xlfn.XLOOKUP(A148,J$14:J347,F$14:F347,"")</f>
        <v/>
      </c>
      <c r="R148" t="str" cm="1">
        <f t="array" ref="R148">_xlfn.XLOOKUP(A148,J$14:J347,I$14:I347,"")</f>
        <v/>
      </c>
      <c r="S148" t="str" cm="1">
        <f t="array" ref="S148">_xlfn.XLOOKUP(A148,J$14:J347,H$14:H347,"")</f>
        <v/>
      </c>
      <c r="T148" t="str" cm="1">
        <f t="array" ref="T148">VLOOKUP(ROW(135:135),L$14:S$163,8)</f>
        <v/>
      </c>
      <c r="U148" t="str" cm="1">
        <f t="array" ref="U148">VLOOKUP(ROW(135:135),L$14:M$163,2)</f>
        <v/>
      </c>
      <c r="V148" t="str" cm="1">
        <f t="array" ref="V148">VLOOKUP(ROW(135:135),L$14:O$163,4)</f>
        <v/>
      </c>
      <c r="W148" t="str" cm="1">
        <f t="array" ref="W148">VLOOKUP(ROW(135:135),L$14:Q$163,6)</f>
        <v/>
      </c>
      <c r="X148" cm="1">
        <f t="array" ref="X148">IFERROR(VLOOKUP(ROW(135:135),L$14:P$213,5)+0,0)</f>
        <v>0</v>
      </c>
      <c r="Y148" t="str" cm="1">
        <f t="array" ref="Y148">VLOOKUP(ROW(135:135),L$14:R$163,7)</f>
        <v/>
      </c>
      <c r="Z148">
        <f>IF(Y148&lt;-2,X148+MAX(Z$14:Z147),0)</f>
        <v>0</v>
      </c>
      <c r="AA148">
        <f>IFERROR(IF(AND(SUM(AA149:AA$214)+X148&lt;=Z$10,W148&lt;=Z$12,Z148=0),X148,0),0)</f>
        <v>0</v>
      </c>
      <c r="AB148">
        <f>IFERROR(IF(AND(W148&lt;=Z$12+10,AB$12-X148&gt;=0,SUM(Z148:AA148)=0,SUM(AB$14:AB147)+X148&lt;AB$12),X148,0),0)</f>
        <v>0</v>
      </c>
      <c r="AD148">
        <f>IF(AND(Y148=-2,SUM(Z148:AB148)=0),X148+MAX(AD$14:AD147),0)</f>
        <v>0</v>
      </c>
      <c r="AE148">
        <f>IFERROR(IF(AND(SUM(AE149:AE$214)+X148&lt;=AD$10,W148&lt;=AD$12,SUM(Z148:AD148)=0),X148,0),0)</f>
        <v>0</v>
      </c>
      <c r="AF148">
        <f>IFERROR(IF(AND(W148&lt;=AD$12+10,AF$12-X148&gt;=0,SUM(Z148:AE148)=0,SUM(AF$14:AF147)+X148&lt;AF$12),X148,0),0)</f>
        <v>0</v>
      </c>
      <c r="AG148">
        <f t="shared" si="86"/>
        <v>0</v>
      </c>
      <c r="AI148">
        <f t="shared" si="90"/>
        <v>0</v>
      </c>
      <c r="AJ148" s="493">
        <f t="shared" si="94"/>
        <v>0</v>
      </c>
      <c r="AK148">
        <f>IF(AJ148=0,0,IF(AJ147=0,MAX(AK$13:AK147)+1,IF(W148&lt;&gt;W147,MAX(AK$14:AK147)+1,IF(ROUNDDOWN(AJ148-0.01,0)=ROUNDDOWN(AJ147-0.01,0),AK147,AK147+1))))</f>
        <v>0</v>
      </c>
      <c r="AL148">
        <f t="shared" si="91"/>
        <v>0</v>
      </c>
      <c r="AM148">
        <f t="shared" si="92"/>
        <v>0</v>
      </c>
      <c r="AN148">
        <f>IF(AM148&gt;AN$12,IF(AK148=AK147,AN147,MAX(AN$13:AN147)+1),0)</f>
        <v>0</v>
      </c>
      <c r="AP148">
        <f t="shared" si="87"/>
        <v>0</v>
      </c>
      <c r="AQ148">
        <f>IF(AP148&gt;0,IF(MAX(AQ149:AQ$214)+AP148&gt;ROUNDUP(MAX(AQ149:AQ$214),0),ROUNDUP(MAX(AQ149:AQ$214),0)+AP148,MAX(AQ149:AQ$214)+AP148),0)</f>
        <v>0</v>
      </c>
      <c r="AR148">
        <f t="shared" si="93"/>
        <v>0</v>
      </c>
      <c r="AS148">
        <f t="shared" si="88"/>
        <v>0</v>
      </c>
      <c r="AT148">
        <f t="shared" si="89"/>
        <v>10</v>
      </c>
      <c r="AV148">
        <v>28</v>
      </c>
      <c r="AW148">
        <f t="shared" si="82"/>
        <v>0</v>
      </c>
      <c r="AX148">
        <f t="shared" si="83"/>
        <v>0</v>
      </c>
      <c r="AY148" s="496">
        <f>IF(AND(AX148=AX$120,SUM(AY$121:AY147)=0,AW148=AZ$120,AX$120&lt;&gt;0),AV148,)</f>
        <v>0</v>
      </c>
      <c r="AZ148">
        <f>IF(AND(SUM(AZ$121:AZ147)=0,SUM($AY148:AY148)=0,$AX148&lt;=AY$156,$AX148&gt;0,$AW148&gt;-1),$AV148,0)</f>
        <v>0</v>
      </c>
      <c r="BA148">
        <f>IF(AND(SUM(BA$121:BA147)=0,SUM($AY148:AZ148)=0,$AX148&lt;=AZ$156,$AX148&gt;0,$AW148&gt;-1),$AV148,0)</f>
        <v>0</v>
      </c>
      <c r="BB148">
        <f>IF(AND(SUM(BB$121:BB147)=0,SUM($AY148:BA148)=0,$AX148&lt;=BA$156,$AX148&gt;0,$AW148&gt;-1),$AV148,0)</f>
        <v>0</v>
      </c>
      <c r="BC148">
        <f>IF(AND(SUM(BC$121:BC147)=0,SUM($AY148:BB148)=0,$AX148&lt;=BB$156,$AX148&gt;0,$AW148&gt;-1),$AV148,0)</f>
        <v>0</v>
      </c>
      <c r="BD148">
        <f>IF(AND(SUM(BD$121:BD147)=0,SUM($AY148:BC148)=0,$AX148&lt;=BC$156,$AX148&gt;0,$AW148&gt;-1),$AV148,0)</f>
        <v>0</v>
      </c>
      <c r="BE148">
        <f>IF(AND(SUM(BE$121:BE147)=0,SUM($AY148:BD148)=0,$AX148&lt;=BD$156,$AX148&gt;0,$AW148&gt;-1),$AV148,0)</f>
        <v>0</v>
      </c>
      <c r="BF148">
        <f>IF(AND(SUM(BF$121:BF147)=0,SUM($AY148:BE148)=0,$AX148&lt;=BE$156,$AX148&gt;0,$AW148&gt;-1),$AV148,0)</f>
        <v>0</v>
      </c>
      <c r="BG148">
        <f t="shared" si="81"/>
        <v>0</v>
      </c>
      <c r="BH148" s="494">
        <f t="shared" si="84"/>
        <v>0</v>
      </c>
      <c r="BI148">
        <f t="shared" si="85"/>
        <v>0</v>
      </c>
    </row>
    <row r="149" spans="1:61" x14ac:dyDescent="0.25">
      <c r="A149">
        <v>136</v>
      </c>
      <c r="B149" t="str">
        <f>_xlfn.XLOOKUP(A149,Order!R$12:R$859,Order!C$12:C$859,"")</f>
        <v/>
      </c>
      <c r="C149" t="str">
        <f>_xlfn.XLOOKUP(A149,Order!R$12:R$859,Order!S$12:S$859,"")</f>
        <v/>
      </c>
      <c r="D149" t="str">
        <f>_xlfn.XLOOKUP(A149,Order!R$12:R$859,Order!B$12:B$859,"")</f>
        <v/>
      </c>
      <c r="E149" t="str">
        <f>_xlfn.XLOOKUP(A149,Order!R$12:R$859,Order!P$12:P$859,"")</f>
        <v/>
      </c>
      <c r="F149" t="str">
        <f>_xlfn.XLOOKUP(A149,Order!R$12:R$859,Order!T$12:T$859,"")</f>
        <v/>
      </c>
      <c r="G149" t="str">
        <f>_xlfn.XLOOKUP(A149,Order!R$12:R$859,Order!U$12:U$859,"")</f>
        <v/>
      </c>
      <c r="H149" t="str">
        <f>_xlfn.XLOOKUP(A149,Order!R$12:R$859,Order!B$12:B$859,"")</f>
        <v/>
      </c>
      <c r="I149" t="str">
        <f>_xlfn.XLOOKUP(A149,Order!R$12:R$859,Order!V$12:V$859,"")</f>
        <v/>
      </c>
      <c r="J149" t="str">
        <f>IFERROR(RANK(F149,F$14:F$213,1)+COUNTIF(F$14:F149,F149)-1,"")</f>
        <v/>
      </c>
      <c r="L149" t="str">
        <f t="shared" si="95"/>
        <v/>
      </c>
      <c r="M149" t="str" cm="1">
        <f t="array" ref="M149">_xlfn.XLOOKUP(A149,J$14:J348,B$14:B348,"")</f>
        <v/>
      </c>
      <c r="N149" t="str" cm="1">
        <f t="array" ref="N149">_xlfn.XLOOKUP(A149,J$14:J348,C$14:C348,"")</f>
        <v/>
      </c>
      <c r="O149" t="str" cm="1">
        <f t="array" ref="O149">_xlfn.XLOOKUP(A149,J$14:J348,E$14:E348,"")</f>
        <v/>
      </c>
      <c r="P149" t="str" cm="1">
        <f t="array" ref="P149">_xlfn.XLOOKUP(A149,J$14:J348,G$14:G348,"")</f>
        <v/>
      </c>
      <c r="Q149" t="str" cm="1">
        <f t="array" ref="Q149">_xlfn.XLOOKUP(A149,J$14:J348,F$14:F348,"")</f>
        <v/>
      </c>
      <c r="R149" t="str" cm="1">
        <f t="array" ref="R149">_xlfn.XLOOKUP(A149,J$14:J348,I$14:I348,"")</f>
        <v/>
      </c>
      <c r="S149" t="str" cm="1">
        <f t="array" ref="S149">_xlfn.XLOOKUP(A149,J$14:J348,H$14:H348,"")</f>
        <v/>
      </c>
      <c r="T149" t="str" cm="1">
        <f t="array" ref="T149">VLOOKUP(ROW(136:136),L$14:S$163,8)</f>
        <v/>
      </c>
      <c r="U149" t="str" cm="1">
        <f t="array" ref="U149">VLOOKUP(ROW(136:136),L$14:M$163,2)</f>
        <v/>
      </c>
      <c r="V149" t="str" cm="1">
        <f t="array" ref="V149">VLOOKUP(ROW(136:136),L$14:O$163,4)</f>
        <v/>
      </c>
      <c r="W149" t="str" cm="1">
        <f t="array" ref="W149">VLOOKUP(ROW(136:136),L$14:Q$163,6)</f>
        <v/>
      </c>
      <c r="X149" cm="1">
        <f t="array" ref="X149">IFERROR(VLOOKUP(ROW(136:136),L$14:P$213,5)+0,0)</f>
        <v>0</v>
      </c>
      <c r="Y149" t="str" cm="1">
        <f t="array" ref="Y149">VLOOKUP(ROW(136:136),L$14:R$163,7)</f>
        <v/>
      </c>
      <c r="Z149">
        <f>IF(Y149&lt;-2,X149+MAX(Z$14:Z148),0)</f>
        <v>0</v>
      </c>
      <c r="AA149">
        <f>IFERROR(IF(AND(SUM(AA150:AA$214)+X149&lt;=Z$10,W149&lt;=Z$12,Z149=0),X149,0),0)</f>
        <v>0</v>
      </c>
      <c r="AB149">
        <f>IFERROR(IF(AND(W149&lt;=Z$12+10,AB$12-X149&gt;=0,SUM(Z149:AA149)=0,SUM(AB$14:AB148)+X149&lt;AB$12),X149,0),0)</f>
        <v>0</v>
      </c>
      <c r="AD149">
        <f>IF(AND(Y149=-2,SUM(Z149:AB149)=0),X149+MAX(AD$14:AD148),0)</f>
        <v>0</v>
      </c>
      <c r="AE149">
        <f>IFERROR(IF(AND(SUM(AE150:AE$214)+X149&lt;=AD$10,W149&lt;=AD$12,SUM(Z149:AD149)=0),X149,0),0)</f>
        <v>0</v>
      </c>
      <c r="AF149">
        <f>IFERROR(IF(AND(W149&lt;=AD$12+10,AF$12-X149&gt;=0,SUM(Z149:AE149)=0,SUM(AF$14:AF148)+X149&lt;AF$12),X149,0),0)</f>
        <v>0</v>
      </c>
      <c r="AG149">
        <f t="shared" si="86"/>
        <v>0</v>
      </c>
      <c r="AI149">
        <f t="shared" si="90"/>
        <v>0</v>
      </c>
      <c r="AJ149" s="493">
        <f t="shared" si="94"/>
        <v>0</v>
      </c>
      <c r="AK149">
        <f>IF(AJ149=0,0,IF(AJ148=0,MAX(AK$13:AK148)+1,IF(W149&lt;&gt;W148,MAX(AK$14:AK148)+1,IF(ROUNDDOWN(AJ149-0.01,0)=ROUNDDOWN(AJ148-0.01,0),AK148,AK148+1))))</f>
        <v>0</v>
      </c>
      <c r="AL149">
        <f t="shared" si="91"/>
        <v>0</v>
      </c>
      <c r="AM149">
        <f t="shared" si="92"/>
        <v>0</v>
      </c>
      <c r="AN149">
        <f>IF(AM149&gt;AN$12,IF(AK149=AK148,AN148,MAX(AN$13:AN148)+1),0)</f>
        <v>0</v>
      </c>
      <c r="AP149">
        <f t="shared" si="87"/>
        <v>0</v>
      </c>
      <c r="AQ149">
        <f>IF(AP149&gt;0,IF(MAX(AQ150:AQ$214)+AP149&gt;ROUNDUP(MAX(AQ150:AQ$214),0),ROUNDUP(MAX(AQ150:AQ$214),0)+AP149,MAX(AQ150:AQ$214)+AP149),0)</f>
        <v>0</v>
      </c>
      <c r="AR149">
        <f t="shared" si="93"/>
        <v>0</v>
      </c>
      <c r="AS149">
        <f t="shared" si="88"/>
        <v>0</v>
      </c>
      <c r="AT149">
        <f t="shared" si="89"/>
        <v>10</v>
      </c>
      <c r="AV149">
        <v>29</v>
      </c>
      <c r="AW149">
        <f t="shared" si="82"/>
        <v>0</v>
      </c>
      <c r="AX149">
        <f t="shared" si="83"/>
        <v>0</v>
      </c>
      <c r="AY149" s="496">
        <f>IF(AND(AX149=AX$120,SUM(AY$121:AY148)=0,AW149=AZ$120,AX$120&lt;&gt;0),AV149,)</f>
        <v>0</v>
      </c>
      <c r="AZ149">
        <f>IF(AND(SUM(AZ$121:AZ148)=0,SUM($AY149:AY149)=0,$AX149&lt;=AY$156,$AX149&gt;0,$AW149&gt;-1),$AV149,0)</f>
        <v>0</v>
      </c>
      <c r="BA149">
        <f>IF(AND(SUM(BA$121:BA148)=0,SUM($AY149:AZ149)=0,$AX149&lt;=AZ$156,$AX149&gt;0,$AW149&gt;-1),$AV149,0)</f>
        <v>0</v>
      </c>
      <c r="BB149">
        <f>IF(AND(SUM(BB$121:BB148)=0,SUM($AY149:BA149)=0,$AX149&lt;=BA$156,$AX149&gt;0,$AW149&gt;-1),$AV149,0)</f>
        <v>0</v>
      </c>
      <c r="BC149">
        <f>IF(AND(SUM(BC$121:BC148)=0,SUM($AY149:BB149)=0,$AX149&lt;=BB$156,$AX149&gt;0,$AW149&gt;-1),$AV149,0)</f>
        <v>0</v>
      </c>
      <c r="BD149">
        <f>IF(AND(SUM(BD$121:BD148)=0,SUM($AY149:BC149)=0,$AX149&lt;=BC$156,$AX149&gt;0,$AW149&gt;-1),$AV149,0)</f>
        <v>0</v>
      </c>
      <c r="BE149">
        <f>IF(AND(SUM(BE$121:BE148)=0,SUM($AY149:BD149)=0,$AX149&lt;=BD$156,$AX149&gt;0,$AW149&gt;-1),$AV149,0)</f>
        <v>0</v>
      </c>
      <c r="BF149">
        <f>IF(AND(SUM(BF$121:BF148)=0,SUM($AY149:BE149)=0,$AX149&lt;=BE$156,$AX149&gt;0,$AW149&gt;-1),$AV149,0)</f>
        <v>0</v>
      </c>
      <c r="BG149">
        <f t="shared" si="81"/>
        <v>0</v>
      </c>
      <c r="BH149" s="494">
        <f t="shared" si="84"/>
        <v>0</v>
      </c>
      <c r="BI149">
        <f t="shared" si="85"/>
        <v>0</v>
      </c>
    </row>
    <row r="150" spans="1:61" x14ac:dyDescent="0.25">
      <c r="A150">
        <v>137</v>
      </c>
      <c r="B150" t="str">
        <f>_xlfn.XLOOKUP(A150,Order!R$12:R$859,Order!C$12:C$859,"")</f>
        <v/>
      </c>
      <c r="C150" t="str">
        <f>_xlfn.XLOOKUP(A150,Order!R$12:R$859,Order!S$12:S$859,"")</f>
        <v/>
      </c>
      <c r="D150" t="str">
        <f>_xlfn.XLOOKUP(A150,Order!R$12:R$859,Order!B$12:B$859,"")</f>
        <v/>
      </c>
      <c r="E150" t="str">
        <f>_xlfn.XLOOKUP(A150,Order!R$12:R$859,Order!P$12:P$859,"")</f>
        <v/>
      </c>
      <c r="F150" t="str">
        <f>_xlfn.XLOOKUP(A150,Order!R$12:R$859,Order!T$12:T$859,"")</f>
        <v/>
      </c>
      <c r="G150" t="str">
        <f>_xlfn.XLOOKUP(A150,Order!R$12:R$859,Order!U$12:U$859,"")</f>
        <v/>
      </c>
      <c r="H150" t="str">
        <f>_xlfn.XLOOKUP(A150,Order!R$12:R$859,Order!B$12:B$859,"")</f>
        <v/>
      </c>
      <c r="I150" t="str">
        <f>_xlfn.XLOOKUP(A150,Order!R$12:R$859,Order!V$12:V$859,"")</f>
        <v/>
      </c>
      <c r="J150" t="str">
        <f>IFERROR(RANK(F150,F$14:F$213,1)+COUNTIF(F$14:F150,F150)-1,"")</f>
        <v/>
      </c>
      <c r="L150" t="str">
        <f t="shared" si="95"/>
        <v/>
      </c>
      <c r="M150" t="str" cm="1">
        <f t="array" ref="M150">_xlfn.XLOOKUP(A150,J$14:J349,B$14:B349,"")</f>
        <v/>
      </c>
      <c r="N150" t="str" cm="1">
        <f t="array" ref="N150">_xlfn.XLOOKUP(A150,J$14:J349,C$14:C349,"")</f>
        <v/>
      </c>
      <c r="O150" t="str" cm="1">
        <f t="array" ref="O150">_xlfn.XLOOKUP(A150,J$14:J349,E$14:E349,"")</f>
        <v/>
      </c>
      <c r="P150" t="str" cm="1">
        <f t="array" ref="P150">_xlfn.XLOOKUP(A150,J$14:J349,G$14:G349,"")</f>
        <v/>
      </c>
      <c r="Q150" t="str" cm="1">
        <f t="array" ref="Q150">_xlfn.XLOOKUP(A150,J$14:J349,F$14:F349,"")</f>
        <v/>
      </c>
      <c r="R150" t="str" cm="1">
        <f t="array" ref="R150">_xlfn.XLOOKUP(A150,J$14:J349,I$14:I349,"")</f>
        <v/>
      </c>
      <c r="S150" t="str" cm="1">
        <f t="array" ref="S150">_xlfn.XLOOKUP(A150,J$14:J349,H$14:H349,"")</f>
        <v/>
      </c>
      <c r="T150" t="str" cm="1">
        <f t="array" ref="T150">VLOOKUP(ROW(137:137),L$14:S$163,8)</f>
        <v/>
      </c>
      <c r="U150" t="str" cm="1">
        <f t="array" ref="U150">VLOOKUP(ROW(137:137),L$14:M$163,2)</f>
        <v/>
      </c>
      <c r="V150" t="str" cm="1">
        <f t="array" ref="V150">VLOOKUP(ROW(137:137),L$14:O$163,4)</f>
        <v/>
      </c>
      <c r="W150" t="str" cm="1">
        <f t="array" ref="W150">VLOOKUP(ROW(137:137),L$14:Q$163,6)</f>
        <v/>
      </c>
      <c r="X150" cm="1">
        <f t="array" ref="X150">IFERROR(VLOOKUP(ROW(137:137),L$14:P$213,5)+0,0)</f>
        <v>0</v>
      </c>
      <c r="Y150" t="str" cm="1">
        <f t="array" ref="Y150">VLOOKUP(ROW(137:137),L$14:R$163,7)</f>
        <v/>
      </c>
      <c r="Z150">
        <f>IF(Y150&lt;-2,X150+MAX(Z$14:Z149),0)</f>
        <v>0</v>
      </c>
      <c r="AA150">
        <f>IFERROR(IF(AND(SUM(AA151:AA$214)+X150&lt;=Z$10,W150&lt;=Z$12,Z150=0),X150,0),0)</f>
        <v>0</v>
      </c>
      <c r="AB150">
        <f>IFERROR(IF(AND(W150&lt;=Z$12+10,AB$12-X150&gt;=0,SUM(Z150:AA150)=0,SUM(AB$14:AB149)+X150&lt;AB$12),X150,0),0)</f>
        <v>0</v>
      </c>
      <c r="AD150">
        <f>IF(AND(Y150=-2,SUM(Z150:AB150)=0),X150+MAX(AD$14:AD149),0)</f>
        <v>0</v>
      </c>
      <c r="AE150">
        <f>IFERROR(IF(AND(SUM(AE151:AE$214)+X150&lt;=AD$10,W150&lt;=AD$12,SUM(Z150:AD150)=0),X150,0),0)</f>
        <v>0</v>
      </c>
      <c r="AF150">
        <f>IFERROR(IF(AND(W150&lt;=AD$12+10,AF$12-X150&gt;=0,SUM(Z150:AE150)=0,SUM(AF$14:AF149)+X150&lt;AF$12),X150,0),0)</f>
        <v>0</v>
      </c>
      <c r="AG150">
        <f t="shared" si="86"/>
        <v>0</v>
      </c>
      <c r="AI150">
        <f t="shared" si="90"/>
        <v>0</v>
      </c>
      <c r="AJ150" s="493">
        <f t="shared" si="94"/>
        <v>0</v>
      </c>
      <c r="AK150">
        <f>IF(AJ150=0,0,IF(AJ149=0,MAX(AK$13:AK149)+1,IF(W150&lt;&gt;W149,MAX(AK$14:AK149)+1,IF(ROUNDDOWN(AJ150-0.01,0)=ROUNDDOWN(AJ149-0.01,0),AK149,AK149+1))))</f>
        <v>0</v>
      </c>
      <c r="AL150">
        <f t="shared" si="91"/>
        <v>0</v>
      </c>
      <c r="AM150">
        <f t="shared" si="92"/>
        <v>0</v>
      </c>
      <c r="AN150">
        <f>IF(AM150&gt;AN$12,IF(AK150=AK149,AN149,MAX(AN$13:AN149)+1),0)</f>
        <v>0</v>
      </c>
      <c r="AP150">
        <f t="shared" si="87"/>
        <v>0</v>
      </c>
      <c r="AQ150">
        <f>IF(AP150&gt;0,IF(MAX(AQ151:AQ$214)+AP150&gt;ROUNDUP(MAX(AQ151:AQ$214),0),ROUNDUP(MAX(AQ151:AQ$214),0)+AP150,MAX(AQ151:AQ$214)+AP150),0)</f>
        <v>0</v>
      </c>
      <c r="AR150">
        <f t="shared" si="93"/>
        <v>0</v>
      </c>
      <c r="AS150">
        <f t="shared" si="88"/>
        <v>0</v>
      </c>
      <c r="AT150">
        <f t="shared" si="89"/>
        <v>10</v>
      </c>
      <c r="AV150">
        <v>30</v>
      </c>
      <c r="AW150">
        <f t="shared" si="82"/>
        <v>0</v>
      </c>
      <c r="AX150">
        <f t="shared" si="83"/>
        <v>0</v>
      </c>
      <c r="AY150" s="496">
        <f>IF(AND(AX150=AX$120,SUM(AY$121:AY149)=0,AW150=AZ$120,AX$120&lt;&gt;0),AV150,)</f>
        <v>0</v>
      </c>
      <c r="AZ150">
        <f>IF(AND(SUM(AZ$121:AZ149)=0,SUM($AY150:AY150)=0,$AX150&lt;=AY$156,$AX150&gt;0,$AW150&gt;-1),$AV150,0)</f>
        <v>0</v>
      </c>
      <c r="BA150">
        <f>IF(AND(SUM(BA$121:BA149)=0,SUM($AY150:AZ150)=0,$AX150&lt;=AZ$156,$AX150&gt;0,$AW150&gt;-1),$AV150,0)</f>
        <v>0</v>
      </c>
      <c r="BB150">
        <f>IF(AND(SUM(BB$121:BB149)=0,SUM($AY150:BA150)=0,$AX150&lt;=BA$156,$AX150&gt;0,$AW150&gt;-1),$AV150,0)</f>
        <v>0</v>
      </c>
      <c r="BC150">
        <f>IF(AND(SUM(BC$121:BC149)=0,SUM($AY150:BB150)=0,$AX150&lt;=BB$156,$AX150&gt;0,$AW150&gt;-1),$AV150,0)</f>
        <v>0</v>
      </c>
      <c r="BD150">
        <f>IF(AND(SUM(BD$121:BD149)=0,SUM($AY150:BC150)=0,$AX150&lt;=BC$156,$AX150&gt;0,$AW150&gt;-1),$AV150,0)</f>
        <v>0</v>
      </c>
      <c r="BE150">
        <f>IF(AND(SUM(BE$121:BE149)=0,SUM($AY150:BD150)=0,$AX150&lt;=BD$156,$AX150&gt;0,$AW150&gt;-1),$AV150,0)</f>
        <v>0</v>
      </c>
      <c r="BF150">
        <f>IF(AND(SUM(BF$121:BF149)=0,SUM($AY150:BE150)=0,$AX150&lt;=BE$156,$AX150&gt;0,$AW150&gt;-1),$AV150,0)</f>
        <v>0</v>
      </c>
      <c r="BG150">
        <f t="shared" si="81"/>
        <v>0</v>
      </c>
      <c r="BH150" s="494">
        <f t="shared" si="84"/>
        <v>0</v>
      </c>
      <c r="BI150">
        <f t="shared" si="85"/>
        <v>0</v>
      </c>
    </row>
    <row r="151" spans="1:61" x14ac:dyDescent="0.25">
      <c r="A151">
        <v>138</v>
      </c>
      <c r="B151" t="str">
        <f>_xlfn.XLOOKUP(A151,Order!R$12:R$859,Order!C$12:C$859,"")</f>
        <v/>
      </c>
      <c r="C151" t="str">
        <f>_xlfn.XLOOKUP(A151,Order!R$12:R$859,Order!S$12:S$859,"")</f>
        <v/>
      </c>
      <c r="D151" t="str">
        <f>_xlfn.XLOOKUP(A151,Order!R$12:R$859,Order!B$12:B$859,"")</f>
        <v/>
      </c>
      <c r="E151" t="str">
        <f>_xlfn.XLOOKUP(A151,Order!R$12:R$859,Order!P$12:P$859,"")</f>
        <v/>
      </c>
      <c r="F151" t="str">
        <f>_xlfn.XLOOKUP(A151,Order!R$12:R$859,Order!T$12:T$859,"")</f>
        <v/>
      </c>
      <c r="G151" t="str">
        <f>_xlfn.XLOOKUP(A151,Order!R$12:R$859,Order!U$12:U$859,"")</f>
        <v/>
      </c>
      <c r="H151" t="str">
        <f>_xlfn.XLOOKUP(A151,Order!R$12:R$859,Order!B$12:B$859,"")</f>
        <v/>
      </c>
      <c r="I151" t="str">
        <f>_xlfn.XLOOKUP(A151,Order!R$12:R$859,Order!V$12:V$859,"")</f>
        <v/>
      </c>
      <c r="J151" t="str">
        <f>IFERROR(RANK(F151,F$14:F$213,1)+COUNTIF(F$14:F151,F151)-1,"")</f>
        <v/>
      </c>
      <c r="L151" t="str">
        <f t="shared" si="95"/>
        <v/>
      </c>
      <c r="M151" t="str" cm="1">
        <f t="array" ref="M151">_xlfn.XLOOKUP(A151,J$14:J350,B$14:B350,"")</f>
        <v/>
      </c>
      <c r="N151" t="str" cm="1">
        <f t="array" ref="N151">_xlfn.XLOOKUP(A151,J$14:J350,C$14:C350,"")</f>
        <v/>
      </c>
      <c r="O151" t="str" cm="1">
        <f t="array" ref="O151">_xlfn.XLOOKUP(A151,J$14:J350,E$14:E350,"")</f>
        <v/>
      </c>
      <c r="P151" t="str" cm="1">
        <f t="array" ref="P151">_xlfn.XLOOKUP(A151,J$14:J350,G$14:G350,"")</f>
        <v/>
      </c>
      <c r="Q151" t="str" cm="1">
        <f t="array" ref="Q151">_xlfn.XLOOKUP(A151,J$14:J350,F$14:F350,"")</f>
        <v/>
      </c>
      <c r="R151" t="str" cm="1">
        <f t="array" ref="R151">_xlfn.XLOOKUP(A151,J$14:J350,I$14:I350,"")</f>
        <v/>
      </c>
      <c r="S151" t="str" cm="1">
        <f t="array" ref="S151">_xlfn.XLOOKUP(A151,J$14:J350,H$14:H350,"")</f>
        <v/>
      </c>
      <c r="T151" t="str" cm="1">
        <f t="array" ref="T151">VLOOKUP(ROW(138:138),L$14:S$163,8)</f>
        <v/>
      </c>
      <c r="U151" t="str" cm="1">
        <f t="array" ref="U151">VLOOKUP(ROW(138:138),L$14:M$163,2)</f>
        <v/>
      </c>
      <c r="V151" t="str" cm="1">
        <f t="array" ref="V151">VLOOKUP(ROW(138:138),L$14:O$163,4)</f>
        <v/>
      </c>
      <c r="W151" t="str" cm="1">
        <f t="array" ref="W151">VLOOKUP(ROW(138:138),L$14:Q$163,6)</f>
        <v/>
      </c>
      <c r="X151" cm="1">
        <f t="array" ref="X151">IFERROR(VLOOKUP(ROW(138:138),L$14:P$213,5)+0,0)</f>
        <v>0</v>
      </c>
      <c r="Y151" t="str" cm="1">
        <f t="array" ref="Y151">VLOOKUP(ROW(138:138),L$14:R$163,7)</f>
        <v/>
      </c>
      <c r="Z151">
        <f>IF(Y151&lt;-2,X151+MAX(Z$14:Z150),0)</f>
        <v>0</v>
      </c>
      <c r="AA151">
        <f>IFERROR(IF(AND(SUM(AA152:AA$214)+X151&lt;=Z$10,W151&lt;=Z$12,Z151=0),X151,0),0)</f>
        <v>0</v>
      </c>
      <c r="AB151">
        <f>IFERROR(IF(AND(W151&lt;=Z$12+10,AB$12-X151&gt;=0,SUM(Z151:AA151)=0,SUM(AB$14:AB150)+X151&lt;AB$12),X151,0),0)</f>
        <v>0</v>
      </c>
      <c r="AD151">
        <f>IF(AND(Y151=-2,SUM(Z151:AB151)=0),X151+MAX(AD$14:AD150),0)</f>
        <v>0</v>
      </c>
      <c r="AE151">
        <f>IFERROR(IF(AND(SUM(AE152:AE$214)+X151&lt;=AD$10,W151&lt;=AD$12,SUM(Z151:AD151)=0),X151,0),0)</f>
        <v>0</v>
      </c>
      <c r="AF151">
        <f>IFERROR(IF(AND(W151&lt;=AD$12+10,AF$12-X151&gt;=0,SUM(Z151:AE151)=0,SUM(AF$14:AF150)+X151&lt;AF$12),X151,0),0)</f>
        <v>0</v>
      </c>
      <c r="AG151">
        <f t="shared" si="86"/>
        <v>0</v>
      </c>
      <c r="AI151">
        <f t="shared" si="90"/>
        <v>0</v>
      </c>
      <c r="AJ151" s="493">
        <f t="shared" si="94"/>
        <v>0</v>
      </c>
      <c r="AK151">
        <f>IF(AJ151=0,0,IF(AJ150=0,MAX(AK$13:AK150)+1,IF(W151&lt;&gt;W150,MAX(AK$14:AK150)+1,IF(ROUNDDOWN(AJ151-0.01,0)=ROUNDDOWN(AJ150-0.01,0),AK150,AK150+1))))</f>
        <v>0</v>
      </c>
      <c r="AL151">
        <f t="shared" si="91"/>
        <v>0</v>
      </c>
      <c r="AM151">
        <f t="shared" si="92"/>
        <v>0</v>
      </c>
      <c r="AN151">
        <f>IF(AM151&gt;AN$12,IF(AK151=AK150,AN150,MAX(AN$13:AN150)+1),0)</f>
        <v>0</v>
      </c>
      <c r="AP151">
        <f t="shared" si="87"/>
        <v>0</v>
      </c>
      <c r="AQ151">
        <f>IF(AP151&gt;0,IF(MAX(AQ152:AQ$214)+AP151&gt;ROUNDUP(MAX(AQ152:AQ$214),0),ROUNDUP(MAX(AQ152:AQ$214),0)+AP151,MAX(AQ152:AQ$214)+AP151),0)</f>
        <v>0</v>
      </c>
      <c r="AR151">
        <f t="shared" si="93"/>
        <v>0</v>
      </c>
      <c r="AS151">
        <f t="shared" si="88"/>
        <v>0</v>
      </c>
      <c r="AT151">
        <f t="shared" si="89"/>
        <v>10</v>
      </c>
      <c r="AV151" s="461"/>
      <c r="AW151" s="461"/>
      <c r="AX151" s="461"/>
      <c r="AY151" s="461">
        <f t="shared" ref="AY151:BF151" si="96">SUM(AY121:AY150)</f>
        <v>0</v>
      </c>
      <c r="AZ151" s="461">
        <f t="shared" si="96"/>
        <v>0</v>
      </c>
      <c r="BA151" s="461">
        <f t="shared" si="96"/>
        <v>0</v>
      </c>
      <c r="BB151" s="461">
        <f t="shared" si="96"/>
        <v>0</v>
      </c>
      <c r="BC151" s="461">
        <f t="shared" si="96"/>
        <v>0</v>
      </c>
      <c r="BD151" s="461">
        <f t="shared" si="96"/>
        <v>0</v>
      </c>
      <c r="BE151" s="461">
        <f t="shared" si="96"/>
        <v>0</v>
      </c>
      <c r="BF151" s="461">
        <f t="shared" si="96"/>
        <v>0</v>
      </c>
      <c r="BG151" s="461"/>
      <c r="BH151" s="461"/>
    </row>
    <row r="152" spans="1:61" x14ac:dyDescent="0.25">
      <c r="A152">
        <v>139</v>
      </c>
      <c r="B152" t="str">
        <f>_xlfn.XLOOKUP(A152,Order!R$12:R$859,Order!C$12:C$859,"")</f>
        <v/>
      </c>
      <c r="C152" t="str">
        <f>_xlfn.XLOOKUP(A152,Order!R$12:R$859,Order!S$12:S$859,"")</f>
        <v/>
      </c>
      <c r="D152" t="str">
        <f>_xlfn.XLOOKUP(A152,Order!R$12:R$859,Order!B$12:B$859,"")</f>
        <v/>
      </c>
      <c r="E152" t="str">
        <f>_xlfn.XLOOKUP(A152,Order!R$12:R$859,Order!P$12:P$859,"")</f>
        <v/>
      </c>
      <c r="F152" t="str">
        <f>_xlfn.XLOOKUP(A152,Order!R$12:R$859,Order!T$12:T$859,"")</f>
        <v/>
      </c>
      <c r="G152" t="str">
        <f>_xlfn.XLOOKUP(A152,Order!R$12:R$859,Order!U$12:U$859,"")</f>
        <v/>
      </c>
      <c r="H152" t="str">
        <f>_xlfn.XLOOKUP(A152,Order!R$12:R$859,Order!B$12:B$859,"")</f>
        <v/>
      </c>
      <c r="I152" t="str">
        <f>_xlfn.XLOOKUP(A152,Order!R$12:R$859,Order!V$12:V$859,"")</f>
        <v/>
      </c>
      <c r="J152" t="str">
        <f>IFERROR(RANK(F152,F$14:F$213,1)+COUNTIF(F$14:F152,F152)-1,"")</f>
        <v/>
      </c>
      <c r="L152" t="str">
        <f t="shared" si="95"/>
        <v/>
      </c>
      <c r="M152" t="str" cm="1">
        <f t="array" ref="M152">_xlfn.XLOOKUP(A152,J$14:J351,B$14:B351,"")</f>
        <v/>
      </c>
      <c r="N152" t="str" cm="1">
        <f t="array" ref="N152">_xlfn.XLOOKUP(A152,J$14:J351,C$14:C351,"")</f>
        <v/>
      </c>
      <c r="O152" t="str" cm="1">
        <f t="array" ref="O152">_xlfn.XLOOKUP(A152,J$14:J351,E$14:E351,"")</f>
        <v/>
      </c>
      <c r="P152" t="str" cm="1">
        <f t="array" ref="P152">_xlfn.XLOOKUP(A152,J$14:J351,G$14:G351,"")</f>
        <v/>
      </c>
      <c r="Q152" t="str" cm="1">
        <f t="array" ref="Q152">_xlfn.XLOOKUP(A152,J$14:J351,F$14:F351,"")</f>
        <v/>
      </c>
      <c r="R152" t="str" cm="1">
        <f t="array" ref="R152">_xlfn.XLOOKUP(A152,J$14:J351,I$14:I351,"")</f>
        <v/>
      </c>
      <c r="S152" t="str" cm="1">
        <f t="array" ref="S152">_xlfn.XLOOKUP(A152,J$14:J351,H$14:H351,"")</f>
        <v/>
      </c>
      <c r="T152" t="str" cm="1">
        <f t="array" ref="T152">VLOOKUP(ROW(139:139),L$14:S$163,8)</f>
        <v/>
      </c>
      <c r="U152" t="str" cm="1">
        <f t="array" ref="U152">VLOOKUP(ROW(139:139),L$14:M$163,2)</f>
        <v/>
      </c>
      <c r="V152" t="str" cm="1">
        <f t="array" ref="V152">VLOOKUP(ROW(139:139),L$14:O$163,4)</f>
        <v/>
      </c>
      <c r="W152" t="str" cm="1">
        <f t="array" ref="W152">VLOOKUP(ROW(139:139),L$14:Q$163,6)</f>
        <v/>
      </c>
      <c r="X152" cm="1">
        <f t="array" ref="X152">IFERROR(VLOOKUP(ROW(139:139),L$14:P$213,5)+0,0)</f>
        <v>0</v>
      </c>
      <c r="Y152" t="str" cm="1">
        <f t="array" ref="Y152">VLOOKUP(ROW(139:139),L$14:R$163,7)</f>
        <v/>
      </c>
      <c r="Z152">
        <f>IF(Y152&lt;-2,X152+MAX(Z$14:Z151),0)</f>
        <v>0</v>
      </c>
      <c r="AA152">
        <f>IFERROR(IF(AND(SUM(AA153:AA$214)+X152&lt;=Z$10,W152&lt;=Z$12,Z152=0),X152,0),0)</f>
        <v>0</v>
      </c>
      <c r="AB152">
        <f>IFERROR(IF(AND(W152&lt;=Z$12+10,AB$12-X152&gt;=0,SUM(Z152:AA152)=0,SUM(AB$14:AB151)+X152&lt;AB$12),X152,0),0)</f>
        <v>0</v>
      </c>
      <c r="AD152">
        <f>IF(AND(Y152=-2,SUM(Z152:AB152)=0),X152+MAX(AD$14:AD151),0)</f>
        <v>0</v>
      </c>
      <c r="AE152">
        <f>IFERROR(IF(AND(SUM(AE153:AE$214)+X152&lt;=AD$10,W152&lt;=AD$12,SUM(Z152:AD152)=0),X152,0),0)</f>
        <v>0</v>
      </c>
      <c r="AF152">
        <f>IFERROR(IF(AND(W152&lt;=AD$12+10,AF$12-X152&gt;=0,SUM(Z152:AE152)=0,SUM(AF$14:AF151)+X152&lt;AF$12),X152,0),0)</f>
        <v>0</v>
      </c>
      <c r="AG152">
        <f t="shared" si="86"/>
        <v>0</v>
      </c>
      <c r="AI152">
        <f t="shared" si="90"/>
        <v>0</v>
      </c>
      <c r="AJ152" s="493">
        <f t="shared" si="94"/>
        <v>0</v>
      </c>
      <c r="AK152">
        <f>IF(AJ152=0,0,IF(AJ151=0,MAX(AK$13:AK151)+1,IF(W152&lt;&gt;W151,MAX(AK$14:AK151)+1,IF(ROUNDDOWN(AJ152-0.01,0)=ROUNDDOWN(AJ151-0.01,0),AK151,AK151+1))))</f>
        <v>0</v>
      </c>
      <c r="AL152">
        <f t="shared" si="91"/>
        <v>0</v>
      </c>
      <c r="AM152">
        <f t="shared" si="92"/>
        <v>0</v>
      </c>
      <c r="AN152">
        <f>IF(AM152&gt;AN$12,IF(AK152=AK151,AN151,MAX(AN$13:AN151)+1),0)</f>
        <v>0</v>
      </c>
      <c r="AP152">
        <f t="shared" si="87"/>
        <v>0</v>
      </c>
      <c r="AQ152">
        <f>IF(AP152&gt;0,IF(MAX(AQ153:AQ$214)+AP152&gt;ROUNDUP(MAX(AQ153:AQ$214),0),ROUNDUP(MAX(AQ153:AQ$214),0)+AP152,MAX(AQ153:AQ$214)+AP152),0)</f>
        <v>0</v>
      </c>
      <c r="AR152">
        <f t="shared" si="93"/>
        <v>0</v>
      </c>
      <c r="AS152">
        <f t="shared" si="88"/>
        <v>0</v>
      </c>
      <c r="AT152">
        <f t="shared" si="89"/>
        <v>10</v>
      </c>
      <c r="AX152">
        <f>LARGE(AX121:AX150,2)</f>
        <v>0</v>
      </c>
      <c r="AY152">
        <f t="shared" ref="AY152:BF152" si="97">_xlfn.SINGLE(IF(AY151&gt;0,_xlfn.XLOOKUP(AY151,AY121:AY150,$AX121:$AX150),0))</f>
        <v>0</v>
      </c>
      <c r="AZ152">
        <f t="shared" si="97"/>
        <v>0</v>
      </c>
      <c r="BA152">
        <f t="shared" si="97"/>
        <v>0</v>
      </c>
      <c r="BB152">
        <f t="shared" si="97"/>
        <v>0</v>
      </c>
      <c r="BC152">
        <f t="shared" si="97"/>
        <v>0</v>
      </c>
      <c r="BD152">
        <f t="shared" si="97"/>
        <v>0</v>
      </c>
      <c r="BE152">
        <f t="shared" si="97"/>
        <v>0</v>
      </c>
      <c r="BF152">
        <f t="shared" si="97"/>
        <v>0</v>
      </c>
      <c r="BG152">
        <f>IF(SUM(BG121:BG150)=0,0,IF(BF152&gt;0,6,IF(BE152&gt;0,5,IF(BD152&gt;0,4,IF(BC152&gt;0,3,IF(BB152&gt;0,2,IF(BA152&gt;0,1)))))))</f>
        <v>0</v>
      </c>
      <c r="BH152" s="494">
        <f>MAX(BH121:BH150)</f>
        <v>0</v>
      </c>
    </row>
    <row r="153" spans="1:61" x14ac:dyDescent="0.25">
      <c r="A153">
        <v>140</v>
      </c>
      <c r="B153" t="str">
        <f>_xlfn.XLOOKUP(A153,Order!R$12:R$859,Order!C$12:C$859,"")</f>
        <v/>
      </c>
      <c r="C153" t="str">
        <f>_xlfn.XLOOKUP(A153,Order!R$12:R$859,Order!S$12:S$859,"")</f>
        <v/>
      </c>
      <c r="D153" t="str">
        <f>_xlfn.XLOOKUP(A153,Order!R$12:R$859,Order!B$12:B$859,"")</f>
        <v/>
      </c>
      <c r="E153" t="str">
        <f>_xlfn.XLOOKUP(A153,Order!R$12:R$859,Order!P$12:P$859,"")</f>
        <v/>
      </c>
      <c r="F153" t="str">
        <f>_xlfn.XLOOKUP(A153,Order!R$12:R$859,Order!T$12:T$859,"")</f>
        <v/>
      </c>
      <c r="G153" t="str">
        <f>_xlfn.XLOOKUP(A153,Order!R$12:R$859,Order!U$12:U$859,"")</f>
        <v/>
      </c>
      <c r="H153" t="str">
        <f>_xlfn.XLOOKUP(A153,Order!R$12:R$859,Order!B$12:B$859,"")</f>
        <v/>
      </c>
      <c r="I153" t="str">
        <f>_xlfn.XLOOKUP(A153,Order!R$12:R$859,Order!V$12:V$859,"")</f>
        <v/>
      </c>
      <c r="J153" t="str">
        <f>IFERROR(RANK(F153,F$14:F$213,1)+COUNTIF(F$14:F153,F153)-1,"")</f>
        <v/>
      </c>
      <c r="L153" t="str">
        <f t="shared" si="95"/>
        <v/>
      </c>
      <c r="M153" t="str" cm="1">
        <f t="array" ref="M153">_xlfn.XLOOKUP(A153,J$14:J352,B$14:B352,"")</f>
        <v/>
      </c>
      <c r="N153" t="str" cm="1">
        <f t="array" ref="N153">_xlfn.XLOOKUP(A153,J$14:J352,C$14:C352,"")</f>
        <v/>
      </c>
      <c r="O153" t="str" cm="1">
        <f t="array" ref="O153">_xlfn.XLOOKUP(A153,J$14:J352,E$14:E352,"")</f>
        <v/>
      </c>
      <c r="P153" t="str" cm="1">
        <f t="array" ref="P153">_xlfn.XLOOKUP(A153,J$14:J352,G$14:G352,"")</f>
        <v/>
      </c>
      <c r="Q153" t="str" cm="1">
        <f t="array" ref="Q153">_xlfn.XLOOKUP(A153,J$14:J352,F$14:F352,"")</f>
        <v/>
      </c>
      <c r="R153" t="str" cm="1">
        <f t="array" ref="R153">_xlfn.XLOOKUP(A153,J$14:J352,I$14:I352,"")</f>
        <v/>
      </c>
      <c r="S153" t="str" cm="1">
        <f t="array" ref="S153">_xlfn.XLOOKUP(A153,J$14:J352,H$14:H352,"")</f>
        <v/>
      </c>
      <c r="T153" t="str" cm="1">
        <f t="array" ref="T153">VLOOKUP(ROW(140:140),L$14:S$163,8)</f>
        <v/>
      </c>
      <c r="U153" t="str" cm="1">
        <f t="array" ref="U153">VLOOKUP(ROW(140:140),L$14:M$163,2)</f>
        <v/>
      </c>
      <c r="V153" t="str" cm="1">
        <f t="array" ref="V153">VLOOKUP(ROW(140:140),L$14:O$163,4)</f>
        <v/>
      </c>
      <c r="W153" t="str" cm="1">
        <f t="array" ref="W153">VLOOKUP(ROW(140:140),L$14:Q$163,6)</f>
        <v/>
      </c>
      <c r="X153" cm="1">
        <f t="array" ref="X153">IFERROR(VLOOKUP(ROW(140:140),L$14:P$213,5)+0,0)</f>
        <v>0</v>
      </c>
      <c r="Y153" t="str" cm="1">
        <f t="array" ref="Y153">VLOOKUP(ROW(140:140),L$14:R$163,7)</f>
        <v/>
      </c>
      <c r="Z153">
        <f>IF(Y153&lt;-2,X153+MAX(Z$14:Z152),0)</f>
        <v>0</v>
      </c>
      <c r="AA153">
        <f>IFERROR(IF(AND(SUM(AA154:AA$214)+X153&lt;=Z$10,W153&lt;=Z$12,Z153=0),X153,0),0)</f>
        <v>0</v>
      </c>
      <c r="AB153">
        <f>IFERROR(IF(AND(W153&lt;=Z$12+10,AB$12-X153&gt;=0,SUM(Z153:AA153)=0,SUM(AB$14:AB152)+X153&lt;AB$12),X153,0),0)</f>
        <v>0</v>
      </c>
      <c r="AD153">
        <f>IF(AND(Y153=-2,SUM(Z153:AB153)=0),X153+MAX(AD$14:AD152),0)</f>
        <v>0</v>
      </c>
      <c r="AE153">
        <f>IFERROR(IF(AND(SUM(AE154:AE$214)+X153&lt;=AD$10,W153&lt;=AD$12,SUM(Z153:AD153)=0),X153,0),0)</f>
        <v>0</v>
      </c>
      <c r="AF153">
        <f>IFERROR(IF(AND(W153&lt;=AD$12+10,AF$12-X153&gt;=0,SUM(Z153:AE153)=0,SUM(AF$14:AF152)+X153&lt;AF$12),X153,0),0)</f>
        <v>0</v>
      </c>
      <c r="AG153">
        <f t="shared" si="86"/>
        <v>0</v>
      </c>
      <c r="AI153">
        <f t="shared" si="90"/>
        <v>0</v>
      </c>
      <c r="AJ153" s="493">
        <f t="shared" si="94"/>
        <v>0</v>
      </c>
      <c r="AK153">
        <f>IF(AJ153=0,0,IF(AJ152=0,MAX(AK$13:AK152)+1,IF(W153&lt;&gt;W152,MAX(AK$14:AK152)+1,IF(ROUNDDOWN(AJ153-0.01,0)=ROUNDDOWN(AJ152-0.01,0),AK152,AK152+1))))</f>
        <v>0</v>
      </c>
      <c r="AL153">
        <f t="shared" si="91"/>
        <v>0</v>
      </c>
      <c r="AM153">
        <f t="shared" si="92"/>
        <v>0</v>
      </c>
      <c r="AN153">
        <f>IF(AM153&gt;AN$12,IF(AK153=AK152,AN152,MAX(AN$13:AN152)+1),0)</f>
        <v>0</v>
      </c>
      <c r="AP153">
        <f t="shared" si="87"/>
        <v>0</v>
      </c>
      <c r="AQ153">
        <f>IF(AP153&gt;0,IF(MAX(AQ154:AQ$214)+AP153&gt;ROUNDUP(MAX(AQ154:AQ$214),0),ROUNDUP(MAX(AQ154:AQ$214),0)+AP153,MAX(AQ154:AQ$214)+AP153),0)</f>
        <v>0</v>
      </c>
      <c r="AR153">
        <f t="shared" si="93"/>
        <v>0</v>
      </c>
      <c r="AS153">
        <f t="shared" si="88"/>
        <v>0</v>
      </c>
      <c r="AT153">
        <f t="shared" si="89"/>
        <v>10</v>
      </c>
      <c r="AY153">
        <f>AY151</f>
        <v>0</v>
      </c>
      <c r="AZ153">
        <f>AZ151</f>
        <v>0</v>
      </c>
      <c r="BA153">
        <f t="shared" ref="BA153:BF153" si="98">IF(AND($BG152=BA119,$BH152&gt;0),$BH153,BA151)</f>
        <v>0</v>
      </c>
      <c r="BB153">
        <f t="shared" si="98"/>
        <v>0</v>
      </c>
      <c r="BC153">
        <f t="shared" si="98"/>
        <v>0</v>
      </c>
      <c r="BD153">
        <f t="shared" si="98"/>
        <v>0</v>
      </c>
      <c r="BE153">
        <f t="shared" si="98"/>
        <v>0</v>
      </c>
      <c r="BF153">
        <f t="shared" si="98"/>
        <v>0</v>
      </c>
      <c r="BG153" t="b">
        <f>IF(BF152&gt;0,BF152,IF(BE152&gt;0,BE152,IF(BD152&gt;0,BD152,IF(BC152&gt;0,BC152,IF(BB152&gt;0,BB152,IF(BA152&gt;0,BA152))))))</f>
        <v>0</v>
      </c>
      <c r="BH153">
        <f>_xlfn.XLOOKUP(BH152,BH121:BH150,AV121:AV150,0,0,1)</f>
        <v>1</v>
      </c>
    </row>
    <row r="154" spans="1:61" x14ac:dyDescent="0.25">
      <c r="A154">
        <v>141</v>
      </c>
      <c r="B154" t="str">
        <f>_xlfn.XLOOKUP(A154,Order!R$12:R$859,Order!C$12:C$859,"")</f>
        <v/>
      </c>
      <c r="C154" t="str">
        <f>_xlfn.XLOOKUP(A154,Order!R$12:R$859,Order!S$12:S$859,"")</f>
        <v/>
      </c>
      <c r="D154" t="str">
        <f>_xlfn.XLOOKUP(A154,Order!R$12:R$859,Order!B$12:B$859,"")</f>
        <v/>
      </c>
      <c r="E154" t="str">
        <f>_xlfn.XLOOKUP(A154,Order!R$12:R$859,Order!P$12:P$859,"")</f>
        <v/>
      </c>
      <c r="F154" t="str">
        <f>_xlfn.XLOOKUP(A154,Order!R$12:R$859,Order!T$12:T$859,"")</f>
        <v/>
      </c>
      <c r="G154" t="str">
        <f>_xlfn.XLOOKUP(A154,Order!R$12:R$859,Order!U$12:U$859,"")</f>
        <v/>
      </c>
      <c r="H154" t="str">
        <f>_xlfn.XLOOKUP(A154,Order!R$12:R$859,Order!B$12:B$859,"")</f>
        <v/>
      </c>
      <c r="I154" t="str">
        <f>_xlfn.XLOOKUP(A154,Order!R$12:R$859,Order!V$12:V$859,"")</f>
        <v/>
      </c>
      <c r="J154" t="str">
        <f>IFERROR(RANK(F154,F$14:F$213,1)+COUNTIF(F$14:F154,F154)-1,"")</f>
        <v/>
      </c>
      <c r="L154" t="str">
        <f t="shared" si="95"/>
        <v/>
      </c>
      <c r="M154" t="str" cm="1">
        <f t="array" ref="M154">_xlfn.XLOOKUP(A154,J$14:J353,B$14:B353,"")</f>
        <v/>
      </c>
      <c r="N154" t="str" cm="1">
        <f t="array" ref="N154">_xlfn.XLOOKUP(A154,J$14:J353,C$14:C353,"")</f>
        <v/>
      </c>
      <c r="O154" t="str" cm="1">
        <f t="array" ref="O154">_xlfn.XLOOKUP(A154,J$14:J353,E$14:E353,"")</f>
        <v/>
      </c>
      <c r="P154" t="str" cm="1">
        <f t="array" ref="P154">_xlfn.XLOOKUP(A154,J$14:J353,G$14:G353,"")</f>
        <v/>
      </c>
      <c r="Q154" t="str" cm="1">
        <f t="array" ref="Q154">_xlfn.XLOOKUP(A154,J$14:J353,F$14:F353,"")</f>
        <v/>
      </c>
      <c r="R154" t="str" cm="1">
        <f t="array" ref="R154">_xlfn.XLOOKUP(A154,J$14:J353,I$14:I353,"")</f>
        <v/>
      </c>
      <c r="S154" t="str" cm="1">
        <f t="array" ref="S154">_xlfn.XLOOKUP(A154,J$14:J353,H$14:H353,"")</f>
        <v/>
      </c>
      <c r="T154" t="str" cm="1">
        <f t="array" ref="T154">VLOOKUP(ROW(141:141),L$14:S$163,8)</f>
        <v/>
      </c>
      <c r="U154" t="str" cm="1">
        <f t="array" ref="U154">VLOOKUP(ROW(141:141),L$14:M$163,2)</f>
        <v/>
      </c>
      <c r="V154" t="str" cm="1">
        <f t="array" ref="V154">VLOOKUP(ROW(141:141),L$14:O$163,4)</f>
        <v/>
      </c>
      <c r="W154" t="str" cm="1">
        <f t="array" ref="W154">VLOOKUP(ROW(141:141),L$14:Q$163,6)</f>
        <v/>
      </c>
      <c r="X154" cm="1">
        <f t="array" ref="X154">IFERROR(VLOOKUP(ROW(141:141),L$14:P$213,5)+0,0)</f>
        <v>0</v>
      </c>
      <c r="Y154" t="str" cm="1">
        <f t="array" ref="Y154">VLOOKUP(ROW(141:141),L$14:R$163,7)</f>
        <v/>
      </c>
      <c r="Z154">
        <f>IF(Y154&lt;-2,X154+MAX(Z$14:Z153),0)</f>
        <v>0</v>
      </c>
      <c r="AA154">
        <f>IFERROR(IF(AND(SUM(AA155:AA$214)+X154&lt;=Z$10,W154&lt;=Z$12,Z154=0),X154,0),0)</f>
        <v>0</v>
      </c>
      <c r="AB154">
        <f>IFERROR(IF(AND(W154&lt;=Z$12+10,AB$12-X154&gt;=0,SUM(Z154:AA154)=0,SUM(AB$14:AB153)+X154&lt;AB$12),X154,0),0)</f>
        <v>0</v>
      </c>
      <c r="AD154">
        <f>IF(AND(Y154=-2,SUM(Z154:AB154)=0),X154+MAX(AD$14:AD153),0)</f>
        <v>0</v>
      </c>
      <c r="AE154">
        <f>IFERROR(IF(AND(SUM(AE155:AE$214)+X154&lt;=AD$10,W154&lt;=AD$12,SUM(Z154:AD154)=0),X154,0),0)</f>
        <v>0</v>
      </c>
      <c r="AF154">
        <f>IFERROR(IF(AND(W154&lt;=AD$12+10,AF$12-X154&gt;=0,SUM(Z154:AE154)=0,SUM(AF$14:AF153)+X154&lt;AF$12),X154,0),0)</f>
        <v>0</v>
      </c>
      <c r="AG154">
        <f t="shared" si="86"/>
        <v>0</v>
      </c>
      <c r="AI154">
        <f t="shared" si="90"/>
        <v>0</v>
      </c>
      <c r="AJ154" s="493">
        <f t="shared" si="94"/>
        <v>0</v>
      </c>
      <c r="AK154">
        <f>IF(AJ154=0,0,IF(AJ153=0,MAX(AK$13:AK153)+1,IF(W154&lt;&gt;W153,MAX(AK$14:AK153)+1,IF(ROUNDDOWN(AJ154-0.01,0)=ROUNDDOWN(AJ153-0.01,0),AK153,AK153+1))))</f>
        <v>0</v>
      </c>
      <c r="AL154">
        <f t="shared" si="91"/>
        <v>0</v>
      </c>
      <c r="AM154">
        <f t="shared" si="92"/>
        <v>0</v>
      </c>
      <c r="AN154">
        <f>IF(AM154&gt;AN$12,IF(AK154=AK153,AN153,MAX(AN$13:AN153)+1),0)</f>
        <v>0</v>
      </c>
      <c r="AP154">
        <f t="shared" si="87"/>
        <v>0</v>
      </c>
      <c r="AQ154">
        <f>IF(AP154&gt;0,IF(MAX(AQ155:AQ$214)+AP154&gt;ROUNDUP(MAX(AQ155:AQ$214),0),ROUNDUP(MAX(AQ155:AQ$214),0)+AP154,MAX(AQ155:AQ$214)+AP154),0)</f>
        <v>0</v>
      </c>
      <c r="AR154">
        <f t="shared" si="93"/>
        <v>0</v>
      </c>
      <c r="AS154">
        <f t="shared" si="88"/>
        <v>0</v>
      </c>
      <c r="AT154">
        <f t="shared" si="89"/>
        <v>10</v>
      </c>
      <c r="AY154">
        <f>AY152</f>
        <v>0</v>
      </c>
      <c r="AZ154">
        <f>AZ152</f>
        <v>0</v>
      </c>
      <c r="BA154">
        <f t="shared" ref="BA154:BF154" si="99">IF(AND($BG152=BA119,$BH152&gt;0),$BH152,BA152)</f>
        <v>0</v>
      </c>
      <c r="BB154">
        <f t="shared" si="99"/>
        <v>0</v>
      </c>
      <c r="BC154">
        <f t="shared" si="99"/>
        <v>0</v>
      </c>
      <c r="BD154">
        <f t="shared" si="99"/>
        <v>0</v>
      </c>
      <c r="BE154">
        <f t="shared" si="99"/>
        <v>0</v>
      </c>
      <c r="BF154">
        <f t="shared" si="99"/>
        <v>0</v>
      </c>
      <c r="BG154">
        <f>_xlfn.XLOOKUP(BG152,BA119:BF119,BA151:BF151,0)</f>
        <v>0</v>
      </c>
    </row>
    <row r="155" spans="1:61" x14ac:dyDescent="0.25">
      <c r="A155">
        <v>142</v>
      </c>
      <c r="B155" t="str">
        <f>_xlfn.XLOOKUP(A155,Order!R$12:R$859,Order!C$12:C$859,"")</f>
        <v/>
      </c>
      <c r="C155" t="str">
        <f>_xlfn.XLOOKUP(A155,Order!R$12:R$859,Order!S$12:S$859,"")</f>
        <v/>
      </c>
      <c r="D155" t="str">
        <f>_xlfn.XLOOKUP(A155,Order!R$12:R$859,Order!B$12:B$859,"")</f>
        <v/>
      </c>
      <c r="E155" t="str">
        <f>_xlfn.XLOOKUP(A155,Order!R$12:R$859,Order!P$12:P$859,"")</f>
        <v/>
      </c>
      <c r="F155" t="str">
        <f>_xlfn.XLOOKUP(A155,Order!R$12:R$859,Order!T$12:T$859,"")</f>
        <v/>
      </c>
      <c r="G155" t="str">
        <f>_xlfn.XLOOKUP(A155,Order!R$12:R$859,Order!U$12:U$859,"")</f>
        <v/>
      </c>
      <c r="H155" t="str">
        <f>_xlfn.XLOOKUP(A155,Order!R$12:R$859,Order!B$12:B$859,"")</f>
        <v/>
      </c>
      <c r="I155" t="str">
        <f>_xlfn.XLOOKUP(A155,Order!R$12:R$859,Order!V$12:V$859,"")</f>
        <v/>
      </c>
      <c r="J155" t="str">
        <f>IFERROR(RANK(F155,F$14:F$213,1)+COUNTIF(F$14:F155,F155)-1,"")</f>
        <v/>
      </c>
      <c r="L155" t="str">
        <f t="shared" si="95"/>
        <v/>
      </c>
      <c r="M155" t="str" cm="1">
        <f t="array" ref="M155">_xlfn.XLOOKUP(A155,J$14:J354,B$14:B354,"")</f>
        <v/>
      </c>
      <c r="N155" t="str" cm="1">
        <f t="array" ref="N155">_xlfn.XLOOKUP(A155,J$14:J354,C$14:C354,"")</f>
        <v/>
      </c>
      <c r="O155" t="str" cm="1">
        <f t="array" ref="O155">_xlfn.XLOOKUP(A155,J$14:J354,E$14:E354,"")</f>
        <v/>
      </c>
      <c r="P155" t="str" cm="1">
        <f t="array" ref="P155">_xlfn.XLOOKUP(A155,J$14:J354,G$14:G354,"")</f>
        <v/>
      </c>
      <c r="Q155" t="str" cm="1">
        <f t="array" ref="Q155">_xlfn.XLOOKUP(A155,J$14:J354,F$14:F354,"")</f>
        <v/>
      </c>
      <c r="R155" t="str" cm="1">
        <f t="array" ref="R155">_xlfn.XLOOKUP(A155,J$14:J354,I$14:I354,"")</f>
        <v/>
      </c>
      <c r="S155" t="str" cm="1">
        <f t="array" ref="S155">_xlfn.XLOOKUP(A155,J$14:J354,H$14:H354,"")</f>
        <v/>
      </c>
      <c r="T155" t="str" cm="1">
        <f t="array" ref="T155">VLOOKUP(ROW(142:142),L$14:S$163,8)</f>
        <v/>
      </c>
      <c r="U155" t="str" cm="1">
        <f t="array" ref="U155">VLOOKUP(ROW(142:142),L$14:M$163,2)</f>
        <v/>
      </c>
      <c r="V155" t="str" cm="1">
        <f t="array" ref="V155">VLOOKUP(ROW(142:142),L$14:O$163,4)</f>
        <v/>
      </c>
      <c r="W155" t="str" cm="1">
        <f t="array" ref="W155">VLOOKUP(ROW(142:142),L$14:Q$163,6)</f>
        <v/>
      </c>
      <c r="X155" cm="1">
        <f t="array" ref="X155">IFERROR(VLOOKUP(ROW(142:142),L$14:P$213,5)+0,0)</f>
        <v>0</v>
      </c>
      <c r="Y155" t="str" cm="1">
        <f t="array" ref="Y155">VLOOKUP(ROW(142:142),L$14:R$163,7)</f>
        <v/>
      </c>
      <c r="Z155">
        <f>IF(Y155&lt;-2,X155+MAX(Z$14:Z154),0)</f>
        <v>0</v>
      </c>
      <c r="AA155">
        <f>IFERROR(IF(AND(SUM(AA156:AA$214)+X155&lt;=Z$10,W155&lt;=Z$12,Z155=0),X155,0),0)</f>
        <v>0</v>
      </c>
      <c r="AB155">
        <f>IFERROR(IF(AND(W155&lt;=Z$12+10,AB$12-X155&gt;=0,SUM(Z155:AA155)=0,SUM(AB$14:AB154)+X155&lt;AB$12),X155,0),0)</f>
        <v>0</v>
      </c>
      <c r="AD155">
        <f>IF(AND(Y155=-2,SUM(Z155:AB155)=0),X155+MAX(AD$14:AD154),0)</f>
        <v>0</v>
      </c>
      <c r="AE155">
        <f>IFERROR(IF(AND(SUM(AE156:AE$214)+X155&lt;=AD$10,W155&lt;=AD$12,SUM(Z155:AD155)=0),X155,0),0)</f>
        <v>0</v>
      </c>
      <c r="AF155">
        <f>IFERROR(IF(AND(W155&lt;=AD$12+10,AF$12-X155&gt;=0,SUM(Z155:AE155)=0,SUM(AF$14:AF154)+X155&lt;AF$12),X155,0),0)</f>
        <v>0</v>
      </c>
      <c r="AG155">
        <f t="shared" si="86"/>
        <v>0</v>
      </c>
      <c r="AI155">
        <f t="shared" si="90"/>
        <v>0</v>
      </c>
      <c r="AJ155" s="493">
        <f t="shared" si="94"/>
        <v>0</v>
      </c>
      <c r="AK155">
        <f>IF(AJ155=0,0,IF(AJ154=0,MAX(AK$13:AK154)+1,IF(W155&lt;&gt;W154,MAX(AK$14:AK154)+1,IF(ROUNDDOWN(AJ155-0.01,0)=ROUNDDOWN(AJ154-0.01,0),AK154,AK154+1))))</f>
        <v>0</v>
      </c>
      <c r="AL155">
        <f t="shared" si="91"/>
        <v>0</v>
      </c>
      <c r="AM155">
        <f t="shared" si="92"/>
        <v>0</v>
      </c>
      <c r="AN155">
        <f>IF(AM155&gt;AN$12,IF(AK155=AK154,AN154,MAX(AN$13:AN154)+1),0)</f>
        <v>0</v>
      </c>
      <c r="AP155">
        <f t="shared" si="87"/>
        <v>0</v>
      </c>
      <c r="AQ155">
        <f>IF(AP155&gt;0,IF(MAX(AQ156:AQ$214)+AP155&gt;ROUNDUP(MAX(AQ156:AQ$214),0),ROUNDUP(MAX(AQ156:AQ$214),0)+AP155,MAX(AQ156:AQ$214)+AP155),0)</f>
        <v>0</v>
      </c>
      <c r="AR155">
        <f t="shared" si="93"/>
        <v>0</v>
      </c>
      <c r="AS155">
        <f t="shared" si="88"/>
        <v>0</v>
      </c>
      <c r="AT155">
        <f t="shared" si="89"/>
        <v>10</v>
      </c>
      <c r="AY155">
        <f>MAX(AZ155:BF155)+1</f>
        <v>41</v>
      </c>
      <c r="AZ155">
        <v>40</v>
      </c>
      <c r="BA155">
        <f t="shared" ref="BA155:BF155" si="100">IF(BA151&gt;0,AZ155+1,0)</f>
        <v>0</v>
      </c>
      <c r="BB155">
        <f t="shared" si="100"/>
        <v>0</v>
      </c>
      <c r="BC155">
        <f t="shared" si="100"/>
        <v>0</v>
      </c>
      <c r="BD155">
        <f t="shared" si="100"/>
        <v>0</v>
      </c>
      <c r="BE155">
        <f t="shared" si="100"/>
        <v>0</v>
      </c>
      <c r="BF155">
        <f t="shared" si="100"/>
        <v>0</v>
      </c>
    </row>
    <row r="156" spans="1:61" x14ac:dyDescent="0.25">
      <c r="A156">
        <v>143</v>
      </c>
      <c r="B156" t="str">
        <f>_xlfn.XLOOKUP(A156,Order!R$12:R$859,Order!C$12:C$859,"")</f>
        <v/>
      </c>
      <c r="C156" t="str">
        <f>_xlfn.XLOOKUP(A156,Order!R$12:R$859,Order!S$12:S$859,"")</f>
        <v/>
      </c>
      <c r="D156" t="str">
        <f>_xlfn.XLOOKUP(A156,Order!R$12:R$859,Order!B$12:B$859,"")</f>
        <v/>
      </c>
      <c r="E156" t="str">
        <f>_xlfn.XLOOKUP(A156,Order!R$12:R$859,Order!P$12:P$859,"")</f>
        <v/>
      </c>
      <c r="F156" t="str">
        <f>_xlfn.XLOOKUP(A156,Order!R$12:R$859,Order!T$12:T$859,"")</f>
        <v/>
      </c>
      <c r="G156" t="str">
        <f>_xlfn.XLOOKUP(A156,Order!R$12:R$859,Order!U$12:U$859,"")</f>
        <v/>
      </c>
      <c r="H156" t="str">
        <f>_xlfn.XLOOKUP(A156,Order!R$12:R$859,Order!B$12:B$859,"")</f>
        <v/>
      </c>
      <c r="I156" t="str">
        <f>_xlfn.XLOOKUP(A156,Order!R$12:R$859,Order!V$12:V$859,"")</f>
        <v/>
      </c>
      <c r="J156" t="str">
        <f>IFERROR(RANK(F156,F$14:F$213,1)+COUNTIF(F$14:F156,F156)-1,"")</f>
        <v/>
      </c>
      <c r="L156" t="str">
        <f t="shared" si="95"/>
        <v/>
      </c>
      <c r="M156" t="str" cm="1">
        <f t="array" ref="M156">_xlfn.XLOOKUP(A156,J$14:J355,B$14:B355,"")</f>
        <v/>
      </c>
      <c r="N156" t="str" cm="1">
        <f t="array" ref="N156">_xlfn.XLOOKUP(A156,J$14:J355,C$14:C355,"")</f>
        <v/>
      </c>
      <c r="O156" t="str" cm="1">
        <f t="array" ref="O156">_xlfn.XLOOKUP(A156,J$14:J355,E$14:E355,"")</f>
        <v/>
      </c>
      <c r="P156" t="str" cm="1">
        <f t="array" ref="P156">_xlfn.XLOOKUP(A156,J$14:J355,G$14:G355,"")</f>
        <v/>
      </c>
      <c r="Q156" t="str" cm="1">
        <f t="array" ref="Q156">_xlfn.XLOOKUP(A156,J$14:J355,F$14:F355,"")</f>
        <v/>
      </c>
      <c r="R156" t="str" cm="1">
        <f t="array" ref="R156">_xlfn.XLOOKUP(A156,J$14:J355,I$14:I355,"")</f>
        <v/>
      </c>
      <c r="S156" t="str" cm="1">
        <f t="array" ref="S156">_xlfn.XLOOKUP(A156,J$14:J355,H$14:H355,"")</f>
        <v/>
      </c>
      <c r="T156" t="str" cm="1">
        <f t="array" ref="T156">VLOOKUP(ROW(143:143),L$14:S$163,8)</f>
        <v/>
      </c>
      <c r="U156" t="str" cm="1">
        <f t="array" ref="U156">VLOOKUP(ROW(143:143),L$14:M$163,2)</f>
        <v/>
      </c>
      <c r="V156" t="str" cm="1">
        <f t="array" ref="V156">VLOOKUP(ROW(143:143),L$14:O$163,4)</f>
        <v/>
      </c>
      <c r="W156" t="str" cm="1">
        <f t="array" ref="W156">VLOOKUP(ROW(143:143),L$14:Q$163,6)</f>
        <v/>
      </c>
      <c r="X156" cm="1">
        <f t="array" ref="X156">IFERROR(VLOOKUP(ROW(143:143),L$14:P$213,5)+0,0)</f>
        <v>0</v>
      </c>
      <c r="Y156" t="str" cm="1">
        <f t="array" ref="Y156">VLOOKUP(ROW(143:143),L$14:R$163,7)</f>
        <v/>
      </c>
      <c r="Z156">
        <f>IF(Y156&lt;-2,X156+MAX(Z$14:Z155),0)</f>
        <v>0</v>
      </c>
      <c r="AA156">
        <f>IFERROR(IF(AND(SUM(AA157:AA$214)+X156&lt;=Z$10,W156&lt;=Z$12,Z156=0),X156,0),0)</f>
        <v>0</v>
      </c>
      <c r="AB156">
        <f>IFERROR(IF(AND(W156&lt;=Z$12+10,AB$12-X156&gt;=0,SUM(Z156:AA156)=0,SUM(AB$14:AB155)+X156&lt;AB$12),X156,0),0)</f>
        <v>0</v>
      </c>
      <c r="AD156">
        <f>IF(AND(Y156=-2,SUM(Z156:AB156)=0),X156+MAX(AD$14:AD155),0)</f>
        <v>0</v>
      </c>
      <c r="AE156">
        <f>IFERROR(IF(AND(SUM(AE157:AE$214)+X156&lt;=AD$10,W156&lt;=AD$12,SUM(Z156:AD156)=0),X156,0),0)</f>
        <v>0</v>
      </c>
      <c r="AF156">
        <f>IFERROR(IF(AND(W156&lt;=AD$12+10,AF$12-X156&gt;=0,SUM(Z156:AE156)=0,SUM(AF$14:AF155)+X156&lt;AF$12),X156,0),0)</f>
        <v>0</v>
      </c>
      <c r="AG156">
        <f t="shared" si="86"/>
        <v>0</v>
      </c>
      <c r="AI156">
        <f t="shared" si="90"/>
        <v>0</v>
      </c>
      <c r="AJ156" s="493">
        <f t="shared" si="94"/>
        <v>0</v>
      </c>
      <c r="AK156">
        <f>IF(AJ156=0,0,IF(AJ155=0,MAX(AK$13:AK155)+1,IF(W156&lt;&gt;W155,MAX(AK$14:AK155)+1,IF(ROUNDDOWN(AJ156-0.01,0)=ROUNDDOWN(AJ155-0.01,0),AK155,AK155+1))))</f>
        <v>0</v>
      </c>
      <c r="AL156">
        <f t="shared" si="91"/>
        <v>0</v>
      </c>
      <c r="AM156">
        <f t="shared" si="92"/>
        <v>0</v>
      </c>
      <c r="AN156">
        <f>IF(AM156&gt;AN$12,IF(AK156=AK155,AN155,MAX(AN$13:AN155)+1),0)</f>
        <v>0</v>
      </c>
      <c r="AP156">
        <f t="shared" si="87"/>
        <v>0</v>
      </c>
      <c r="AQ156">
        <f>IF(AP156&gt;0,IF(MAX(AQ157:AQ$214)+AP156&gt;ROUNDUP(MAX(AQ157:AQ$214),0),ROUNDUP(MAX(AQ157:AQ$214),0)+AP156,MAX(AQ157:AQ$214)+AP156),0)</f>
        <v>0</v>
      </c>
      <c r="AR156">
        <f t="shared" si="93"/>
        <v>0</v>
      </c>
      <c r="AS156">
        <f t="shared" si="88"/>
        <v>0</v>
      </c>
      <c r="AT156">
        <f t="shared" si="89"/>
        <v>10</v>
      </c>
      <c r="AY156">
        <f>AR1</f>
        <v>160</v>
      </c>
      <c r="AZ156">
        <f t="shared" ref="AZ156:BF156" si="101">AY156-AZ152</f>
        <v>160</v>
      </c>
      <c r="BA156">
        <f t="shared" si="101"/>
        <v>160</v>
      </c>
      <c r="BB156">
        <f t="shared" si="101"/>
        <v>160</v>
      </c>
      <c r="BC156">
        <f t="shared" si="101"/>
        <v>160</v>
      </c>
      <c r="BD156">
        <f t="shared" si="101"/>
        <v>160</v>
      </c>
      <c r="BE156">
        <f t="shared" si="101"/>
        <v>160</v>
      </c>
      <c r="BF156">
        <f t="shared" si="101"/>
        <v>160</v>
      </c>
    </row>
    <row r="157" spans="1:61" x14ac:dyDescent="0.25">
      <c r="A157">
        <v>144</v>
      </c>
      <c r="B157" t="str">
        <f>_xlfn.XLOOKUP(A157,Order!R$12:R$859,Order!C$12:C$859,"")</f>
        <v/>
      </c>
      <c r="C157" t="str">
        <f>_xlfn.XLOOKUP(A157,Order!R$12:R$859,Order!S$12:S$859,"")</f>
        <v/>
      </c>
      <c r="D157" t="str">
        <f>_xlfn.XLOOKUP(A157,Order!R$12:R$859,Order!B$12:B$859,"")</f>
        <v/>
      </c>
      <c r="E157" t="str">
        <f>_xlfn.XLOOKUP(A157,Order!R$12:R$859,Order!P$12:P$859,"")</f>
        <v/>
      </c>
      <c r="F157" t="str">
        <f>_xlfn.XLOOKUP(A157,Order!R$12:R$859,Order!T$12:T$859,"")</f>
        <v/>
      </c>
      <c r="G157" t="str">
        <f>_xlfn.XLOOKUP(A157,Order!R$12:R$859,Order!U$12:U$859,"")</f>
        <v/>
      </c>
      <c r="H157" t="str">
        <f>_xlfn.XLOOKUP(A157,Order!R$12:R$859,Order!B$12:B$859,"")</f>
        <v/>
      </c>
      <c r="I157" t="str">
        <f>_xlfn.XLOOKUP(A157,Order!R$12:R$859,Order!V$12:V$859,"")</f>
        <v/>
      </c>
      <c r="J157" t="str">
        <f>IFERROR(RANK(F157,F$14:F$213,1)+COUNTIF(F$14:F157,F157)-1,"")</f>
        <v/>
      </c>
      <c r="L157" t="str">
        <f t="shared" si="95"/>
        <v/>
      </c>
      <c r="M157" t="str" cm="1">
        <f t="array" ref="M157">_xlfn.XLOOKUP(A157,J$14:J356,B$14:B356,"")</f>
        <v/>
      </c>
      <c r="N157" t="str" cm="1">
        <f t="array" ref="N157">_xlfn.XLOOKUP(A157,J$14:J356,C$14:C356,"")</f>
        <v/>
      </c>
      <c r="O157" t="str" cm="1">
        <f t="array" ref="O157">_xlfn.XLOOKUP(A157,J$14:J356,E$14:E356,"")</f>
        <v/>
      </c>
      <c r="P157" t="str" cm="1">
        <f t="array" ref="P157">_xlfn.XLOOKUP(A157,J$14:J356,G$14:G356,"")</f>
        <v/>
      </c>
      <c r="Q157" t="str" cm="1">
        <f t="array" ref="Q157">_xlfn.XLOOKUP(A157,J$14:J356,F$14:F356,"")</f>
        <v/>
      </c>
      <c r="R157" t="str" cm="1">
        <f t="array" ref="R157">_xlfn.XLOOKUP(A157,J$14:J356,I$14:I356,"")</f>
        <v/>
      </c>
      <c r="S157" t="str" cm="1">
        <f t="array" ref="S157">_xlfn.XLOOKUP(A157,J$14:J356,H$14:H356,"")</f>
        <v/>
      </c>
      <c r="T157" t="str" cm="1">
        <f t="array" ref="T157">VLOOKUP(ROW(144:144),L$14:S$163,8)</f>
        <v/>
      </c>
      <c r="U157" t="str" cm="1">
        <f t="array" ref="U157">VLOOKUP(ROW(144:144),L$14:M$163,2)</f>
        <v/>
      </c>
      <c r="V157" t="str" cm="1">
        <f t="array" ref="V157">VLOOKUP(ROW(144:144),L$14:O$163,4)</f>
        <v/>
      </c>
      <c r="W157" t="str" cm="1">
        <f t="array" ref="W157">VLOOKUP(ROW(144:144),L$14:Q$163,6)</f>
        <v/>
      </c>
      <c r="X157" cm="1">
        <f t="array" ref="X157">IFERROR(VLOOKUP(ROW(144:144),L$14:P$213,5)+0,0)</f>
        <v>0</v>
      </c>
      <c r="Y157" t="str" cm="1">
        <f t="array" ref="Y157">VLOOKUP(ROW(144:144),L$14:R$163,7)</f>
        <v/>
      </c>
      <c r="Z157">
        <f>IF(Y157&lt;-2,X157+MAX(Z$14:Z156),0)</f>
        <v>0</v>
      </c>
      <c r="AA157">
        <f>IFERROR(IF(AND(SUM(AA158:AA$214)+X157&lt;=Z$10,W157&lt;=Z$12,Z157=0),X157,0),0)</f>
        <v>0</v>
      </c>
      <c r="AB157">
        <f>IFERROR(IF(AND(W157&lt;=Z$12+10,AB$12-X157&gt;=0,SUM(Z157:AA157)=0,SUM(AB$14:AB156)+X157&lt;AB$12),X157,0),0)</f>
        <v>0</v>
      </c>
      <c r="AD157">
        <f>IF(AND(Y157=-2,SUM(Z157:AB157)=0),X157+MAX(AD$14:AD156),0)</f>
        <v>0</v>
      </c>
      <c r="AE157">
        <f>IFERROR(IF(AND(SUM(AE158:AE$214)+X157&lt;=AD$10,W157&lt;=AD$12,SUM(Z157:AD157)=0),X157,0),0)</f>
        <v>0</v>
      </c>
      <c r="AF157">
        <f>IFERROR(IF(AND(W157&lt;=AD$12+10,AF$12-X157&gt;=0,SUM(Z157:AE157)=0,SUM(AF$14:AF156)+X157&lt;AF$12),X157,0),0)</f>
        <v>0</v>
      </c>
      <c r="AG157">
        <f t="shared" si="86"/>
        <v>0</v>
      </c>
      <c r="AI157">
        <f t="shared" si="90"/>
        <v>0</v>
      </c>
      <c r="AJ157" s="493">
        <f t="shared" si="94"/>
        <v>0</v>
      </c>
      <c r="AK157">
        <f>IF(AJ157=0,0,IF(AJ156=0,MAX(AK$13:AK156)+1,IF(W157&lt;&gt;W156,MAX(AK$14:AK156)+1,IF(ROUNDDOWN(AJ157-0.01,0)=ROUNDDOWN(AJ156-0.01,0),AK156,AK156+1))))</f>
        <v>0</v>
      </c>
      <c r="AL157">
        <f t="shared" si="91"/>
        <v>0</v>
      </c>
      <c r="AM157">
        <f t="shared" si="92"/>
        <v>0</v>
      </c>
      <c r="AN157">
        <f>IF(AM157&gt;AN$12,IF(AK157=AK156,AN156,MAX(AN$13:AN156)+1),0)</f>
        <v>0</v>
      </c>
      <c r="AP157">
        <f t="shared" si="87"/>
        <v>0</v>
      </c>
      <c r="AQ157">
        <f>IF(AP157&gt;0,IF(MAX(AQ158:AQ$214)+AP157&gt;ROUNDUP(MAX(AQ158:AQ$214),0),ROUNDUP(MAX(AQ158:AQ$214),0)+AP157,MAX(AQ158:AQ$214)+AP157),0)</f>
        <v>0</v>
      </c>
      <c r="AR157">
        <f t="shared" si="93"/>
        <v>0</v>
      </c>
      <c r="AS157">
        <f t="shared" si="88"/>
        <v>0</v>
      </c>
      <c r="AT157">
        <f t="shared" si="89"/>
        <v>10</v>
      </c>
    </row>
    <row r="158" spans="1:61" x14ac:dyDescent="0.25">
      <c r="A158">
        <v>145</v>
      </c>
      <c r="B158" t="str">
        <f>_xlfn.XLOOKUP(A158,Order!R$12:R$859,Order!C$12:C$859,"")</f>
        <v/>
      </c>
      <c r="C158" t="str">
        <f>_xlfn.XLOOKUP(A158,Order!R$12:R$859,Order!S$12:S$859,"")</f>
        <v/>
      </c>
      <c r="D158" t="str">
        <f>_xlfn.XLOOKUP(A158,Order!R$12:R$859,Order!B$12:B$859,"")</f>
        <v/>
      </c>
      <c r="E158" t="str">
        <f>_xlfn.XLOOKUP(A158,Order!R$12:R$859,Order!P$12:P$859,"")</f>
        <v/>
      </c>
      <c r="F158" t="str">
        <f>_xlfn.XLOOKUP(A158,Order!R$12:R$859,Order!T$12:T$859,"")</f>
        <v/>
      </c>
      <c r="G158" t="str">
        <f>_xlfn.XLOOKUP(A158,Order!R$12:R$859,Order!U$12:U$859,"")</f>
        <v/>
      </c>
      <c r="H158" t="str">
        <f>_xlfn.XLOOKUP(A158,Order!R$12:R$859,Order!B$12:B$859,"")</f>
        <v/>
      </c>
      <c r="I158" t="str">
        <f>_xlfn.XLOOKUP(A158,Order!R$12:R$859,Order!V$12:V$859,"")</f>
        <v/>
      </c>
      <c r="J158" t="str">
        <f>IFERROR(RANK(F158,F$14:F$213,1)+COUNTIF(F$14:F158,F158)-1,"")</f>
        <v/>
      </c>
      <c r="L158" t="str">
        <f t="shared" si="95"/>
        <v/>
      </c>
      <c r="M158" t="str" cm="1">
        <f t="array" ref="M158">_xlfn.XLOOKUP(A158,J$14:J357,B$14:B357,"")</f>
        <v/>
      </c>
      <c r="N158" t="str" cm="1">
        <f t="array" ref="N158">_xlfn.XLOOKUP(A158,J$14:J357,C$14:C357,"")</f>
        <v/>
      </c>
      <c r="O158" t="str" cm="1">
        <f t="array" ref="O158">_xlfn.XLOOKUP(A158,J$14:J357,E$14:E357,"")</f>
        <v/>
      </c>
      <c r="P158" t="str" cm="1">
        <f t="array" ref="P158">_xlfn.XLOOKUP(A158,J$14:J357,G$14:G357,"")</f>
        <v/>
      </c>
      <c r="Q158" t="str" cm="1">
        <f t="array" ref="Q158">_xlfn.XLOOKUP(A158,J$14:J357,F$14:F357,"")</f>
        <v/>
      </c>
      <c r="R158" t="str" cm="1">
        <f t="array" ref="R158">_xlfn.XLOOKUP(A158,J$14:J357,I$14:I357,"")</f>
        <v/>
      </c>
      <c r="S158" t="str" cm="1">
        <f t="array" ref="S158">_xlfn.XLOOKUP(A158,J$14:J357,H$14:H357,"")</f>
        <v/>
      </c>
      <c r="T158" t="str" cm="1">
        <f t="array" ref="T158">VLOOKUP(ROW(145:145),L$14:S$163,8)</f>
        <v/>
      </c>
      <c r="U158" t="str" cm="1">
        <f t="array" ref="U158">VLOOKUP(ROW(145:145),L$14:M$163,2)</f>
        <v/>
      </c>
      <c r="V158" t="str" cm="1">
        <f t="array" ref="V158">VLOOKUP(ROW(145:145),L$14:O$163,4)</f>
        <v/>
      </c>
      <c r="W158" t="str" cm="1">
        <f t="array" ref="W158">VLOOKUP(ROW(145:145),L$14:Q$163,6)</f>
        <v/>
      </c>
      <c r="X158" cm="1">
        <f t="array" ref="X158">IFERROR(VLOOKUP(ROW(145:145),L$14:P$213,5)+0,0)</f>
        <v>0</v>
      </c>
      <c r="Y158" t="str" cm="1">
        <f t="array" ref="Y158">VLOOKUP(ROW(145:145),L$14:R$163,7)</f>
        <v/>
      </c>
      <c r="Z158">
        <f>IF(Y158&lt;-2,X158+MAX(Z$14:Z157),0)</f>
        <v>0</v>
      </c>
      <c r="AA158">
        <f>IFERROR(IF(AND(SUM(AA159:AA$214)+X158&lt;=Z$10,W158&lt;=Z$12,Z158=0),X158,0),0)</f>
        <v>0</v>
      </c>
      <c r="AB158">
        <f>IFERROR(IF(AND(W158&lt;=Z$12+10,AB$12-X158&gt;=0,SUM(Z158:AA158)=0,SUM(AB$14:AB157)+X158&lt;AB$12),X158,0),0)</f>
        <v>0</v>
      </c>
      <c r="AD158">
        <f>IF(AND(Y158=-2,SUM(Z158:AB158)=0),X158+MAX(AD$14:AD157),0)</f>
        <v>0</v>
      </c>
      <c r="AE158">
        <f>IFERROR(IF(AND(SUM(AE159:AE$214)+X158&lt;=AD$10,W158&lt;=AD$12,SUM(Z158:AD158)=0),X158,0),0)</f>
        <v>0</v>
      </c>
      <c r="AF158">
        <f>IFERROR(IF(AND(W158&lt;=AD$12+10,AF$12-X158&gt;=0,SUM(Z158:AE158)=0,SUM(AF$14:AF157)+X158&lt;AF$12),X158,0),0)</f>
        <v>0</v>
      </c>
      <c r="AG158">
        <f t="shared" si="86"/>
        <v>0</v>
      </c>
      <c r="AI158">
        <f t="shared" si="90"/>
        <v>0</v>
      </c>
      <c r="AJ158" s="493">
        <f t="shared" si="94"/>
        <v>0</v>
      </c>
      <c r="AK158">
        <f>IF(AJ158=0,0,IF(AJ157=0,MAX(AK$13:AK157)+1,IF(W158&lt;&gt;W157,MAX(AK$14:AK157)+1,IF(ROUNDDOWN(AJ158-0.01,0)=ROUNDDOWN(AJ157-0.01,0),AK157,AK157+1))))</f>
        <v>0</v>
      </c>
      <c r="AL158">
        <f t="shared" si="91"/>
        <v>0</v>
      </c>
      <c r="AM158">
        <f t="shared" si="92"/>
        <v>0</v>
      </c>
      <c r="AN158">
        <f>IF(AM158&gt;AN$12,IF(AK158=AK157,AN157,MAX(AN$13:AN157)+1),0)</f>
        <v>0</v>
      </c>
      <c r="AP158">
        <f t="shared" si="87"/>
        <v>0</v>
      </c>
      <c r="AQ158">
        <f>IF(AP158&gt;0,IF(MAX(AQ159:AQ$214)+AP158&gt;ROUNDUP(MAX(AQ159:AQ$214),0),ROUNDUP(MAX(AQ159:AQ$214),0)+AP158,MAX(AQ159:AQ$214)+AP158),0)</f>
        <v>0</v>
      </c>
      <c r="AR158">
        <f t="shared" si="93"/>
        <v>0</v>
      </c>
      <c r="AS158">
        <f t="shared" si="88"/>
        <v>0</v>
      </c>
      <c r="AT158">
        <f t="shared" si="89"/>
        <v>10</v>
      </c>
      <c r="AV158" t="s">
        <v>1135</v>
      </c>
      <c r="AX158" s="430" t="s">
        <v>1116</v>
      </c>
      <c r="AZ158" t="s">
        <v>1109</v>
      </c>
      <c r="BA158">
        <v>1</v>
      </c>
      <c r="BB158">
        <v>2</v>
      </c>
      <c r="BC158">
        <v>3</v>
      </c>
      <c r="BD158">
        <v>4</v>
      </c>
      <c r="BE158">
        <v>5</v>
      </c>
      <c r="BF158">
        <v>6</v>
      </c>
    </row>
    <row r="159" spans="1:61" x14ac:dyDescent="0.25">
      <c r="A159">
        <v>146</v>
      </c>
      <c r="B159" t="str">
        <f>_xlfn.XLOOKUP(A159,Order!R$12:R$859,Order!C$12:C$859,"")</f>
        <v/>
      </c>
      <c r="C159" t="str">
        <f>_xlfn.XLOOKUP(A159,Order!R$12:R$859,Order!S$12:S$859,"")</f>
        <v/>
      </c>
      <c r="D159" t="str">
        <f>_xlfn.XLOOKUP(A159,Order!R$12:R$859,Order!B$12:B$859,"")</f>
        <v/>
      </c>
      <c r="E159" t="str">
        <f>_xlfn.XLOOKUP(A159,Order!R$12:R$859,Order!P$12:P$859,"")</f>
        <v/>
      </c>
      <c r="F159" t="str">
        <f>_xlfn.XLOOKUP(A159,Order!R$12:R$859,Order!T$12:T$859,"")</f>
        <v/>
      </c>
      <c r="G159" t="str">
        <f>_xlfn.XLOOKUP(A159,Order!R$12:R$859,Order!U$12:U$859,"")</f>
        <v/>
      </c>
      <c r="H159" t="str">
        <f>_xlfn.XLOOKUP(A159,Order!R$12:R$859,Order!B$12:B$859,"")</f>
        <v/>
      </c>
      <c r="I159" t="str">
        <f>_xlfn.XLOOKUP(A159,Order!R$12:R$859,Order!V$12:V$859,"")</f>
        <v/>
      </c>
      <c r="J159" t="str">
        <f>IFERROR(RANK(F159,F$14:F$213,1)+COUNTIF(F$14:F159,F159)-1,"")</f>
        <v/>
      </c>
      <c r="L159" t="str">
        <f t="shared" si="95"/>
        <v/>
      </c>
      <c r="M159" t="str" cm="1">
        <f t="array" ref="M159">_xlfn.XLOOKUP(A159,J$14:J358,B$14:B358,"")</f>
        <v/>
      </c>
      <c r="N159" t="str" cm="1">
        <f t="array" ref="N159">_xlfn.XLOOKUP(A159,J$14:J358,C$14:C358,"")</f>
        <v/>
      </c>
      <c r="O159" t="str" cm="1">
        <f t="array" ref="O159">_xlfn.XLOOKUP(A159,J$14:J358,E$14:E358,"")</f>
        <v/>
      </c>
      <c r="P159" t="str" cm="1">
        <f t="array" ref="P159">_xlfn.XLOOKUP(A159,J$14:J358,G$14:G358,"")</f>
        <v/>
      </c>
      <c r="Q159" t="str" cm="1">
        <f t="array" ref="Q159">_xlfn.XLOOKUP(A159,J$14:J358,F$14:F358,"")</f>
        <v/>
      </c>
      <c r="R159" t="str" cm="1">
        <f t="array" ref="R159">_xlfn.XLOOKUP(A159,J$14:J358,I$14:I358,"")</f>
        <v/>
      </c>
      <c r="S159" t="str" cm="1">
        <f t="array" ref="S159">_xlfn.XLOOKUP(A159,J$14:J358,H$14:H358,"")</f>
        <v/>
      </c>
      <c r="T159" t="str" cm="1">
        <f t="array" ref="T159">VLOOKUP(ROW(146:146),L$14:S$163,8)</f>
        <v/>
      </c>
      <c r="U159" t="str" cm="1">
        <f t="array" ref="U159">VLOOKUP(ROW(146:146),L$14:M$163,2)</f>
        <v/>
      </c>
      <c r="V159" t="str" cm="1">
        <f t="array" ref="V159">VLOOKUP(ROW(146:146),L$14:O$163,4)</f>
        <v/>
      </c>
      <c r="W159" t="str" cm="1">
        <f t="array" ref="W159">VLOOKUP(ROW(146:146),L$14:Q$163,6)</f>
        <v/>
      </c>
      <c r="X159" cm="1">
        <f t="array" ref="X159">IFERROR(VLOOKUP(ROW(146:146),L$14:P$213,5)+0,0)</f>
        <v>0</v>
      </c>
      <c r="Y159" t="str" cm="1">
        <f t="array" ref="Y159">VLOOKUP(ROW(146:146),L$14:R$163,7)</f>
        <v/>
      </c>
      <c r="Z159">
        <f>IF(Y159&lt;-2,X159+MAX(Z$14:Z158),0)</f>
        <v>0</v>
      </c>
      <c r="AA159">
        <f>IFERROR(IF(AND(SUM(AA160:AA$214)+X159&lt;=Z$10,W159&lt;=Z$12,Z159=0),X159,0),0)</f>
        <v>0</v>
      </c>
      <c r="AB159">
        <f>IFERROR(IF(AND(W159&lt;=Z$12+10,AB$12-X159&gt;=0,SUM(Z159:AA159)=0,SUM(AB$14:AB158)+X159&lt;AB$12),X159,0),0)</f>
        <v>0</v>
      </c>
      <c r="AD159">
        <f>IF(AND(Y159=-2,SUM(Z159:AB159)=0),X159+MAX(AD$14:AD158),0)</f>
        <v>0</v>
      </c>
      <c r="AE159">
        <f>IFERROR(IF(AND(SUM(AE160:AE$214)+X159&lt;=AD$10,W159&lt;=AD$12,SUM(Z159:AD159)=0),X159,0),0)</f>
        <v>0</v>
      </c>
      <c r="AF159">
        <f>IFERROR(IF(AND(W159&lt;=AD$12+10,AF$12-X159&gt;=0,SUM(Z159:AE159)=0,SUM(AF$14:AF158)+X159&lt;AF$12),X159,0),0)</f>
        <v>0</v>
      </c>
      <c r="AG159">
        <f t="shared" si="86"/>
        <v>0</v>
      </c>
      <c r="AI159">
        <f t="shared" si="90"/>
        <v>0</v>
      </c>
      <c r="AJ159" s="493">
        <f t="shared" si="94"/>
        <v>0</v>
      </c>
      <c r="AK159">
        <f>IF(AJ159=0,0,IF(AJ158=0,MAX(AK$13:AK158)+1,IF(W159&lt;&gt;W158,MAX(AK$14:AK158)+1,IF(ROUNDDOWN(AJ159-0.01,0)=ROUNDDOWN(AJ158-0.01,0),AK158,AK158+1))))</f>
        <v>0</v>
      </c>
      <c r="AL159">
        <f t="shared" si="91"/>
        <v>0</v>
      </c>
      <c r="AM159">
        <f t="shared" si="92"/>
        <v>0</v>
      </c>
      <c r="AN159">
        <f>IF(AM159&gt;AN$12,IF(AK159=AK158,AN158,MAX(AN$13:AN158)+1),0)</f>
        <v>0</v>
      </c>
      <c r="AP159">
        <f t="shared" si="87"/>
        <v>0</v>
      </c>
      <c r="AQ159">
        <f>IF(AP159&gt;0,IF(MAX(AQ160:AQ$214)+AP159&gt;ROUNDUP(MAX(AQ160:AQ$214),0),ROUNDUP(MAX(AQ160:AQ$214),0)+AP159,MAX(AQ160:AQ$214)+AP159),0)</f>
        <v>0</v>
      </c>
      <c r="AR159">
        <f t="shared" si="93"/>
        <v>0</v>
      </c>
      <c r="AS159">
        <f t="shared" si="88"/>
        <v>0</v>
      </c>
      <c r="AT159">
        <f t="shared" si="89"/>
        <v>10</v>
      </c>
      <c r="AX159">
        <f>IF(_xlfn.MAXIFS(AX160:AX189,AW160:AW189,0)=0,MAX(AX160:AX189),_xlfn.MAXIFS(AX160:AX189,AW160:AW189,0))</f>
        <v>0</v>
      </c>
      <c r="AY159" t="s">
        <v>1115</v>
      </c>
      <c r="AZ159">
        <f>IF(_xlfn.MAXIFS(AX160:AX189,AW160:AW189,0)=0,1,0)</f>
        <v>1</v>
      </c>
      <c r="BG159" t="s">
        <v>1113</v>
      </c>
      <c r="BH159" t="s">
        <v>1139</v>
      </c>
      <c r="BI159" t="s">
        <v>1113</v>
      </c>
    </row>
    <row r="160" spans="1:61" x14ac:dyDescent="0.25">
      <c r="A160">
        <v>147</v>
      </c>
      <c r="B160" t="str">
        <f>_xlfn.XLOOKUP(A160,Order!R$12:R$859,Order!C$12:C$859,"")</f>
        <v/>
      </c>
      <c r="C160" t="str">
        <f>_xlfn.XLOOKUP(A160,Order!R$12:R$859,Order!S$12:S$859,"")</f>
        <v/>
      </c>
      <c r="D160" t="str">
        <f>_xlfn.XLOOKUP(A160,Order!R$12:R$859,Order!B$12:B$859,"")</f>
        <v/>
      </c>
      <c r="E160" t="str">
        <f>_xlfn.XLOOKUP(A160,Order!R$12:R$859,Order!P$12:P$859,"")</f>
        <v/>
      </c>
      <c r="F160" t="str">
        <f>_xlfn.XLOOKUP(A160,Order!R$12:R$859,Order!T$12:T$859,"")</f>
        <v/>
      </c>
      <c r="G160" t="str">
        <f>_xlfn.XLOOKUP(A160,Order!R$12:R$859,Order!U$12:U$859,"")</f>
        <v/>
      </c>
      <c r="H160" t="str">
        <f>_xlfn.XLOOKUP(A160,Order!R$12:R$859,Order!B$12:B$859,"")</f>
        <v/>
      </c>
      <c r="I160" t="str">
        <f>_xlfn.XLOOKUP(A160,Order!R$12:R$859,Order!V$12:V$859,"")</f>
        <v/>
      </c>
      <c r="J160" t="str">
        <f>IFERROR(RANK(F160,F$14:F$213,1)+COUNTIF(F$14:F160,F160)-1,"")</f>
        <v/>
      </c>
      <c r="L160" t="str">
        <f t="shared" si="95"/>
        <v/>
      </c>
      <c r="M160" t="str" cm="1">
        <f t="array" ref="M160">_xlfn.XLOOKUP(A160,J$14:J359,B$14:B359,"")</f>
        <v/>
      </c>
      <c r="N160" t="str" cm="1">
        <f t="array" ref="N160">_xlfn.XLOOKUP(A160,J$14:J359,C$14:C359,"")</f>
        <v/>
      </c>
      <c r="O160" t="str" cm="1">
        <f t="array" ref="O160">_xlfn.XLOOKUP(A160,J$14:J359,E$14:E359,"")</f>
        <v/>
      </c>
      <c r="P160" t="str" cm="1">
        <f t="array" ref="P160">_xlfn.XLOOKUP(A160,J$14:J359,G$14:G359,"")</f>
        <v/>
      </c>
      <c r="Q160" t="str" cm="1">
        <f t="array" ref="Q160">_xlfn.XLOOKUP(A160,J$14:J359,F$14:F359,"")</f>
        <v/>
      </c>
      <c r="R160" t="str" cm="1">
        <f t="array" ref="R160">_xlfn.XLOOKUP(A160,J$14:J359,I$14:I359,"")</f>
        <v/>
      </c>
      <c r="S160" t="str" cm="1">
        <f t="array" ref="S160">_xlfn.XLOOKUP(A160,J$14:J359,H$14:H359,"")</f>
        <v/>
      </c>
      <c r="T160" t="str" cm="1">
        <f t="array" ref="T160">VLOOKUP(ROW(147:147),L$14:S$163,8)</f>
        <v/>
      </c>
      <c r="U160" t="str" cm="1">
        <f t="array" ref="U160">VLOOKUP(ROW(147:147),L$14:M$163,2)</f>
        <v/>
      </c>
      <c r="V160" t="str" cm="1">
        <f t="array" ref="V160">VLOOKUP(ROW(147:147),L$14:O$163,4)</f>
        <v/>
      </c>
      <c r="W160" t="str" cm="1">
        <f t="array" ref="W160">VLOOKUP(ROW(147:147),L$14:Q$163,6)</f>
        <v/>
      </c>
      <c r="X160" cm="1">
        <f t="array" ref="X160">IFERROR(VLOOKUP(ROW(147:147),L$14:P$213,5)+0,0)</f>
        <v>0</v>
      </c>
      <c r="Y160" t="str" cm="1">
        <f t="array" ref="Y160">VLOOKUP(ROW(147:147),L$14:R$163,7)</f>
        <v/>
      </c>
      <c r="Z160">
        <f>IF(Y160&lt;-2,X160+MAX(Z$14:Z159),0)</f>
        <v>0</v>
      </c>
      <c r="AA160">
        <f>IFERROR(IF(AND(SUM(AA161:AA$214)+X160&lt;=Z$10,W160&lt;=Z$12,Z160=0),X160,0),0)</f>
        <v>0</v>
      </c>
      <c r="AB160">
        <f>IFERROR(IF(AND(W160&lt;=Z$12+10,AB$12-X160&gt;=0,SUM(Z160:AA160)=0,SUM(AB$14:AB159)+X160&lt;AB$12),X160,0),0)</f>
        <v>0</v>
      </c>
      <c r="AD160">
        <f>IF(AND(Y160=-2,SUM(Z160:AB160)=0),X160+MAX(AD$14:AD159),0)</f>
        <v>0</v>
      </c>
      <c r="AE160">
        <f>IFERROR(IF(AND(SUM(AE161:AE$214)+X160&lt;=AD$10,W160&lt;=AD$12,SUM(Z160:AD160)=0),X160,0),0)</f>
        <v>0</v>
      </c>
      <c r="AF160">
        <f>IFERROR(IF(AND(W160&lt;=AD$12+10,AF$12-X160&gt;=0,SUM(Z160:AE160)=0,SUM(AF$14:AF159)+X160&lt;AF$12),X160,0),0)</f>
        <v>0</v>
      </c>
      <c r="AG160">
        <f t="shared" si="86"/>
        <v>0</v>
      </c>
      <c r="AI160">
        <f t="shared" si="90"/>
        <v>0</v>
      </c>
      <c r="AJ160" s="493">
        <f t="shared" si="94"/>
        <v>0</v>
      </c>
      <c r="AK160">
        <f>IF(AJ160=0,0,IF(AJ159=0,MAX(AK$13:AK159)+1,IF(W160&lt;&gt;W159,MAX(AK$14:AK159)+1,IF(ROUNDDOWN(AJ160-0.01,0)=ROUNDDOWN(AJ159-0.01,0),AK159,AK159+1))))</f>
        <v>0</v>
      </c>
      <c r="AL160">
        <f t="shared" si="91"/>
        <v>0</v>
      </c>
      <c r="AM160">
        <f t="shared" si="92"/>
        <v>0</v>
      </c>
      <c r="AN160">
        <f>IF(AM160&gt;AN$12,IF(AK160=AK159,AN159,MAX(AN$13:AN159)+1),0)</f>
        <v>0</v>
      </c>
      <c r="AP160">
        <f t="shared" si="87"/>
        <v>0</v>
      </c>
      <c r="AQ160">
        <f>IF(AP160&gt;0,IF(MAX(AQ161:AQ$214)+AP160&gt;ROUNDUP(MAX(AQ161:AQ$214),0),ROUNDUP(MAX(AQ161:AQ$214),0)+AP160,MAX(AQ161:AQ$214)+AP160),0)</f>
        <v>0</v>
      </c>
      <c r="AR160">
        <f t="shared" si="93"/>
        <v>0</v>
      </c>
      <c r="AS160">
        <f t="shared" si="88"/>
        <v>0</v>
      </c>
      <c r="AT160">
        <f t="shared" si="89"/>
        <v>10</v>
      </c>
      <c r="AV160">
        <v>1</v>
      </c>
      <c r="AW160">
        <f>IF(AND(AV160&gt;=BN$115,AV160&lt;BN$116),1,IF(AV160&lt;=AV$2,-1,0))</f>
        <v>1</v>
      </c>
      <c r="AX160">
        <f>BI121</f>
        <v>0</v>
      </c>
      <c r="AY160" s="495">
        <f>IF(AND(AX160=AX$120,AW160=AZ159,AX159&lt;&gt;0),AV160,)</f>
        <v>0</v>
      </c>
      <c r="AZ160" s="494">
        <f>IF(AND(SUM($AY160:AY160)=0,$AX160&gt;0),$AV160,0)</f>
        <v>0</v>
      </c>
      <c r="BA160" s="494">
        <f>IF(AND(SUM($AY160:AZ160)=0,$AX160&gt;0),$AV160,0)</f>
        <v>0</v>
      </c>
      <c r="BB160" s="494">
        <f>IF(AND(SUM($AY160:BA160)=0,$AX160&gt;0),$AV160,0)</f>
        <v>0</v>
      </c>
      <c r="BC160" s="494">
        <f>IF(AND(SUM($AY160:BB160)=0,$AX160&gt;0),$AV160,0)</f>
        <v>0</v>
      </c>
      <c r="BD160" s="494">
        <f>IF(AND(SUM($AY160:BC160)=0,$AX160&gt;0),$AV160,0)</f>
        <v>0</v>
      </c>
      <c r="BE160" s="494">
        <f>IF(AND(SUM($AY160:BD160)=0,$AX160&gt;0),$AV160,0)</f>
        <v>0</v>
      </c>
      <c r="BF160" s="494">
        <f>IF(AND(SUM($AY160:BE160)=0,$AX160&gt;0),$AV160,0)</f>
        <v>0</v>
      </c>
      <c r="BG160">
        <f t="shared" ref="BG160:BG189" si="102">IF(AND(SUM(AY160:BF160)=0,AX160&gt;0,AW160&gt;-1),AX160,0)</f>
        <v>0</v>
      </c>
      <c r="BH160" s="494">
        <f>IF(AND(BG160&gt;0,BG160&gt;BG$192,BG$192+BF$195&gt;BG160),BG160,0)</f>
        <v>0</v>
      </c>
      <c r="BI160">
        <f>IF(AND(BG$193=AV160,BH$191&gt;0),AX160,IF(BH$192=AV160,0,BG160))+IF(AND(SUM(AZ160:BF160)=0,AW160=-1),AX160,0)</f>
        <v>0</v>
      </c>
    </row>
    <row r="161" spans="1:61" x14ac:dyDescent="0.25">
      <c r="A161">
        <v>148</v>
      </c>
      <c r="B161" t="str">
        <f>_xlfn.XLOOKUP(A161,Order!R$12:R$859,Order!C$12:C$859,"")</f>
        <v/>
      </c>
      <c r="C161" t="str">
        <f>_xlfn.XLOOKUP(A161,Order!R$12:R$859,Order!S$12:S$859,"")</f>
        <v/>
      </c>
      <c r="D161" t="str">
        <f>_xlfn.XLOOKUP(A161,Order!R$12:R$859,Order!B$12:B$859,"")</f>
        <v/>
      </c>
      <c r="E161" t="str">
        <f>_xlfn.XLOOKUP(A161,Order!R$12:R$859,Order!P$12:P$859,"")</f>
        <v/>
      </c>
      <c r="F161" t="str">
        <f>_xlfn.XLOOKUP(A161,Order!R$12:R$859,Order!T$12:T$859,"")</f>
        <v/>
      </c>
      <c r="G161" t="str">
        <f>_xlfn.XLOOKUP(A161,Order!R$12:R$859,Order!U$12:U$859,"")</f>
        <v/>
      </c>
      <c r="H161" t="str">
        <f>_xlfn.XLOOKUP(A161,Order!R$12:R$859,Order!B$12:B$859,"")</f>
        <v/>
      </c>
      <c r="I161" t="str">
        <f>_xlfn.XLOOKUP(A161,Order!R$12:R$859,Order!V$12:V$859,"")</f>
        <v/>
      </c>
      <c r="J161" t="str">
        <f>IFERROR(RANK(F161,F$14:F$213,1)+COUNTIF(F$14:F161,F161)-1,"")</f>
        <v/>
      </c>
      <c r="L161" t="str">
        <f t="shared" si="95"/>
        <v/>
      </c>
      <c r="M161" t="str" cm="1">
        <f t="array" ref="M161">_xlfn.XLOOKUP(A161,J$14:J360,B$14:B360,"")</f>
        <v/>
      </c>
      <c r="N161" t="str" cm="1">
        <f t="array" ref="N161">_xlfn.XLOOKUP(A161,J$14:J360,C$14:C360,"")</f>
        <v/>
      </c>
      <c r="O161" t="str" cm="1">
        <f t="array" ref="O161">_xlfn.XLOOKUP(A161,J$14:J360,E$14:E360,"")</f>
        <v/>
      </c>
      <c r="P161" t="str" cm="1">
        <f t="array" ref="P161">_xlfn.XLOOKUP(A161,J$14:J360,G$14:G360,"")</f>
        <v/>
      </c>
      <c r="Q161" t="str" cm="1">
        <f t="array" ref="Q161">_xlfn.XLOOKUP(A161,J$14:J360,F$14:F360,"")</f>
        <v/>
      </c>
      <c r="R161" t="str" cm="1">
        <f t="array" ref="R161">_xlfn.XLOOKUP(A161,J$14:J360,I$14:I360,"")</f>
        <v/>
      </c>
      <c r="S161" t="str" cm="1">
        <f t="array" ref="S161">_xlfn.XLOOKUP(A161,J$14:J360,H$14:H360,"")</f>
        <v/>
      </c>
      <c r="T161" t="str" cm="1">
        <f t="array" ref="T161">VLOOKUP(ROW(148:148),L$14:S$163,8)</f>
        <v/>
      </c>
      <c r="U161" t="str" cm="1">
        <f t="array" ref="U161">VLOOKUP(ROW(148:148),L$14:M$163,2)</f>
        <v/>
      </c>
      <c r="V161" t="str" cm="1">
        <f t="array" ref="V161">VLOOKUP(ROW(148:148),L$14:O$163,4)</f>
        <v/>
      </c>
      <c r="W161" t="str" cm="1">
        <f t="array" ref="W161">VLOOKUP(ROW(148:148),L$14:Q$163,6)</f>
        <v/>
      </c>
      <c r="X161" cm="1">
        <f t="array" ref="X161">IFERROR(VLOOKUP(ROW(148:148),L$14:P$213,5)+0,0)</f>
        <v>0</v>
      </c>
      <c r="Y161" t="str" cm="1">
        <f t="array" ref="Y161">VLOOKUP(ROW(148:148),L$14:R$163,7)</f>
        <v/>
      </c>
      <c r="Z161">
        <f>IF(Y161&lt;-2,X161+MAX(Z$14:Z160),0)</f>
        <v>0</v>
      </c>
      <c r="AA161">
        <f>IFERROR(IF(AND(SUM(AA162:AA$214)+X161&lt;=Z$10,W161&lt;=Z$12,Z161=0),X161,0),0)</f>
        <v>0</v>
      </c>
      <c r="AB161">
        <f>IFERROR(IF(AND(W161&lt;=Z$12+10,AB$12-X161&gt;=0,SUM(Z161:AA161)=0,SUM(AB$14:AB160)+X161&lt;AB$12),X161,0),0)</f>
        <v>0</v>
      </c>
      <c r="AD161">
        <f>IF(AND(Y161=-2,SUM(Z161:AB161)=0),X161+MAX(AD$14:AD160),0)</f>
        <v>0</v>
      </c>
      <c r="AE161">
        <f>IFERROR(IF(AND(SUM(AE162:AE$214)+X161&lt;=AD$10,W161&lt;=AD$12,SUM(Z161:AD161)=0),X161,0),0)</f>
        <v>0</v>
      </c>
      <c r="AF161">
        <f>IFERROR(IF(AND(W161&lt;=AD$12+10,AF$12-X161&gt;=0,SUM(Z161:AE161)=0,SUM(AF$14:AF160)+X161&lt;AF$12),X161,0),0)</f>
        <v>0</v>
      </c>
      <c r="AG161">
        <f t="shared" si="86"/>
        <v>0</v>
      </c>
      <c r="AI161">
        <f t="shared" si="90"/>
        <v>0</v>
      </c>
      <c r="AJ161" s="493">
        <f t="shared" si="94"/>
        <v>0</v>
      </c>
      <c r="AK161">
        <f>IF(AJ161=0,0,IF(AJ160=0,MAX(AK$13:AK160)+1,IF(W161&lt;&gt;W160,MAX(AK$14:AK160)+1,IF(ROUNDDOWN(AJ161-0.01,0)=ROUNDDOWN(AJ160-0.01,0),AK160,AK160+1))))</f>
        <v>0</v>
      </c>
      <c r="AL161">
        <f t="shared" si="91"/>
        <v>0</v>
      </c>
      <c r="AM161">
        <f t="shared" si="92"/>
        <v>0</v>
      </c>
      <c r="AN161">
        <f>IF(AM161&gt;AN$12,IF(AK161=AK160,AN160,MAX(AN$13:AN160)+1),0)</f>
        <v>0</v>
      </c>
      <c r="AP161">
        <f t="shared" si="87"/>
        <v>0</v>
      </c>
      <c r="AQ161">
        <f>IF(AP161&gt;0,IF(MAX(AQ162:AQ$214)+AP161&gt;ROUNDUP(MAX(AQ162:AQ$214),0),ROUNDUP(MAX(AQ162:AQ$214),0)+AP161,MAX(AQ162:AQ$214)+AP161),0)</f>
        <v>0</v>
      </c>
      <c r="AR161">
        <f t="shared" si="93"/>
        <v>0</v>
      </c>
      <c r="AS161">
        <f t="shared" si="88"/>
        <v>0</v>
      </c>
      <c r="AT161">
        <f t="shared" si="89"/>
        <v>10</v>
      </c>
      <c r="AV161">
        <v>2</v>
      </c>
      <c r="AW161">
        <f t="shared" ref="AW161:AW189" si="103">IF(AND(AV161&gt;=BN$115,AV161&lt;BN$116),1,IF(AV161&lt;=AV$2,-1,0))</f>
        <v>0</v>
      </c>
      <c r="AX161">
        <f t="shared" ref="AX161:AX189" si="104">BI122</f>
        <v>0</v>
      </c>
      <c r="AY161" s="496">
        <f>IF(AND(AX161=AX$159,SUM(AY$160:AY160)=0,AW161=AZ$159,AX$159&lt;&gt;0),AV161,)</f>
        <v>0</v>
      </c>
      <c r="AZ161">
        <f>IF(AND(SUM(AZ$160:AZ160)=0,SUM($AY161:AY161)=0,$AX161&lt;=AY$195,$AX161&gt;0,$AW161&gt;-1),$AV161,0)</f>
        <v>0</v>
      </c>
      <c r="BA161">
        <f>IF(AND(SUM(BA$160:BA160)=0,SUM($AY161:AZ161)=0,$AX161&lt;=AZ$195,$AX161&gt;0,$AW161&gt;-1),$AV161,0)</f>
        <v>0</v>
      </c>
      <c r="BB161">
        <f>IF(AND(SUM(BB$160:BB160)=0,SUM($AY161:BA161)=0,$AX161&lt;=BA$195,$AX161&gt;0,$AW161&gt;-1),$AV161,0)</f>
        <v>0</v>
      </c>
      <c r="BC161">
        <f>IF(AND(SUM(BC$160:BC160)=0,SUM($AY161:BB161)=0,$AX161&lt;=BB$195,$AX161&gt;0,$AW161&gt;-1),$AV161,0)</f>
        <v>0</v>
      </c>
      <c r="BD161">
        <f>IF(AND(SUM(BD$160:BD160)=0,SUM($AY161:BC161)=0,$AX161&lt;=BC$195,$AX161&gt;0,$AW161&gt;-1),$AV161,0)</f>
        <v>0</v>
      </c>
      <c r="BE161">
        <f>IF(AND(SUM(BE$160:BE160)=0,SUM($AY161:BD161)=0,$AX161&lt;=BD$195,$AX161&gt;0,$AW161&gt;-1),$AV161,0)</f>
        <v>0</v>
      </c>
      <c r="BF161">
        <f>IF(AND(SUM(BF$160:BF160)=0,SUM($AY161:BE161)=0,$AX161&lt;=BE$195,$AX161&gt;0,$AW161&gt;-1),$AV161,0)</f>
        <v>0</v>
      </c>
      <c r="BG161">
        <f t="shared" si="102"/>
        <v>0</v>
      </c>
      <c r="BH161" s="494">
        <f t="shared" ref="BH161:BH189" si="105">IF(AND(BG161&gt;0,BG161&gt;BG$192,BG$192+BF$195&gt;BG161),BG161,0)</f>
        <v>0</v>
      </c>
      <c r="BI161">
        <f t="shared" ref="BI161:BI189" si="106">IF(AND(BG$193=AV161,BH$191&gt;0),AX161,IF(BH$192=AV161,0,BG161))+IF(AND(SUM(AZ161:BF161)=0,AW161=-1),AX161,0)</f>
        <v>0</v>
      </c>
    </row>
    <row r="162" spans="1:61" x14ac:dyDescent="0.25">
      <c r="A162">
        <v>149</v>
      </c>
      <c r="B162" t="str">
        <f>_xlfn.XLOOKUP(A162,Order!R$12:R$859,Order!C$12:C$859,"")</f>
        <v/>
      </c>
      <c r="C162" t="str">
        <f>_xlfn.XLOOKUP(A162,Order!R$12:R$859,Order!S$12:S$859,"")</f>
        <v/>
      </c>
      <c r="D162" t="str">
        <f>_xlfn.XLOOKUP(A162,Order!R$12:R$859,Order!B$12:B$859,"")</f>
        <v/>
      </c>
      <c r="E162" t="str">
        <f>_xlfn.XLOOKUP(A162,Order!R$12:R$859,Order!P$12:P$859,"")</f>
        <v/>
      </c>
      <c r="F162" t="str">
        <f>_xlfn.XLOOKUP(A162,Order!R$12:R$859,Order!T$12:T$859,"")</f>
        <v/>
      </c>
      <c r="G162" t="str">
        <f>_xlfn.XLOOKUP(A162,Order!R$12:R$859,Order!U$12:U$859,"")</f>
        <v/>
      </c>
      <c r="H162" t="str">
        <f>_xlfn.XLOOKUP(A162,Order!R$12:R$859,Order!B$12:B$859,"")</f>
        <v/>
      </c>
      <c r="I162" t="str">
        <f>_xlfn.XLOOKUP(A162,Order!R$12:R$859,Order!V$12:V$859,"")</f>
        <v/>
      </c>
      <c r="J162" t="str">
        <f>IFERROR(RANK(F162,F$14:F$213,1)+COUNTIF(F$14:F162,F162)-1,"")</f>
        <v/>
      </c>
      <c r="L162" t="str">
        <f t="shared" si="95"/>
        <v/>
      </c>
      <c r="M162" t="str" cm="1">
        <f t="array" ref="M162">_xlfn.XLOOKUP(A162,J$14:J361,B$14:B361,"")</f>
        <v/>
      </c>
      <c r="N162" t="str" cm="1">
        <f t="array" ref="N162">_xlfn.XLOOKUP(A162,J$14:J361,C$14:C361,"")</f>
        <v/>
      </c>
      <c r="O162" t="str" cm="1">
        <f t="array" ref="O162">_xlfn.XLOOKUP(A162,J$14:J361,E$14:E361,"")</f>
        <v/>
      </c>
      <c r="P162" t="str" cm="1">
        <f t="array" ref="P162">_xlfn.XLOOKUP(A162,J$14:J361,G$14:G361,"")</f>
        <v/>
      </c>
      <c r="Q162" t="str" cm="1">
        <f t="array" ref="Q162">_xlfn.XLOOKUP(A162,J$14:J361,F$14:F361,"")</f>
        <v/>
      </c>
      <c r="R162" t="str" cm="1">
        <f t="array" ref="R162">_xlfn.XLOOKUP(A162,J$14:J361,I$14:I361,"")</f>
        <v/>
      </c>
      <c r="S162" t="str" cm="1">
        <f t="array" ref="S162">_xlfn.XLOOKUP(A162,J$14:J361,H$14:H361,"")</f>
        <v/>
      </c>
      <c r="T162" t="str" cm="1">
        <f t="array" ref="T162">VLOOKUP(ROW(149:149),L$14:S$163,8)</f>
        <v/>
      </c>
      <c r="U162" t="str" cm="1">
        <f t="array" ref="U162">VLOOKUP(ROW(149:149),L$14:M$163,2)</f>
        <v/>
      </c>
      <c r="V162" t="str" cm="1">
        <f t="array" ref="V162">VLOOKUP(ROW(149:149),L$14:O$163,4)</f>
        <v/>
      </c>
      <c r="W162" t="str" cm="1">
        <f t="array" ref="W162">VLOOKUP(ROW(149:149),L$14:Q$163,6)</f>
        <v/>
      </c>
      <c r="X162" cm="1">
        <f t="array" ref="X162">IFERROR(VLOOKUP(ROW(149:149),L$14:P$213,5)+0,0)</f>
        <v>0</v>
      </c>
      <c r="Y162" t="str" cm="1">
        <f t="array" ref="Y162">VLOOKUP(ROW(149:149),L$14:R$163,7)</f>
        <v/>
      </c>
      <c r="Z162">
        <f>IF(Y162&lt;-2,X162+MAX(Z$14:Z161),0)</f>
        <v>0</v>
      </c>
      <c r="AA162">
        <f>IFERROR(IF(AND(SUM(AA163:AA$214)+X162&lt;=Z$10,W162&lt;=Z$12,Z162=0),X162,0),0)</f>
        <v>0</v>
      </c>
      <c r="AB162">
        <f>IFERROR(IF(AND(W162&lt;=Z$12+10,AB$12-X162&gt;=0,SUM(Z162:AA162)=0,SUM(AB$14:AB161)+X162&lt;AB$12),X162,0),0)</f>
        <v>0</v>
      </c>
      <c r="AD162">
        <f>IF(AND(Y162=-2,SUM(Z162:AB162)=0),X162+MAX(AD$14:AD161),0)</f>
        <v>0</v>
      </c>
      <c r="AE162">
        <f>IFERROR(IF(AND(SUM(AE163:AE$214)+X162&lt;=AD$10,W162&lt;=AD$12,SUM(Z162:AD162)=0),X162,0),0)</f>
        <v>0</v>
      </c>
      <c r="AF162">
        <f>IFERROR(IF(AND(W162&lt;=AD$12+10,AF$12-X162&gt;=0,SUM(Z162:AE162)=0,SUM(AF$14:AF161)+X162&lt;AF$12),X162,0),0)</f>
        <v>0</v>
      </c>
      <c r="AG162">
        <f t="shared" si="86"/>
        <v>0</v>
      </c>
      <c r="AI162">
        <f t="shared" si="90"/>
        <v>0</v>
      </c>
      <c r="AJ162" s="493">
        <f t="shared" si="94"/>
        <v>0</v>
      </c>
      <c r="AK162">
        <f>IF(AJ162=0,0,IF(AJ161=0,MAX(AK$13:AK161)+1,IF(W162&lt;&gt;W161,MAX(AK$14:AK161)+1,IF(ROUNDDOWN(AJ162-0.01,0)=ROUNDDOWN(AJ161-0.01,0),AK161,AK161+1))))</f>
        <v>0</v>
      </c>
      <c r="AL162">
        <f t="shared" si="91"/>
        <v>0</v>
      </c>
      <c r="AM162">
        <f t="shared" si="92"/>
        <v>0</v>
      </c>
      <c r="AN162">
        <f>IF(AM162&gt;AN$12,IF(AK162=AK161,AN161,MAX(AN$13:AN161)+1),0)</f>
        <v>0</v>
      </c>
      <c r="AP162">
        <f t="shared" si="87"/>
        <v>0</v>
      </c>
      <c r="AQ162">
        <f>IF(AP162&gt;0,IF(MAX(AQ163:AQ$214)+AP162&gt;ROUNDUP(MAX(AQ163:AQ$214),0),ROUNDUP(MAX(AQ163:AQ$214),0)+AP162,MAX(AQ163:AQ$214)+AP162),0)</f>
        <v>0</v>
      </c>
      <c r="AR162">
        <f t="shared" si="93"/>
        <v>0</v>
      </c>
      <c r="AS162">
        <f t="shared" si="88"/>
        <v>0</v>
      </c>
      <c r="AT162">
        <f t="shared" si="89"/>
        <v>10</v>
      </c>
      <c r="AV162">
        <v>3</v>
      </c>
      <c r="AW162">
        <f t="shared" si="103"/>
        <v>0</v>
      </c>
      <c r="AX162">
        <f t="shared" si="104"/>
        <v>0</v>
      </c>
      <c r="AY162" s="496">
        <f>IF(AND(AX162=AX$159,SUM(AY$160:AY161)=0,AW162=AZ$159,AX$159&lt;&gt;0),AV162,)</f>
        <v>0</v>
      </c>
      <c r="AZ162">
        <f>IF(AND(SUM(AZ$160:AZ161)=0,SUM($AY162:AY162)=0,$AX162&lt;=AY$195,$AX162&gt;0,$AW162&gt;-1),$AV162,0)</f>
        <v>0</v>
      </c>
      <c r="BA162">
        <f>IF(AND(SUM(BA$160:BA161)=0,SUM($AY162:AZ162)=0,$AX162&lt;=AZ$195,$AX162&gt;0,$AW162&gt;-1),$AV162,0)</f>
        <v>0</v>
      </c>
      <c r="BB162">
        <f>IF(AND(SUM(BB$160:BB161)=0,SUM($AY162:BA162)=0,$AX162&lt;=BA$195,$AX162&gt;0,$AW162&gt;-1),$AV162,0)</f>
        <v>0</v>
      </c>
      <c r="BC162">
        <f>IF(AND(SUM(BC$160:BC161)=0,SUM($AY162:BB162)=0,$AX162&lt;=BB$195,$AX162&gt;0,$AW162&gt;-1),$AV162,0)</f>
        <v>0</v>
      </c>
      <c r="BD162">
        <f>IF(AND(SUM(BD$160:BD161)=0,SUM($AY162:BC162)=0,$AX162&lt;=BC$195,$AX162&gt;0,$AW162&gt;-1),$AV162,0)</f>
        <v>0</v>
      </c>
      <c r="BE162">
        <f>IF(AND(SUM(BE$160:BE161)=0,SUM($AY162:BD162)=0,$AX162&lt;=BD$195,$AX162&gt;0,$AW162&gt;-1),$AV162,0)</f>
        <v>0</v>
      </c>
      <c r="BF162">
        <f>IF(AND(SUM(BF$160:BF161)=0,SUM($AY162:BE162)=0,$AX162&lt;=BE$195,$AX162&gt;0,$AW162&gt;-1),$AV162,0)</f>
        <v>0</v>
      </c>
      <c r="BG162">
        <f t="shared" si="102"/>
        <v>0</v>
      </c>
      <c r="BH162" s="494">
        <f t="shared" si="105"/>
        <v>0</v>
      </c>
      <c r="BI162">
        <f t="shared" si="106"/>
        <v>0</v>
      </c>
    </row>
    <row r="163" spans="1:61" x14ac:dyDescent="0.25">
      <c r="A163">
        <v>150</v>
      </c>
      <c r="B163" t="str">
        <f>_xlfn.XLOOKUP(A163,Order!R$12:R$859,Order!C$12:C$859,"")</f>
        <v/>
      </c>
      <c r="C163" t="str">
        <f>_xlfn.XLOOKUP(A163,Order!R$12:R$859,Order!S$12:S$859,"")</f>
        <v/>
      </c>
      <c r="D163" t="str">
        <f>_xlfn.XLOOKUP(A163,Order!R$12:R$859,Order!B$12:B$859,"")</f>
        <v/>
      </c>
      <c r="E163" t="str">
        <f>_xlfn.XLOOKUP(A163,Order!R$12:R$859,Order!P$12:P$859,"")</f>
        <v/>
      </c>
      <c r="F163" t="str">
        <f>_xlfn.XLOOKUP(A163,Order!R$12:R$859,Order!T$12:T$859,"")</f>
        <v/>
      </c>
      <c r="G163" t="str">
        <f>_xlfn.XLOOKUP(A163,Order!R$12:R$859,Order!U$12:U$859,"")</f>
        <v/>
      </c>
      <c r="H163" t="str">
        <f>_xlfn.XLOOKUP(A163,Order!R$12:R$859,Order!B$12:B$859,"")</f>
        <v/>
      </c>
      <c r="I163" t="str">
        <f>_xlfn.XLOOKUP(A163,Order!R$12:R$859,Order!V$12:V$859,"")</f>
        <v/>
      </c>
      <c r="J163" t="str">
        <f>IFERROR(RANK(F163,F$14:F$213,1)+COUNTIF(F$14:F163,F163)-1,"")</f>
        <v/>
      </c>
      <c r="L163" t="str">
        <f t="shared" si="95"/>
        <v/>
      </c>
      <c r="M163" t="str" cm="1">
        <f t="array" ref="M163">_xlfn.XLOOKUP(A163,J$14:J362,B$14:B362,"")</f>
        <v/>
      </c>
      <c r="N163" t="str" cm="1">
        <f t="array" ref="N163">_xlfn.XLOOKUP(A163,J$14:J362,C$14:C362,"")</f>
        <v/>
      </c>
      <c r="O163" t="str" cm="1">
        <f t="array" ref="O163">_xlfn.XLOOKUP(A163,J$14:J362,E$14:E362,"")</f>
        <v/>
      </c>
      <c r="P163" t="str" cm="1">
        <f t="array" ref="P163">_xlfn.XLOOKUP(A163,J$14:J362,G$14:G362,"")</f>
        <v/>
      </c>
      <c r="Q163" t="str" cm="1">
        <f t="array" ref="Q163">_xlfn.XLOOKUP(A163,J$14:J362,F$14:F362,"")</f>
        <v/>
      </c>
      <c r="R163" t="str" cm="1">
        <f t="array" ref="R163">_xlfn.XLOOKUP(A163,J$14:J362,I$14:I362,"")</f>
        <v/>
      </c>
      <c r="S163" t="str" cm="1">
        <f t="array" ref="S163">_xlfn.XLOOKUP(A163,J$14:J362,H$14:H362,"")</f>
        <v/>
      </c>
      <c r="T163" t="str" cm="1">
        <f t="array" ref="T163">VLOOKUP(ROW(150:150),L$14:S$163,8)</f>
        <v/>
      </c>
      <c r="U163" t="str" cm="1">
        <f t="array" ref="U163">VLOOKUP(ROW(150:150),L$14:M$163,2)</f>
        <v/>
      </c>
      <c r="V163" t="str" cm="1">
        <f t="array" ref="V163">VLOOKUP(ROW(150:150),L$14:O$163,4)</f>
        <v/>
      </c>
      <c r="W163" t="str" cm="1">
        <f t="array" ref="W163">VLOOKUP(ROW(150:150),L$14:Q$163,6)</f>
        <v/>
      </c>
      <c r="X163" cm="1">
        <f t="array" ref="X163">IFERROR(VLOOKUP(ROW(150:150),L$14:P$213,5)+0,0)</f>
        <v>0</v>
      </c>
      <c r="Y163" t="str" cm="1">
        <f t="array" ref="Y163">VLOOKUP(ROW(150:150),L$14:R$163,7)</f>
        <v/>
      </c>
      <c r="Z163">
        <f>IF(Y163&lt;-2,X163+MAX(Z$14:Z162),0)</f>
        <v>0</v>
      </c>
      <c r="AA163">
        <f>IFERROR(IF(AND(SUM(AA164:AA$214)+X163&lt;=Z$10,W163&lt;=Z$12,Z163=0),X163,0),0)</f>
        <v>0</v>
      </c>
      <c r="AB163">
        <f>IFERROR(IF(AND(W163&lt;=Z$12+10,AB$12-X163&gt;=0,SUM(Z163:AA163)=0,SUM(AB$14:AB162)+X163&lt;AB$12),X163,0),0)</f>
        <v>0</v>
      </c>
      <c r="AD163">
        <f>IF(AND(Y163=-2,SUM(Z163:AB163)=0),X163+MAX(AD$14:AD162),0)</f>
        <v>0</v>
      </c>
      <c r="AE163">
        <f>IFERROR(IF(AND(SUM(AE164:AE$214)+X163&lt;=AD$10,W163&lt;=AD$12,SUM(Z163:AD163)=0),X163,0),0)</f>
        <v>0</v>
      </c>
      <c r="AF163">
        <f>IFERROR(IF(AND(W163&lt;=AD$12+10,AF$12-X163&gt;=0,SUM(Z163:AE163)=0,SUM(AF$14:AF162)+X163&lt;AF$12),X163,0),0)</f>
        <v>0</v>
      </c>
      <c r="AG163">
        <f t="shared" si="86"/>
        <v>0</v>
      </c>
      <c r="AI163">
        <f t="shared" si="90"/>
        <v>0</v>
      </c>
      <c r="AJ163" s="493">
        <f t="shared" si="94"/>
        <v>0</v>
      </c>
      <c r="AK163">
        <f>IF(AJ163=0,0,IF(AJ162=0,MAX(AK$13:AK162)+1,IF(W163&lt;&gt;W162,MAX(AK$14:AK162)+1,IF(ROUNDDOWN(AJ163-0.01,0)=ROUNDDOWN(AJ162-0.01,0),AK162,AK162+1))))</f>
        <v>0</v>
      </c>
      <c r="AL163">
        <f t="shared" si="91"/>
        <v>0</v>
      </c>
      <c r="AM163">
        <f t="shared" si="92"/>
        <v>0</v>
      </c>
      <c r="AN163">
        <f>IF(AM163&gt;AN$12,IF(AK163=AK162,AN162,MAX(AN$13:AN162)+1),0)</f>
        <v>0</v>
      </c>
      <c r="AP163">
        <f t="shared" si="87"/>
        <v>0</v>
      </c>
      <c r="AQ163">
        <f>IF(AP163&gt;0,IF(MAX(AQ164:AQ$214)+AP163&gt;ROUNDUP(MAX(AQ164:AQ$214),0),ROUNDUP(MAX(AQ164:AQ$214),0)+AP163,MAX(AQ164:AQ$214)+AP163),0)</f>
        <v>0</v>
      </c>
      <c r="AR163">
        <f t="shared" si="93"/>
        <v>0</v>
      </c>
      <c r="AS163">
        <f t="shared" si="88"/>
        <v>0</v>
      </c>
      <c r="AT163">
        <f t="shared" si="89"/>
        <v>10</v>
      </c>
      <c r="AV163">
        <v>4</v>
      </c>
      <c r="AW163">
        <f t="shared" si="103"/>
        <v>0</v>
      </c>
      <c r="AX163">
        <f t="shared" si="104"/>
        <v>0</v>
      </c>
      <c r="AY163" s="496">
        <f>IF(AND(AX163=AX$159,SUM(AY$160:AY162)=0,AW163=AZ$159,AX$159&lt;&gt;0),AV163,)</f>
        <v>0</v>
      </c>
      <c r="AZ163">
        <f>IF(AND(SUM(AZ$160:AZ162)=0,SUM($AY163:AY163)=0,$AX163&lt;=AY$195,$AX163&gt;0,$AW163&gt;-1),$AV163,0)</f>
        <v>0</v>
      </c>
      <c r="BA163">
        <f>IF(AND(SUM(BA$160:BA162)=0,SUM($AY163:AZ163)=0,$AX163&lt;=AZ$195,$AX163&gt;0,$AW163&gt;-1),$AV163,0)</f>
        <v>0</v>
      </c>
      <c r="BB163">
        <f>IF(AND(SUM(BB$160:BB162)=0,SUM($AY163:BA163)=0,$AX163&lt;=BA$195,$AX163&gt;0,$AW163&gt;-1),$AV163,0)</f>
        <v>0</v>
      </c>
      <c r="BC163">
        <f>IF(AND(SUM(BC$160:BC162)=0,SUM($AY163:BB163)=0,$AX163&lt;=BB$195,$AX163&gt;0,$AW163&gt;-1),$AV163,0)</f>
        <v>0</v>
      </c>
      <c r="BD163">
        <f>IF(AND(SUM(BD$160:BD162)=0,SUM($AY163:BC163)=0,$AX163&lt;=BC$195,$AX163&gt;0,$AW163&gt;-1),$AV163,0)</f>
        <v>0</v>
      </c>
      <c r="BE163">
        <f>IF(AND(SUM(BE$160:BE162)=0,SUM($AY163:BD163)=0,$AX163&lt;=BD$195,$AX163&gt;0,$AW163&gt;-1),$AV163,0)</f>
        <v>0</v>
      </c>
      <c r="BF163">
        <f>IF(AND(SUM(BF$160:BF162)=0,SUM($AY163:BE163)=0,$AX163&lt;=BE$195,$AX163&gt;0,$AW163&gt;-1),$AV163,0)</f>
        <v>0</v>
      </c>
      <c r="BG163">
        <f t="shared" si="102"/>
        <v>0</v>
      </c>
      <c r="BH163" s="494">
        <f t="shared" si="105"/>
        <v>0</v>
      </c>
      <c r="BI163">
        <f t="shared" si="106"/>
        <v>0</v>
      </c>
    </row>
    <row r="164" spans="1:61" x14ac:dyDescent="0.25">
      <c r="A164">
        <v>151</v>
      </c>
      <c r="C164" t="str">
        <f>_xlfn.XLOOKUP(A164,Order!R$12:R$859,Order!S$12:S$859,"")</f>
        <v/>
      </c>
      <c r="H164" t="str">
        <f>_xlfn.XLOOKUP(A164,Order!R$12:R$859,Order!B$12:B$859,"")</f>
        <v/>
      </c>
      <c r="J164" t="str">
        <f>IFERROR(RANK(F164,F$14:F$213,1)+COUNTIF(F$14:F164,F164)-1,"")</f>
        <v/>
      </c>
      <c r="L164" t="str">
        <f t="shared" si="95"/>
        <v/>
      </c>
      <c r="M164" t="str" cm="1">
        <f t="array" ref="M164">_xlfn.XLOOKUP(A164,J$14:J363,B$14:B363,"")</f>
        <v/>
      </c>
      <c r="N164" t="str" cm="1">
        <f t="array" ref="N164">_xlfn.XLOOKUP(A164,J$14:J363,C$14:C363,"")</f>
        <v/>
      </c>
      <c r="O164" t="str" cm="1">
        <f t="array" ref="O164">_xlfn.XLOOKUP(A164,J$14:J363,E$14:E363,"")</f>
        <v/>
      </c>
      <c r="P164" t="str" cm="1">
        <f t="array" ref="P164">_xlfn.XLOOKUP(A164,J$14:J363,G$14:G363,"")</f>
        <v/>
      </c>
      <c r="Q164" t="str" cm="1">
        <f t="array" ref="Q164">_xlfn.XLOOKUP(A164,J$14:J363,F$14:F363,"")</f>
        <v/>
      </c>
      <c r="R164" t="str" cm="1">
        <f t="array" ref="R164">_xlfn.XLOOKUP(A164,J$14:J363,I$14:I363,"")</f>
        <v/>
      </c>
      <c r="S164" t="str" cm="1">
        <f t="array" ref="S164">_xlfn.XLOOKUP(A164,J$14:J363,H$14:H363,"")</f>
        <v/>
      </c>
      <c r="T164" t="str" cm="1">
        <f t="array" ref="T164">VLOOKUP(ROW(151:151),L$14:S$163,8)</f>
        <v/>
      </c>
      <c r="U164" t="str" cm="1">
        <f t="array" ref="U164">VLOOKUP(ROW(151:151),L$14:M$163,2)</f>
        <v/>
      </c>
      <c r="V164" t="str" cm="1">
        <f t="array" ref="V164">VLOOKUP(ROW(151:151),L$14:O$163,4)</f>
        <v/>
      </c>
      <c r="W164" t="str" cm="1">
        <f t="array" ref="W164">VLOOKUP(ROW(151:151),L$14:Q$163,6)</f>
        <v/>
      </c>
      <c r="X164" cm="1">
        <f t="array" ref="X164">IFERROR(VLOOKUP(ROW(151:151),L$14:P$213,5)+0,0)</f>
        <v>0</v>
      </c>
      <c r="Y164" t="str" cm="1">
        <f t="array" ref="Y164">VLOOKUP(ROW(151:151),L$14:R$163,7)</f>
        <v/>
      </c>
      <c r="Z164">
        <f>IF(Y164&lt;-2,X164+MAX(Z$14:Z163),0)</f>
        <v>0</v>
      </c>
      <c r="AA164">
        <f>IFERROR(IF(AND(SUM(AA165:AA$214)+X164&lt;=Z$10,W164&lt;=Z$12,Z164=0),X164,0),0)</f>
        <v>0</v>
      </c>
      <c r="AB164">
        <f>IFERROR(IF(AND(W164&lt;=Z$12+10,AB$12-X164&gt;=0,SUM(Z164:AA164)=0,SUM(AB$14:AB163)+X164&lt;AB$12),X164,0),0)</f>
        <v>0</v>
      </c>
      <c r="AD164">
        <f>IF(AND(Y164=-2,SUM(Z164:AB164)=0),X164+MAX(AD$14:AD163),0)</f>
        <v>0</v>
      </c>
      <c r="AE164">
        <f>IFERROR(IF(AND(SUM(AE165:AE$214)+X164&lt;=AD$10,W164&lt;=AD$12,SUM(Z164:AD164)=0),X164,0),0)</f>
        <v>0</v>
      </c>
      <c r="AF164">
        <f>IFERROR(IF(AND(W164&lt;=AD$12+10,AF$12-X164&gt;=0,SUM(Z164:AE164)=0,SUM(AF$14:AF163)+X164&lt;AF$12),X164,0),0)</f>
        <v>0</v>
      </c>
      <c r="AG164">
        <f t="shared" si="86"/>
        <v>0</v>
      </c>
      <c r="AI164">
        <f t="shared" si="90"/>
        <v>0</v>
      </c>
      <c r="AJ164" s="493">
        <f t="shared" si="94"/>
        <v>0</v>
      </c>
      <c r="AK164">
        <f>IF(AJ164=0,0,IF(AJ163=0,MAX(AK$13:AK163)+1,IF(W164&lt;&gt;W163,MAX(AK$14:AK163)+1,IF(ROUNDDOWN(AJ164-0.01,0)=ROUNDDOWN(AJ163-0.01,0),AK163,AK163+1))))</f>
        <v>0</v>
      </c>
      <c r="AL164">
        <f t="shared" si="91"/>
        <v>0</v>
      </c>
      <c r="AM164">
        <f t="shared" si="92"/>
        <v>0</v>
      </c>
      <c r="AN164">
        <f>IF(AM164&gt;AN$12,IF(AK164=AK163,AN163,MAX(AN$13:AN163)+1),0)</f>
        <v>0</v>
      </c>
      <c r="AP164">
        <f t="shared" si="87"/>
        <v>0</v>
      </c>
      <c r="AQ164">
        <f>IF(AP164&gt;0,IF(MAX(AQ165:AQ$214)+AP164&gt;ROUNDUP(MAX(AQ165:AQ$214),0),ROUNDUP(MAX(AQ165:AQ$214),0)+AP164,MAX(AQ165:AQ$214)+AP164),0)</f>
        <v>0</v>
      </c>
      <c r="AR164">
        <f t="shared" si="93"/>
        <v>0</v>
      </c>
      <c r="AS164">
        <f t="shared" si="88"/>
        <v>0</v>
      </c>
      <c r="AT164">
        <f t="shared" si="89"/>
        <v>10</v>
      </c>
      <c r="AV164">
        <v>5</v>
      </c>
      <c r="AW164">
        <f t="shared" si="103"/>
        <v>0</v>
      </c>
      <c r="AX164">
        <f t="shared" si="104"/>
        <v>0</v>
      </c>
      <c r="AY164" s="496">
        <f>IF(AND(AX164=AX$159,SUM(AY$160:AY163)=0,AW164=AZ$159,AX$159&lt;&gt;0),AV164,)</f>
        <v>0</v>
      </c>
      <c r="AZ164">
        <f>IF(AND(SUM(AZ$160:AZ163)=0,SUM($AY164:AY164)=0,$AX164&lt;=AY$195,$AX164&gt;0,$AW164&gt;-1),$AV164,0)</f>
        <v>0</v>
      </c>
      <c r="BA164">
        <f>IF(AND(SUM(BA$160:BA163)=0,SUM($AY164:AZ164)=0,$AX164&lt;=AZ$195,$AX164&gt;0,$AW164&gt;-1),$AV164,0)</f>
        <v>0</v>
      </c>
      <c r="BB164">
        <f>IF(AND(SUM(BB$160:BB163)=0,SUM($AY164:BA164)=0,$AX164&lt;=BA$195,$AX164&gt;0,$AW164&gt;-1),$AV164,0)</f>
        <v>0</v>
      </c>
      <c r="BC164">
        <f>IF(AND(SUM(BC$160:BC163)=0,SUM($AY164:BB164)=0,$AX164&lt;=BB$195,$AX164&gt;0,$AW164&gt;-1),$AV164,0)</f>
        <v>0</v>
      </c>
      <c r="BD164">
        <f>IF(AND(SUM(BD$160:BD163)=0,SUM($AY164:BC164)=0,$AX164&lt;=BC$195,$AX164&gt;0,$AW164&gt;-1),$AV164,0)</f>
        <v>0</v>
      </c>
      <c r="BE164">
        <f>IF(AND(SUM(BE$160:BE163)=0,SUM($AY164:BD164)=0,$AX164&lt;=BD$195,$AX164&gt;0,$AW164&gt;-1),$AV164,0)</f>
        <v>0</v>
      </c>
      <c r="BF164">
        <f>IF(AND(SUM(BF$160:BF163)=0,SUM($AY164:BE164)=0,$AX164&lt;=BE$195,$AX164&gt;0,$AW164&gt;-1),$AV164,0)</f>
        <v>0</v>
      </c>
      <c r="BG164">
        <f t="shared" si="102"/>
        <v>0</v>
      </c>
      <c r="BH164" s="494">
        <f t="shared" si="105"/>
        <v>0</v>
      </c>
      <c r="BI164">
        <f t="shared" si="106"/>
        <v>0</v>
      </c>
    </row>
    <row r="165" spans="1:61" x14ac:dyDescent="0.25">
      <c r="A165">
        <v>152</v>
      </c>
      <c r="C165" t="str">
        <f>_xlfn.XLOOKUP(A165,Order!R$12:R$859,Order!S$12:S$859,"")</f>
        <v/>
      </c>
      <c r="H165" t="str">
        <f>_xlfn.XLOOKUP(A165,Order!R$12:R$859,Order!B$12:B$859,"")</f>
        <v/>
      </c>
      <c r="J165" t="str">
        <f>IFERROR(RANK(F165,F$14:F$213,1)+COUNTIF(F$14:F165,F165)-1,"")</f>
        <v/>
      </c>
      <c r="L165" t="str">
        <f t="shared" si="95"/>
        <v/>
      </c>
      <c r="M165" t="str" cm="1">
        <f t="array" ref="M165">_xlfn.XLOOKUP(A165,J$14:J364,B$14:B364,"")</f>
        <v/>
      </c>
      <c r="N165" t="str" cm="1">
        <f t="array" ref="N165">_xlfn.XLOOKUP(A165,J$14:J364,C$14:C364,"")</f>
        <v/>
      </c>
      <c r="O165" t="str" cm="1">
        <f t="array" ref="O165">_xlfn.XLOOKUP(A165,J$14:J364,E$14:E364,"")</f>
        <v/>
      </c>
      <c r="P165" t="str" cm="1">
        <f t="array" ref="P165">_xlfn.XLOOKUP(A165,J$14:J364,G$14:G364,"")</f>
        <v/>
      </c>
      <c r="Q165" t="str" cm="1">
        <f t="array" ref="Q165">_xlfn.XLOOKUP(A165,J$14:J364,F$14:F364,"")</f>
        <v/>
      </c>
      <c r="R165" t="str" cm="1">
        <f t="array" ref="R165">_xlfn.XLOOKUP(A165,J$14:J364,I$14:I364,"")</f>
        <v/>
      </c>
      <c r="S165" t="str" cm="1">
        <f t="array" ref="S165">_xlfn.XLOOKUP(A165,J$14:J364,H$14:H364,"")</f>
        <v/>
      </c>
      <c r="T165" t="str" cm="1">
        <f t="array" ref="T165">VLOOKUP(ROW(152:152),L$14:S$163,8)</f>
        <v/>
      </c>
      <c r="U165" t="str" cm="1">
        <f t="array" ref="U165">VLOOKUP(ROW(152:152),L$14:M$163,2)</f>
        <v/>
      </c>
      <c r="V165" t="str" cm="1">
        <f t="array" ref="V165">VLOOKUP(ROW(152:152),L$14:O$163,4)</f>
        <v/>
      </c>
      <c r="W165" t="str" cm="1">
        <f t="array" ref="W165">VLOOKUP(ROW(152:152),L$14:Q$163,6)</f>
        <v/>
      </c>
      <c r="X165" cm="1">
        <f t="array" ref="X165">IFERROR(VLOOKUP(ROW(152:152),L$14:P$213,5)+0,0)</f>
        <v>0</v>
      </c>
      <c r="Y165" t="str" cm="1">
        <f t="array" ref="Y165">VLOOKUP(ROW(152:152),L$14:R$163,7)</f>
        <v/>
      </c>
      <c r="Z165">
        <f>IF(Y165&lt;-2,X165+MAX(Z$14:Z164),0)</f>
        <v>0</v>
      </c>
      <c r="AA165">
        <f>IFERROR(IF(AND(SUM(AA166:AA$214)+X165&lt;=Z$10,W165&lt;=Z$12,Z165=0),X165,0),0)</f>
        <v>0</v>
      </c>
      <c r="AB165">
        <f>IFERROR(IF(AND(W165&lt;=Z$12+10,AB$12-X165&gt;=0,SUM(Z165:AA165)=0,SUM(AB$14:AB164)+X165&lt;AB$12),X165,0),0)</f>
        <v>0</v>
      </c>
      <c r="AD165">
        <f>IF(AND(Y165=-2,SUM(Z165:AB165)=0),X165+MAX(AD$14:AD164),0)</f>
        <v>0</v>
      </c>
      <c r="AE165">
        <f>IFERROR(IF(AND(SUM(AE166:AE$214)+X165&lt;=AD$10,W165&lt;=AD$12,SUM(Z165:AD165)=0),X165,0),0)</f>
        <v>0</v>
      </c>
      <c r="AF165">
        <f>IFERROR(IF(AND(W165&lt;=AD$12+10,AF$12-X165&gt;=0,SUM(Z165:AE165)=0,SUM(AF$14:AF164)+X165&lt;AF$12),X165,0),0)</f>
        <v>0</v>
      </c>
      <c r="AG165">
        <f t="shared" si="86"/>
        <v>0</v>
      </c>
      <c r="AI165">
        <f t="shared" si="90"/>
        <v>0</v>
      </c>
      <c r="AJ165" s="493">
        <f t="shared" si="94"/>
        <v>0</v>
      </c>
      <c r="AK165">
        <f>IF(AJ165=0,0,IF(AJ164=0,MAX(AK$13:AK164)+1,IF(W165&lt;&gt;W164,MAX(AK$14:AK164)+1,IF(ROUNDDOWN(AJ165-0.01,0)=ROUNDDOWN(AJ164-0.01,0),AK164,AK164+1))))</f>
        <v>0</v>
      </c>
      <c r="AL165">
        <f t="shared" si="91"/>
        <v>0</v>
      </c>
      <c r="AM165">
        <f t="shared" si="92"/>
        <v>0</v>
      </c>
      <c r="AN165">
        <f>IF(AM165&gt;AN$12,IF(AK165=AK164,AN164,MAX(AN$13:AN164)+1),0)</f>
        <v>0</v>
      </c>
      <c r="AP165">
        <f t="shared" si="87"/>
        <v>0</v>
      </c>
      <c r="AQ165">
        <f>IF(AP165&gt;0,IF(MAX(AQ166:AQ$214)+AP165&gt;ROUNDUP(MAX(AQ166:AQ$214),0),ROUNDUP(MAX(AQ166:AQ$214),0)+AP165,MAX(AQ166:AQ$214)+AP165),0)</f>
        <v>0</v>
      </c>
      <c r="AR165">
        <f t="shared" si="93"/>
        <v>0</v>
      </c>
      <c r="AS165">
        <f t="shared" si="88"/>
        <v>0</v>
      </c>
      <c r="AT165">
        <f t="shared" si="89"/>
        <v>10</v>
      </c>
      <c r="AV165">
        <v>6</v>
      </c>
      <c r="AW165">
        <f t="shared" si="103"/>
        <v>0</v>
      </c>
      <c r="AX165">
        <f t="shared" si="104"/>
        <v>0</v>
      </c>
      <c r="AY165" s="496">
        <f>IF(AND(AX165=AX$159,SUM(AY$160:AY164)=0,AW165=AZ$159,AX$159&lt;&gt;0),AV165,)</f>
        <v>0</v>
      </c>
      <c r="AZ165">
        <f>IF(AND(SUM(AZ$160:AZ164)=0,SUM($AY165:AY165)=0,$AX165&lt;=AY$195,$AX165&gt;0,$AW165&gt;-1),$AV165,0)</f>
        <v>0</v>
      </c>
      <c r="BA165">
        <f>IF(AND(SUM(BA$160:BA164)=0,SUM($AY165:AZ165)=0,$AX165&lt;=AZ$195,$AX165&gt;0,$AW165&gt;-1),$AV165,0)</f>
        <v>0</v>
      </c>
      <c r="BB165">
        <f>IF(AND(SUM(BB$160:BB164)=0,SUM($AY165:BA165)=0,$AX165&lt;=BA$195,$AX165&gt;0,$AW165&gt;-1),$AV165,0)</f>
        <v>0</v>
      </c>
      <c r="BC165">
        <f>IF(AND(SUM(BC$160:BC164)=0,SUM($AY165:BB165)=0,$AX165&lt;=BB$195,$AX165&gt;0,$AW165&gt;-1),$AV165,0)</f>
        <v>0</v>
      </c>
      <c r="BD165">
        <f>IF(AND(SUM(BD$160:BD164)=0,SUM($AY165:BC165)=0,$AX165&lt;=BC$195,$AX165&gt;0,$AW165&gt;-1),$AV165,0)</f>
        <v>0</v>
      </c>
      <c r="BE165">
        <f>IF(AND(SUM(BE$160:BE164)=0,SUM($AY165:BD165)=0,$AX165&lt;=BD$195,$AX165&gt;0,$AW165&gt;-1),$AV165,0)</f>
        <v>0</v>
      </c>
      <c r="BF165">
        <f>IF(AND(SUM(BF$160:BF164)=0,SUM($AY165:BE165)=0,$AX165&lt;=BE$195,$AX165&gt;0,$AW165&gt;-1),$AV165,0)</f>
        <v>0</v>
      </c>
      <c r="BG165">
        <f t="shared" si="102"/>
        <v>0</v>
      </c>
      <c r="BH165" s="494">
        <f t="shared" si="105"/>
        <v>0</v>
      </c>
      <c r="BI165">
        <f t="shared" si="106"/>
        <v>0</v>
      </c>
    </row>
    <row r="166" spans="1:61" x14ac:dyDescent="0.25">
      <c r="A166">
        <v>153</v>
      </c>
      <c r="C166" t="str">
        <f>_xlfn.XLOOKUP(A166,Order!R$12:R$859,Order!S$12:S$859,"")</f>
        <v/>
      </c>
      <c r="H166" t="str">
        <f>_xlfn.XLOOKUP(A166,Order!R$12:R$859,Order!B$12:B$859,"")</f>
        <v/>
      </c>
      <c r="J166" t="str">
        <f>IFERROR(RANK(F166,F$14:F$213,1)+COUNTIF(F$14:F166,F166)-1,"")</f>
        <v/>
      </c>
      <c r="L166" t="str">
        <f t="shared" si="95"/>
        <v/>
      </c>
      <c r="M166" t="str" cm="1">
        <f t="array" ref="M166">_xlfn.XLOOKUP(A166,J$14:J365,B$14:B365,"")</f>
        <v/>
      </c>
      <c r="N166" t="str" cm="1">
        <f t="array" ref="N166">_xlfn.XLOOKUP(A166,J$14:J365,C$14:C365,"")</f>
        <v/>
      </c>
      <c r="O166" t="str" cm="1">
        <f t="array" ref="O166">_xlfn.XLOOKUP(A166,J$14:J365,E$14:E365,"")</f>
        <v/>
      </c>
      <c r="P166" t="str" cm="1">
        <f t="array" ref="P166">_xlfn.XLOOKUP(A166,J$14:J365,G$14:G365,"")</f>
        <v/>
      </c>
      <c r="Q166" t="str" cm="1">
        <f t="array" ref="Q166">_xlfn.XLOOKUP(A166,J$14:J365,F$14:F365,"")</f>
        <v/>
      </c>
      <c r="R166" t="str" cm="1">
        <f t="array" ref="R166">_xlfn.XLOOKUP(A166,J$14:J365,I$14:I365,"")</f>
        <v/>
      </c>
      <c r="S166" t="str" cm="1">
        <f t="array" ref="S166">_xlfn.XLOOKUP(A166,J$14:J365,H$14:H365,"")</f>
        <v/>
      </c>
      <c r="T166" t="str" cm="1">
        <f t="array" ref="T166">VLOOKUP(ROW(153:153),L$14:S$163,8)</f>
        <v/>
      </c>
      <c r="U166" t="str" cm="1">
        <f t="array" ref="U166">VLOOKUP(ROW(153:153),L$14:M$163,2)</f>
        <v/>
      </c>
      <c r="V166" t="str" cm="1">
        <f t="array" ref="V166">VLOOKUP(ROW(153:153),L$14:O$163,4)</f>
        <v/>
      </c>
      <c r="W166" t="str" cm="1">
        <f t="array" ref="W166">VLOOKUP(ROW(153:153),L$14:Q$163,6)</f>
        <v/>
      </c>
      <c r="X166" cm="1">
        <f t="array" ref="X166">IFERROR(VLOOKUP(ROW(153:153),L$14:P$213,5)+0,0)</f>
        <v>0</v>
      </c>
      <c r="Y166" t="str" cm="1">
        <f t="array" ref="Y166">VLOOKUP(ROW(153:153),L$14:R$163,7)</f>
        <v/>
      </c>
      <c r="Z166">
        <f>IF(Y166&lt;-2,X166+MAX(Z$14:Z165),0)</f>
        <v>0</v>
      </c>
      <c r="AA166">
        <f>IFERROR(IF(AND(SUM(AA167:AA$214)+X166&lt;=Z$10,W166&lt;=Z$12,Z166=0),X166,0),0)</f>
        <v>0</v>
      </c>
      <c r="AB166">
        <f>IFERROR(IF(AND(W166&lt;=Z$12+10,AB$12-X166&gt;=0,SUM(Z166:AA166)=0,SUM(AB$14:AB165)+X166&lt;AB$12),X166,0),0)</f>
        <v>0</v>
      </c>
      <c r="AD166">
        <f>IF(AND(Y166=-2,SUM(Z166:AB166)=0),X166+MAX(AD$14:AD165),0)</f>
        <v>0</v>
      </c>
      <c r="AE166">
        <f>IFERROR(IF(AND(SUM(AE167:AE$214)+X166&lt;=AD$10,W166&lt;=AD$12,SUM(Z166:AD166)=0),X166,0),0)</f>
        <v>0</v>
      </c>
      <c r="AF166">
        <f>IFERROR(IF(AND(W166&lt;=AD$12+10,AF$12-X166&gt;=0,SUM(Z166:AE166)=0,SUM(AF$14:AF165)+X166&lt;AF$12),X166,0),0)</f>
        <v>0</v>
      </c>
      <c r="AG166">
        <f t="shared" si="86"/>
        <v>0</v>
      </c>
      <c r="AI166">
        <f t="shared" si="90"/>
        <v>0</v>
      </c>
      <c r="AJ166" s="493">
        <f t="shared" si="94"/>
        <v>0</v>
      </c>
      <c r="AK166">
        <f>IF(AJ166=0,0,IF(AJ165=0,MAX(AK$13:AK165)+1,IF(W166&lt;&gt;W165,MAX(AK$14:AK165)+1,IF(ROUNDDOWN(AJ166-0.01,0)=ROUNDDOWN(AJ165-0.01,0),AK165,AK165+1))))</f>
        <v>0</v>
      </c>
      <c r="AL166">
        <f t="shared" si="91"/>
        <v>0</v>
      </c>
      <c r="AM166">
        <f t="shared" si="92"/>
        <v>0</v>
      </c>
      <c r="AN166">
        <f>IF(AM166&gt;AN$12,IF(AK166=AK165,AN165,MAX(AN$13:AN165)+1),0)</f>
        <v>0</v>
      </c>
      <c r="AP166">
        <f t="shared" si="87"/>
        <v>0</v>
      </c>
      <c r="AQ166">
        <f>IF(AP166&gt;0,IF(MAX(AQ167:AQ$214)+AP166&gt;ROUNDUP(MAX(AQ167:AQ$214),0),ROUNDUP(MAX(AQ167:AQ$214),0)+AP166,MAX(AQ167:AQ$214)+AP166),0)</f>
        <v>0</v>
      </c>
      <c r="AR166">
        <f t="shared" si="93"/>
        <v>0</v>
      </c>
      <c r="AS166">
        <f t="shared" si="88"/>
        <v>0</v>
      </c>
      <c r="AT166">
        <f t="shared" si="89"/>
        <v>10</v>
      </c>
      <c r="AV166">
        <v>7</v>
      </c>
      <c r="AW166">
        <f t="shared" si="103"/>
        <v>0</v>
      </c>
      <c r="AX166">
        <f t="shared" si="104"/>
        <v>0</v>
      </c>
      <c r="AY166" s="496">
        <f>IF(AND(AX166=AX$159,SUM(AY$160:AY165)=0,AW166=AZ$159,AX$159&lt;&gt;0),AV166,)</f>
        <v>0</v>
      </c>
      <c r="AZ166">
        <f>IF(AND(SUM(AZ$160:AZ165)=0,SUM($AY166:AY166)=0,$AX166&lt;=AY$195,$AX166&gt;0,$AW166&gt;-1),$AV166,0)</f>
        <v>0</v>
      </c>
      <c r="BA166">
        <f>IF(AND(SUM(BA$160:BA165)=0,SUM($AY166:AZ166)=0,$AX166&lt;=AZ$195,$AX166&gt;0,$AW166&gt;-1),$AV166,0)</f>
        <v>0</v>
      </c>
      <c r="BB166">
        <f>IF(AND(SUM(BB$160:BB165)=0,SUM($AY166:BA166)=0,$AX166&lt;=BA$195,$AX166&gt;0,$AW166&gt;-1),$AV166,0)</f>
        <v>0</v>
      </c>
      <c r="BC166">
        <f>IF(AND(SUM(BC$160:BC165)=0,SUM($AY166:BB166)=0,$AX166&lt;=BB$195,$AX166&gt;0,$AW166&gt;-1),$AV166,0)</f>
        <v>0</v>
      </c>
      <c r="BD166">
        <f>IF(AND(SUM(BD$160:BD165)=0,SUM($AY166:BC166)=0,$AX166&lt;=BC$195,$AX166&gt;0,$AW166&gt;-1),$AV166,0)</f>
        <v>0</v>
      </c>
      <c r="BE166">
        <f>IF(AND(SUM(BE$160:BE165)=0,SUM($AY166:BD166)=0,$AX166&lt;=BD$195,$AX166&gt;0,$AW166&gt;-1),$AV166,0)</f>
        <v>0</v>
      </c>
      <c r="BF166">
        <f>IF(AND(SUM(BF$160:BF165)=0,SUM($AY166:BE166)=0,$AX166&lt;=BE$195,$AX166&gt;0,$AW166&gt;-1),$AV166,0)</f>
        <v>0</v>
      </c>
      <c r="BG166">
        <f t="shared" si="102"/>
        <v>0</v>
      </c>
      <c r="BH166" s="494">
        <f t="shared" si="105"/>
        <v>0</v>
      </c>
      <c r="BI166">
        <f t="shared" si="106"/>
        <v>0</v>
      </c>
    </row>
    <row r="167" spans="1:61" x14ac:dyDescent="0.25">
      <c r="A167">
        <v>154</v>
      </c>
      <c r="C167" t="str">
        <f>_xlfn.XLOOKUP(A167,Order!R$12:R$859,Order!S$12:S$859,"")</f>
        <v/>
      </c>
      <c r="H167" t="str">
        <f>_xlfn.XLOOKUP(A167,Order!R$12:R$859,Order!B$12:B$859,"")</f>
        <v/>
      </c>
      <c r="J167" t="str">
        <f>IFERROR(RANK(F167,F$14:F$213,1)+COUNTIF(F$14:F167,F167)-1,"")</f>
        <v/>
      </c>
      <c r="L167" t="str">
        <f t="shared" si="95"/>
        <v/>
      </c>
      <c r="M167" t="str" cm="1">
        <f t="array" ref="M167">_xlfn.XLOOKUP(A167,J$14:J366,B$14:B366,"")</f>
        <v/>
      </c>
      <c r="N167" t="str" cm="1">
        <f t="array" ref="N167">_xlfn.XLOOKUP(A167,J$14:J366,C$14:C366,"")</f>
        <v/>
      </c>
      <c r="O167" t="str" cm="1">
        <f t="array" ref="O167">_xlfn.XLOOKUP(A167,J$14:J366,E$14:E366,"")</f>
        <v/>
      </c>
      <c r="P167" t="str" cm="1">
        <f t="array" ref="P167">_xlfn.XLOOKUP(A167,J$14:J366,G$14:G366,"")</f>
        <v/>
      </c>
      <c r="Q167" t="str" cm="1">
        <f t="array" ref="Q167">_xlfn.XLOOKUP(A167,J$14:J366,F$14:F366,"")</f>
        <v/>
      </c>
      <c r="R167" t="str" cm="1">
        <f t="array" ref="R167">_xlfn.XLOOKUP(A167,J$14:J366,I$14:I366,"")</f>
        <v/>
      </c>
      <c r="S167" t="str" cm="1">
        <f t="array" ref="S167">_xlfn.XLOOKUP(A167,J$14:J366,H$14:H366,"")</f>
        <v/>
      </c>
      <c r="T167" t="str" cm="1">
        <f t="array" ref="T167">VLOOKUP(ROW(154:154),L$14:S$163,8)</f>
        <v/>
      </c>
      <c r="U167" t="str" cm="1">
        <f t="array" ref="U167">VLOOKUP(ROW(154:154),L$14:M$163,2)</f>
        <v/>
      </c>
      <c r="V167" t="str" cm="1">
        <f t="array" ref="V167">VLOOKUP(ROW(154:154),L$14:O$163,4)</f>
        <v/>
      </c>
      <c r="W167" t="str" cm="1">
        <f t="array" ref="W167">VLOOKUP(ROW(154:154),L$14:Q$163,6)</f>
        <v/>
      </c>
      <c r="X167" cm="1">
        <f t="array" ref="X167">IFERROR(VLOOKUP(ROW(154:154),L$14:P$213,5)+0,0)</f>
        <v>0</v>
      </c>
      <c r="Y167" t="str" cm="1">
        <f t="array" ref="Y167">VLOOKUP(ROW(154:154),L$14:R$163,7)</f>
        <v/>
      </c>
      <c r="Z167">
        <f>IF(Y167&lt;-2,X167+MAX(Z$14:Z166),0)</f>
        <v>0</v>
      </c>
      <c r="AA167">
        <f>IFERROR(IF(AND(SUM(AA168:AA$214)+X167&lt;=Z$10,W167&lt;=Z$12,Z167=0),X167,0),0)</f>
        <v>0</v>
      </c>
      <c r="AB167">
        <f>IFERROR(IF(AND(W167&lt;=Z$12+10,AB$12-X167&gt;=0,SUM(Z167:AA167)=0,SUM(AB$14:AB166)+X167&lt;AB$12),X167,0),0)</f>
        <v>0</v>
      </c>
      <c r="AD167">
        <f>IF(AND(Y167=-2,SUM(Z167:AB167)=0),X167+MAX(AD$14:AD166),0)</f>
        <v>0</v>
      </c>
      <c r="AE167">
        <f>IFERROR(IF(AND(SUM(AE168:AE$214)+X167&lt;=AD$10,W167&lt;=AD$12,SUM(Z167:AD167)=0),X167,0),0)</f>
        <v>0</v>
      </c>
      <c r="AF167">
        <f>IFERROR(IF(AND(W167&lt;=AD$12+10,AF$12-X167&gt;=0,SUM(Z167:AE167)=0,SUM(AF$14:AF166)+X167&lt;AF$12),X167,0),0)</f>
        <v>0</v>
      </c>
      <c r="AG167">
        <f t="shared" si="86"/>
        <v>0</v>
      </c>
      <c r="AI167">
        <f t="shared" si="90"/>
        <v>0</v>
      </c>
      <c r="AJ167" s="493">
        <f t="shared" si="94"/>
        <v>0</v>
      </c>
      <c r="AK167">
        <f>IF(AJ167=0,0,IF(AJ166=0,MAX(AK$13:AK166)+1,IF(W167&lt;&gt;W166,MAX(AK$14:AK166)+1,IF(ROUNDDOWN(AJ167-0.01,0)=ROUNDDOWN(AJ166-0.01,0),AK166,AK166+1))))</f>
        <v>0</v>
      </c>
      <c r="AL167">
        <f t="shared" si="91"/>
        <v>0</v>
      </c>
      <c r="AM167">
        <f t="shared" si="92"/>
        <v>0</v>
      </c>
      <c r="AN167">
        <f>IF(AM167&gt;AN$12,IF(AK167=AK166,AN166,MAX(AN$13:AN166)+1),0)</f>
        <v>0</v>
      </c>
      <c r="AP167">
        <f t="shared" si="87"/>
        <v>0</v>
      </c>
      <c r="AQ167">
        <f>IF(AP167&gt;0,IF(MAX(AQ168:AQ$214)+AP167&gt;ROUNDUP(MAX(AQ168:AQ$214),0),ROUNDUP(MAX(AQ168:AQ$214),0)+AP167,MAX(AQ168:AQ$214)+AP167),0)</f>
        <v>0</v>
      </c>
      <c r="AR167">
        <f t="shared" si="93"/>
        <v>0</v>
      </c>
      <c r="AS167">
        <f t="shared" si="88"/>
        <v>0</v>
      </c>
      <c r="AT167">
        <f t="shared" si="89"/>
        <v>10</v>
      </c>
      <c r="AV167">
        <v>8</v>
      </c>
      <c r="AW167">
        <f t="shared" si="103"/>
        <v>0</v>
      </c>
      <c r="AX167">
        <f t="shared" si="104"/>
        <v>0</v>
      </c>
      <c r="AY167" s="496">
        <f>IF(AND(AX167=AX$159,SUM(AY$160:AY166)=0,AW167=AZ$159,AX$159&lt;&gt;0),AV167,)</f>
        <v>0</v>
      </c>
      <c r="AZ167">
        <f>IF(AND(SUM(AZ$160:AZ166)=0,SUM($AY167:AY167)=0,$AX167&lt;=AY$195,$AX167&gt;0,$AW167&gt;-1),$AV167,0)</f>
        <v>0</v>
      </c>
      <c r="BA167">
        <f>IF(AND(SUM(BA$160:BA166)=0,SUM($AY167:AZ167)=0,$AX167&lt;=AZ$195,$AX167&gt;0,$AW167&gt;-1),$AV167,0)</f>
        <v>0</v>
      </c>
      <c r="BB167">
        <f>IF(AND(SUM(BB$160:BB166)=0,SUM($AY167:BA167)=0,$AX167&lt;=BA$195,$AX167&gt;0,$AW167&gt;-1),$AV167,0)</f>
        <v>0</v>
      </c>
      <c r="BC167">
        <f>IF(AND(SUM(BC$160:BC166)=0,SUM($AY167:BB167)=0,$AX167&lt;=BB$195,$AX167&gt;0,$AW167&gt;-1),$AV167,0)</f>
        <v>0</v>
      </c>
      <c r="BD167">
        <f>IF(AND(SUM(BD$160:BD166)=0,SUM($AY167:BC167)=0,$AX167&lt;=BC$195,$AX167&gt;0,$AW167&gt;-1),$AV167,0)</f>
        <v>0</v>
      </c>
      <c r="BE167">
        <f>IF(AND(SUM(BE$160:BE166)=0,SUM($AY167:BD167)=0,$AX167&lt;=BD$195,$AX167&gt;0,$AW167&gt;-1),$AV167,0)</f>
        <v>0</v>
      </c>
      <c r="BF167">
        <f>IF(AND(SUM(BF$160:BF166)=0,SUM($AY167:BE167)=0,$AX167&lt;=BE$195,$AX167&gt;0,$AW167&gt;-1),$AV167,0)</f>
        <v>0</v>
      </c>
      <c r="BG167">
        <f t="shared" si="102"/>
        <v>0</v>
      </c>
      <c r="BH167" s="494">
        <f t="shared" si="105"/>
        <v>0</v>
      </c>
      <c r="BI167">
        <f t="shared" si="106"/>
        <v>0</v>
      </c>
    </row>
    <row r="168" spans="1:61" x14ac:dyDescent="0.25">
      <c r="A168">
        <v>155</v>
      </c>
      <c r="C168" t="str">
        <f>_xlfn.XLOOKUP(A168,Order!R$12:R$859,Order!S$12:S$859,"")</f>
        <v/>
      </c>
      <c r="H168" t="str">
        <f>_xlfn.XLOOKUP(A168,Order!R$12:R$859,Order!B$12:B$859,"")</f>
        <v/>
      </c>
      <c r="J168" t="str">
        <f>IFERROR(RANK(F168,F$14:F$213,1)+COUNTIF(F$14:F168,F168)-1,"")</f>
        <v/>
      </c>
      <c r="L168" t="str">
        <f t="shared" si="95"/>
        <v/>
      </c>
      <c r="M168" t="str" cm="1">
        <f t="array" ref="M168">_xlfn.XLOOKUP(A168,J$14:J367,B$14:B367,"")</f>
        <v/>
      </c>
      <c r="N168" t="str" cm="1">
        <f t="array" ref="N168">_xlfn.XLOOKUP(A168,J$14:J367,C$14:C367,"")</f>
        <v/>
      </c>
      <c r="O168" t="str" cm="1">
        <f t="array" ref="O168">_xlfn.XLOOKUP(A168,J$14:J367,E$14:E367,"")</f>
        <v/>
      </c>
      <c r="P168" t="str" cm="1">
        <f t="array" ref="P168">_xlfn.XLOOKUP(A168,J$14:J367,G$14:G367,"")</f>
        <v/>
      </c>
      <c r="Q168" t="str" cm="1">
        <f t="array" ref="Q168">_xlfn.XLOOKUP(A168,J$14:J367,F$14:F367,"")</f>
        <v/>
      </c>
      <c r="R168" t="str" cm="1">
        <f t="array" ref="R168">_xlfn.XLOOKUP(A168,J$14:J367,I$14:I367,"")</f>
        <v/>
      </c>
      <c r="S168" t="str" cm="1">
        <f t="array" ref="S168">_xlfn.XLOOKUP(A168,J$14:J367,H$14:H367,"")</f>
        <v/>
      </c>
      <c r="T168" t="str" cm="1">
        <f t="array" ref="T168">VLOOKUP(ROW(155:155),L$14:S$163,8)</f>
        <v/>
      </c>
      <c r="U168" t="str" cm="1">
        <f t="array" ref="U168">VLOOKUP(ROW(155:155),L$14:M$163,2)</f>
        <v/>
      </c>
      <c r="V168" t="str" cm="1">
        <f t="array" ref="V168">VLOOKUP(ROW(155:155),L$14:O$163,4)</f>
        <v/>
      </c>
      <c r="W168" t="str" cm="1">
        <f t="array" ref="W168">VLOOKUP(ROW(155:155),L$14:Q$163,6)</f>
        <v/>
      </c>
      <c r="X168" cm="1">
        <f t="array" ref="X168">IFERROR(VLOOKUP(ROW(155:155),L$14:P$213,5)+0,0)</f>
        <v>0</v>
      </c>
      <c r="Y168" t="str" cm="1">
        <f t="array" ref="Y168">VLOOKUP(ROW(155:155),L$14:R$163,7)</f>
        <v/>
      </c>
      <c r="Z168">
        <f>IF(Y168&lt;-2,X168+MAX(Z$14:Z167),0)</f>
        <v>0</v>
      </c>
      <c r="AA168">
        <f>IFERROR(IF(AND(SUM(AA169:AA$214)+X168&lt;=Z$10,W168&lt;=Z$12,Z168=0),X168,0),0)</f>
        <v>0</v>
      </c>
      <c r="AB168">
        <f>IFERROR(IF(AND(W168&lt;=Z$12+10,AB$12-X168&gt;=0,SUM(Z168:AA168)=0,SUM(AB$14:AB167)+X168&lt;AB$12),X168,0),0)</f>
        <v>0</v>
      </c>
      <c r="AD168">
        <f>IF(AND(Y168=-2,SUM(Z168:AB168)=0),X168+MAX(AD$14:AD167),0)</f>
        <v>0</v>
      </c>
      <c r="AE168">
        <f>IFERROR(IF(AND(SUM(AE169:AE$214)+X168&lt;=AD$10,W168&lt;=AD$12,SUM(Z168:AD168)=0),X168,0),0)</f>
        <v>0</v>
      </c>
      <c r="AF168">
        <f>IFERROR(IF(AND(W168&lt;=AD$12+10,AF$12-X168&gt;=0,SUM(Z168:AE168)=0,SUM(AF$14:AF167)+X168&lt;AF$12),X168,0),0)</f>
        <v>0</v>
      </c>
      <c r="AG168">
        <f t="shared" si="86"/>
        <v>0</v>
      </c>
      <c r="AI168">
        <f t="shared" si="90"/>
        <v>0</v>
      </c>
      <c r="AJ168" s="493">
        <f t="shared" si="94"/>
        <v>0</v>
      </c>
      <c r="AK168">
        <f>IF(AJ168=0,0,IF(AJ167=0,MAX(AK$13:AK167)+1,IF(W168&lt;&gt;W167,MAX(AK$14:AK167)+1,IF(ROUNDDOWN(AJ168-0.01,0)=ROUNDDOWN(AJ167-0.01,0),AK167,AK167+1))))</f>
        <v>0</v>
      </c>
      <c r="AL168">
        <f t="shared" si="91"/>
        <v>0</v>
      </c>
      <c r="AM168">
        <f t="shared" si="92"/>
        <v>0</v>
      </c>
      <c r="AN168">
        <f>IF(AM168&gt;AN$12,IF(AK168=AK167,AN167,MAX(AN$13:AN167)+1),0)</f>
        <v>0</v>
      </c>
      <c r="AP168">
        <f t="shared" si="87"/>
        <v>0</v>
      </c>
      <c r="AQ168">
        <f>IF(AP168&gt;0,IF(MAX(AQ169:AQ$214)+AP168&gt;ROUNDUP(MAX(AQ169:AQ$214),0),ROUNDUP(MAX(AQ169:AQ$214),0)+AP168,MAX(AQ169:AQ$214)+AP168),0)</f>
        <v>0</v>
      </c>
      <c r="AR168">
        <f t="shared" si="93"/>
        <v>0</v>
      </c>
      <c r="AS168">
        <f t="shared" si="88"/>
        <v>0</v>
      </c>
      <c r="AT168">
        <f t="shared" si="89"/>
        <v>10</v>
      </c>
      <c r="AV168">
        <v>9</v>
      </c>
      <c r="AW168">
        <f t="shared" si="103"/>
        <v>0</v>
      </c>
      <c r="AX168">
        <f t="shared" si="104"/>
        <v>0</v>
      </c>
      <c r="AY168" s="496">
        <f>IF(AND(AX168=AX$159,SUM(AY$160:AY167)=0,AW168=AZ$159,AX$159&lt;&gt;0),AV168,)</f>
        <v>0</v>
      </c>
      <c r="AZ168">
        <f>IF(AND(SUM(AZ$160:AZ167)=0,SUM($AY168:AY168)=0,$AX168&lt;=AY$195,$AX168&gt;0,$AW168&gt;-1),$AV168,0)</f>
        <v>0</v>
      </c>
      <c r="BA168">
        <f>IF(AND(SUM(BA$160:BA167)=0,SUM($AY168:AZ168)=0,$AX168&lt;=AZ$195,$AX168&gt;0,$AW168&gt;-1),$AV168,0)</f>
        <v>0</v>
      </c>
      <c r="BB168">
        <f>IF(AND(SUM(BB$160:BB167)=0,SUM($AY168:BA168)=0,$AX168&lt;=BA$195,$AX168&gt;0,$AW168&gt;-1),$AV168,0)</f>
        <v>0</v>
      </c>
      <c r="BC168">
        <f>IF(AND(SUM(BC$160:BC167)=0,SUM($AY168:BB168)=0,$AX168&lt;=BB$195,$AX168&gt;0,$AW168&gt;-1),$AV168,0)</f>
        <v>0</v>
      </c>
      <c r="BD168">
        <f>IF(AND(SUM(BD$160:BD167)=0,SUM($AY168:BC168)=0,$AX168&lt;=BC$195,$AX168&gt;0,$AW168&gt;-1),$AV168,0)</f>
        <v>0</v>
      </c>
      <c r="BE168">
        <f>IF(AND(SUM(BE$160:BE167)=0,SUM($AY168:BD168)=0,$AX168&lt;=BD$195,$AX168&gt;0,$AW168&gt;-1),$AV168,0)</f>
        <v>0</v>
      </c>
      <c r="BF168">
        <f>IF(AND(SUM(BF$160:BF167)=0,SUM($AY168:BE168)=0,$AX168&lt;=BE$195,$AX168&gt;0,$AW168&gt;-1),$AV168,0)</f>
        <v>0</v>
      </c>
      <c r="BG168">
        <f t="shared" si="102"/>
        <v>0</v>
      </c>
      <c r="BH168" s="494">
        <f t="shared" si="105"/>
        <v>0</v>
      </c>
      <c r="BI168">
        <f t="shared" si="106"/>
        <v>0</v>
      </c>
    </row>
    <row r="169" spans="1:61" x14ac:dyDescent="0.25">
      <c r="A169">
        <v>156</v>
      </c>
      <c r="C169" t="str">
        <f>_xlfn.XLOOKUP(A169,Order!R$12:R$859,Order!S$12:S$859,"")</f>
        <v/>
      </c>
      <c r="H169" t="str">
        <f>_xlfn.XLOOKUP(A169,Order!R$12:R$859,Order!B$12:B$859,"")</f>
        <v/>
      </c>
      <c r="J169" t="str">
        <f>IFERROR(RANK(F169,F$14:F$213,1)+COUNTIF(F$14:F169,F169)-1,"")</f>
        <v/>
      </c>
      <c r="L169" t="str">
        <f t="shared" si="95"/>
        <v/>
      </c>
      <c r="M169" t="str" cm="1">
        <f t="array" ref="M169">_xlfn.XLOOKUP(A169,J$14:J368,B$14:B368,"")</f>
        <v/>
      </c>
      <c r="N169" t="str" cm="1">
        <f t="array" ref="N169">_xlfn.XLOOKUP(A169,J$14:J368,C$14:C368,"")</f>
        <v/>
      </c>
      <c r="O169" t="str" cm="1">
        <f t="array" ref="O169">_xlfn.XLOOKUP(A169,J$14:J368,E$14:E368,"")</f>
        <v/>
      </c>
      <c r="P169" t="str" cm="1">
        <f t="array" ref="P169">_xlfn.XLOOKUP(A169,J$14:J368,G$14:G368,"")</f>
        <v/>
      </c>
      <c r="Q169" t="str" cm="1">
        <f t="array" ref="Q169">_xlfn.XLOOKUP(A169,J$14:J368,F$14:F368,"")</f>
        <v/>
      </c>
      <c r="R169" t="str" cm="1">
        <f t="array" ref="R169">_xlfn.XLOOKUP(A169,J$14:J368,I$14:I368,"")</f>
        <v/>
      </c>
      <c r="S169" t="str" cm="1">
        <f t="array" ref="S169">_xlfn.XLOOKUP(A169,J$14:J368,H$14:H368,"")</f>
        <v/>
      </c>
      <c r="T169" t="str" cm="1">
        <f t="array" ref="T169">VLOOKUP(ROW(156:156),L$14:S$163,8)</f>
        <v/>
      </c>
      <c r="U169" t="str" cm="1">
        <f t="array" ref="U169">VLOOKUP(ROW(156:156),L$14:M$163,2)</f>
        <v/>
      </c>
      <c r="V169" t="str" cm="1">
        <f t="array" ref="V169">VLOOKUP(ROW(156:156),L$14:O$163,4)</f>
        <v/>
      </c>
      <c r="W169" t="str" cm="1">
        <f t="array" ref="W169">VLOOKUP(ROW(156:156),L$14:Q$163,6)</f>
        <v/>
      </c>
      <c r="X169" cm="1">
        <f t="array" ref="X169">IFERROR(VLOOKUP(ROW(156:156),L$14:P$213,5)+0,0)</f>
        <v>0</v>
      </c>
      <c r="Y169" t="str" cm="1">
        <f t="array" ref="Y169">VLOOKUP(ROW(156:156),L$14:R$163,7)</f>
        <v/>
      </c>
      <c r="Z169">
        <f>IF(Y169&lt;-2,X169+MAX(Z$14:Z168),0)</f>
        <v>0</v>
      </c>
      <c r="AA169">
        <f>IFERROR(IF(AND(SUM(AA170:AA$214)+X169&lt;=Z$10,W169&lt;=Z$12,Z169=0),X169,0),0)</f>
        <v>0</v>
      </c>
      <c r="AB169">
        <f>IFERROR(IF(AND(W169&lt;=Z$12+10,AB$12-X169&gt;=0,SUM(Z169:AA169)=0,SUM(AB$14:AB168)+X169&lt;AB$12),X169,0),0)</f>
        <v>0</v>
      </c>
      <c r="AD169">
        <f>IF(AND(Y169=-2,SUM(Z169:AB169)=0),X169+MAX(AD$14:AD168),0)</f>
        <v>0</v>
      </c>
      <c r="AE169">
        <f>IFERROR(IF(AND(SUM(AE170:AE$214)+X169&lt;=AD$10,W169&lt;=AD$12,SUM(Z169:AD169)=0),X169,0),0)</f>
        <v>0</v>
      </c>
      <c r="AF169">
        <f>IFERROR(IF(AND(W169&lt;=AD$12+10,AF$12-X169&gt;=0,SUM(Z169:AE169)=0,SUM(AF$14:AF168)+X169&lt;AF$12),X169,0),0)</f>
        <v>0</v>
      </c>
      <c r="AG169">
        <f t="shared" si="86"/>
        <v>0</v>
      </c>
      <c r="AI169">
        <f t="shared" si="90"/>
        <v>0</v>
      </c>
      <c r="AJ169" s="493">
        <f t="shared" si="94"/>
        <v>0</v>
      </c>
      <c r="AK169">
        <f>IF(AJ169=0,0,IF(AJ168=0,MAX(AK$13:AK168)+1,IF(W169&lt;&gt;W168,MAX(AK$14:AK168)+1,IF(ROUNDDOWN(AJ169-0.01,0)=ROUNDDOWN(AJ168-0.01,0),AK168,AK168+1))))</f>
        <v>0</v>
      </c>
      <c r="AL169">
        <f t="shared" si="91"/>
        <v>0</v>
      </c>
      <c r="AM169">
        <f t="shared" si="92"/>
        <v>0</v>
      </c>
      <c r="AN169">
        <f>IF(AM169&gt;AN$12,IF(AK169=AK168,AN168,MAX(AN$13:AN168)+1),0)</f>
        <v>0</v>
      </c>
      <c r="AP169">
        <f t="shared" si="87"/>
        <v>0</v>
      </c>
      <c r="AQ169">
        <f>IF(AP169&gt;0,IF(MAX(AQ170:AQ$214)+AP169&gt;ROUNDUP(MAX(AQ170:AQ$214),0),ROUNDUP(MAX(AQ170:AQ$214),0)+AP169,MAX(AQ170:AQ$214)+AP169),0)</f>
        <v>0</v>
      </c>
      <c r="AR169">
        <f t="shared" si="93"/>
        <v>0</v>
      </c>
      <c r="AS169">
        <f t="shared" si="88"/>
        <v>0</v>
      </c>
      <c r="AT169">
        <f t="shared" si="89"/>
        <v>10</v>
      </c>
      <c r="AV169">
        <v>10</v>
      </c>
      <c r="AW169">
        <f t="shared" si="103"/>
        <v>0</v>
      </c>
      <c r="AX169">
        <f t="shared" si="104"/>
        <v>0</v>
      </c>
      <c r="AY169" s="496">
        <f>IF(AND(AX169=AX$159,SUM(AY$160:AY168)=0,AW169=AZ$159,AX$159&lt;&gt;0),AV169,)</f>
        <v>0</v>
      </c>
      <c r="AZ169">
        <f>IF(AND(SUM(AZ$160:AZ168)=0,SUM($AY169:AY169)=0,$AX169&lt;=AY$195,$AX169&gt;0,$AW169&gt;-1),$AV169,0)</f>
        <v>0</v>
      </c>
      <c r="BA169">
        <f>IF(AND(SUM(BA$160:BA168)=0,SUM($AY169:AZ169)=0,$AX169&lt;=AZ$195,$AX169&gt;0,$AW169&gt;-1),$AV169,0)</f>
        <v>0</v>
      </c>
      <c r="BB169">
        <f>IF(AND(SUM(BB$160:BB168)=0,SUM($AY169:BA169)=0,$AX169&lt;=BA$195,$AX169&gt;0,$AW169&gt;-1),$AV169,0)</f>
        <v>0</v>
      </c>
      <c r="BC169">
        <f>IF(AND(SUM(BC$160:BC168)=0,SUM($AY169:BB169)=0,$AX169&lt;=BB$195,$AX169&gt;0,$AW169&gt;-1),$AV169,0)</f>
        <v>0</v>
      </c>
      <c r="BD169">
        <f>IF(AND(SUM(BD$160:BD168)=0,SUM($AY169:BC169)=0,$AX169&lt;=BC$195,$AX169&gt;0,$AW169&gt;-1),$AV169,0)</f>
        <v>0</v>
      </c>
      <c r="BE169">
        <f>IF(AND(SUM(BE$160:BE168)=0,SUM($AY169:BD169)=0,$AX169&lt;=BD$195,$AX169&gt;0,$AW169&gt;-1),$AV169,0)</f>
        <v>0</v>
      </c>
      <c r="BF169">
        <f>IF(AND(SUM(BF$160:BF168)=0,SUM($AY169:BE169)=0,$AX169&lt;=BE$195,$AX169&gt;0,$AW169&gt;-1),$AV169,0)</f>
        <v>0</v>
      </c>
      <c r="BG169">
        <f t="shared" si="102"/>
        <v>0</v>
      </c>
      <c r="BH169" s="494">
        <f t="shared" si="105"/>
        <v>0</v>
      </c>
      <c r="BI169">
        <f t="shared" si="106"/>
        <v>0</v>
      </c>
    </row>
    <row r="170" spans="1:61" x14ac:dyDescent="0.25">
      <c r="A170">
        <v>157</v>
      </c>
      <c r="C170" t="str">
        <f>_xlfn.XLOOKUP(A170,Order!R$12:R$859,Order!S$12:S$859,"")</f>
        <v/>
      </c>
      <c r="H170" t="str">
        <f>_xlfn.XLOOKUP(A170,Order!R$12:R$859,Order!B$12:B$859,"")</f>
        <v/>
      </c>
      <c r="J170" t="str">
        <f>IFERROR(RANK(F170,F$14:F$213,1)+COUNTIF(F$14:F170,F170)-1,"")</f>
        <v/>
      </c>
      <c r="L170" t="str">
        <f t="shared" si="95"/>
        <v/>
      </c>
      <c r="M170" t="str" cm="1">
        <f t="array" ref="M170">_xlfn.XLOOKUP(A170,J$14:J369,B$14:B369,"")</f>
        <v/>
      </c>
      <c r="N170" t="str" cm="1">
        <f t="array" ref="N170">_xlfn.XLOOKUP(A170,J$14:J369,C$14:C369,"")</f>
        <v/>
      </c>
      <c r="O170" t="str" cm="1">
        <f t="array" ref="O170">_xlfn.XLOOKUP(A170,J$14:J369,E$14:E369,"")</f>
        <v/>
      </c>
      <c r="P170" t="str" cm="1">
        <f t="array" ref="P170">_xlfn.XLOOKUP(A170,J$14:J369,G$14:G369,"")</f>
        <v/>
      </c>
      <c r="Q170" t="str" cm="1">
        <f t="array" ref="Q170">_xlfn.XLOOKUP(A170,J$14:J369,F$14:F369,"")</f>
        <v/>
      </c>
      <c r="R170" t="str" cm="1">
        <f t="array" ref="R170">_xlfn.XLOOKUP(A170,J$14:J369,I$14:I369,"")</f>
        <v/>
      </c>
      <c r="S170" t="str" cm="1">
        <f t="array" ref="S170">_xlfn.XLOOKUP(A170,J$14:J369,H$14:H369,"")</f>
        <v/>
      </c>
      <c r="T170" t="str" cm="1">
        <f t="array" ref="T170">VLOOKUP(ROW(157:157),L$14:S$163,8)</f>
        <v/>
      </c>
      <c r="U170" t="str" cm="1">
        <f t="array" ref="U170">VLOOKUP(ROW(157:157),L$14:M$163,2)</f>
        <v/>
      </c>
      <c r="V170" t="str" cm="1">
        <f t="array" ref="V170">VLOOKUP(ROW(157:157),L$14:O$163,4)</f>
        <v/>
      </c>
      <c r="W170" t="str" cm="1">
        <f t="array" ref="W170">VLOOKUP(ROW(157:157),L$14:Q$163,6)</f>
        <v/>
      </c>
      <c r="X170" cm="1">
        <f t="array" ref="X170">IFERROR(VLOOKUP(ROW(157:157),L$14:P$213,5)+0,0)</f>
        <v>0</v>
      </c>
      <c r="Y170" t="str" cm="1">
        <f t="array" ref="Y170">VLOOKUP(ROW(157:157),L$14:R$163,7)</f>
        <v/>
      </c>
      <c r="Z170">
        <f>IF(Y170&lt;-2,X170+MAX(Z$14:Z169),0)</f>
        <v>0</v>
      </c>
      <c r="AA170">
        <f>IFERROR(IF(AND(SUM(AA171:AA$214)+X170&lt;=Z$10,W170&lt;=Z$12,Z170=0),X170,0),0)</f>
        <v>0</v>
      </c>
      <c r="AB170">
        <f>IFERROR(IF(AND(W170&lt;=Z$12+10,AB$12-X170&gt;=0,SUM(Z170:AA170)=0,SUM(AB$14:AB169)+X170&lt;AB$12),X170,0),0)</f>
        <v>0</v>
      </c>
      <c r="AD170">
        <f>IF(AND(Y170=-2,SUM(Z170:AB170)=0),X170+MAX(AD$14:AD169),0)</f>
        <v>0</v>
      </c>
      <c r="AE170">
        <f>IFERROR(IF(AND(SUM(AE171:AE$214)+X170&lt;=AD$10,W170&lt;=AD$12,SUM(Z170:AD170)=0),X170,0),0)</f>
        <v>0</v>
      </c>
      <c r="AF170">
        <f>IFERROR(IF(AND(W170&lt;=AD$12+10,AF$12-X170&gt;=0,SUM(Z170:AE170)=0,SUM(AF$14:AF169)+X170&lt;AF$12),X170,0),0)</f>
        <v>0</v>
      </c>
      <c r="AG170">
        <f t="shared" si="86"/>
        <v>0</v>
      </c>
      <c r="AI170">
        <f t="shared" si="90"/>
        <v>0</v>
      </c>
      <c r="AJ170" s="493">
        <f t="shared" si="94"/>
        <v>0</v>
      </c>
      <c r="AK170">
        <f>IF(AJ170=0,0,IF(AJ169=0,MAX(AK$13:AK169)+1,IF(W170&lt;&gt;W169,MAX(AK$14:AK169)+1,IF(ROUNDDOWN(AJ170-0.01,0)=ROUNDDOWN(AJ169-0.01,0),AK169,AK169+1))))</f>
        <v>0</v>
      </c>
      <c r="AL170">
        <f t="shared" si="91"/>
        <v>0</v>
      </c>
      <c r="AM170">
        <f t="shared" si="92"/>
        <v>0</v>
      </c>
      <c r="AN170">
        <f>IF(AM170&gt;AN$12,IF(AK170=AK169,AN169,MAX(AN$13:AN169)+1),0)</f>
        <v>0</v>
      </c>
      <c r="AP170">
        <f t="shared" si="87"/>
        <v>0</v>
      </c>
      <c r="AQ170">
        <f>IF(AP170&gt;0,IF(MAX(AQ171:AQ$214)+AP170&gt;ROUNDUP(MAX(AQ171:AQ$214),0),ROUNDUP(MAX(AQ171:AQ$214),0)+AP170,MAX(AQ171:AQ$214)+AP170),0)</f>
        <v>0</v>
      </c>
      <c r="AR170">
        <f t="shared" si="93"/>
        <v>0</v>
      </c>
      <c r="AS170">
        <f t="shared" si="88"/>
        <v>0</v>
      </c>
      <c r="AT170">
        <f t="shared" si="89"/>
        <v>10</v>
      </c>
      <c r="AV170">
        <v>11</v>
      </c>
      <c r="AW170">
        <f t="shared" si="103"/>
        <v>0</v>
      </c>
      <c r="AX170">
        <f t="shared" si="104"/>
        <v>0</v>
      </c>
      <c r="AY170" s="496">
        <f>IF(AND(AX170=AX$159,SUM(AY$160:AY169)=0,AW170=AZ$159,AX$159&lt;&gt;0),AV170,)</f>
        <v>0</v>
      </c>
      <c r="AZ170">
        <f>IF(AND(SUM(AZ$160:AZ169)=0,SUM($AY170:AY170)=0,$AX170&lt;=AY$195,$AX170&gt;0,$AW170&gt;-1),$AV170,0)</f>
        <v>0</v>
      </c>
      <c r="BA170">
        <f>IF(AND(SUM(BA$160:BA169)=0,SUM($AY170:AZ170)=0,$AX170&lt;=AZ$195,$AX170&gt;0,$AW170&gt;-1),$AV170,0)</f>
        <v>0</v>
      </c>
      <c r="BB170">
        <f>IF(AND(SUM(BB$160:BB169)=0,SUM($AY170:BA170)=0,$AX170&lt;=BA$195,$AX170&gt;0,$AW170&gt;-1),$AV170,0)</f>
        <v>0</v>
      </c>
      <c r="BC170">
        <f>IF(AND(SUM(BC$160:BC169)=0,SUM($AY170:BB170)=0,$AX170&lt;=BB$195,$AX170&gt;0,$AW170&gt;-1),$AV170,0)</f>
        <v>0</v>
      </c>
      <c r="BD170">
        <f>IF(AND(SUM(BD$160:BD169)=0,SUM($AY170:BC170)=0,$AX170&lt;=BC$195,$AX170&gt;0,$AW170&gt;-1),$AV170,0)</f>
        <v>0</v>
      </c>
      <c r="BE170">
        <f>IF(AND(SUM(BE$160:BE169)=0,SUM($AY170:BD170)=0,$AX170&lt;=BD$195,$AX170&gt;0,$AW170&gt;-1),$AV170,0)</f>
        <v>0</v>
      </c>
      <c r="BF170">
        <f>IF(AND(SUM(BF$160:BF169)=0,SUM($AY170:BE170)=0,$AX170&lt;=BE$195,$AX170&gt;0,$AW170&gt;-1),$AV170,0)</f>
        <v>0</v>
      </c>
      <c r="BG170">
        <f t="shared" si="102"/>
        <v>0</v>
      </c>
      <c r="BH170" s="494">
        <f t="shared" si="105"/>
        <v>0</v>
      </c>
      <c r="BI170">
        <f t="shared" si="106"/>
        <v>0</v>
      </c>
    </row>
    <row r="171" spans="1:61" x14ac:dyDescent="0.25">
      <c r="A171">
        <v>158</v>
      </c>
      <c r="C171" t="str">
        <f>_xlfn.XLOOKUP(A171,Order!R$12:R$859,Order!S$12:S$859,"")</f>
        <v/>
      </c>
      <c r="H171" t="str">
        <f>_xlfn.XLOOKUP(A171,Order!R$12:R$859,Order!B$12:B$859,"")</f>
        <v/>
      </c>
      <c r="J171" t="str">
        <f>IFERROR(RANK(F171,F$14:F$213,1)+COUNTIF(F$14:F171,F171)-1,"")</f>
        <v/>
      </c>
      <c r="L171" t="str">
        <f t="shared" si="95"/>
        <v/>
      </c>
      <c r="M171" t="str" cm="1">
        <f t="array" ref="M171">_xlfn.XLOOKUP(A171,J$14:J370,B$14:B370,"")</f>
        <v/>
      </c>
      <c r="N171" t="str" cm="1">
        <f t="array" ref="N171">_xlfn.XLOOKUP(A171,J$14:J370,C$14:C370,"")</f>
        <v/>
      </c>
      <c r="O171" t="str" cm="1">
        <f t="array" ref="O171">_xlfn.XLOOKUP(A171,J$14:J370,E$14:E370,"")</f>
        <v/>
      </c>
      <c r="P171" t="str" cm="1">
        <f t="array" ref="P171">_xlfn.XLOOKUP(A171,J$14:J370,G$14:G370,"")</f>
        <v/>
      </c>
      <c r="Q171" t="str" cm="1">
        <f t="array" ref="Q171">_xlfn.XLOOKUP(A171,J$14:J370,F$14:F370,"")</f>
        <v/>
      </c>
      <c r="R171" t="str" cm="1">
        <f t="array" ref="R171">_xlfn.XLOOKUP(A171,J$14:J370,I$14:I370,"")</f>
        <v/>
      </c>
      <c r="S171" t="str" cm="1">
        <f t="array" ref="S171">_xlfn.XLOOKUP(A171,J$14:J370,H$14:H370,"")</f>
        <v/>
      </c>
      <c r="T171" t="str" cm="1">
        <f t="array" ref="T171">VLOOKUP(ROW(158:158),L$14:S$163,8)</f>
        <v/>
      </c>
      <c r="U171" t="str" cm="1">
        <f t="array" ref="U171">VLOOKUP(ROW(158:158),L$14:M$163,2)</f>
        <v/>
      </c>
      <c r="V171" t="str" cm="1">
        <f t="array" ref="V171">VLOOKUP(ROW(158:158),L$14:O$163,4)</f>
        <v/>
      </c>
      <c r="W171" t="str" cm="1">
        <f t="array" ref="W171">VLOOKUP(ROW(158:158),L$14:Q$163,6)</f>
        <v/>
      </c>
      <c r="X171" cm="1">
        <f t="array" ref="X171">IFERROR(VLOOKUP(ROW(158:158),L$14:P$213,5)+0,0)</f>
        <v>0</v>
      </c>
      <c r="Y171" t="str" cm="1">
        <f t="array" ref="Y171">VLOOKUP(ROW(158:158),L$14:R$163,7)</f>
        <v/>
      </c>
      <c r="Z171">
        <f>IF(Y171&lt;-2,X171+MAX(Z$14:Z170),0)</f>
        <v>0</v>
      </c>
      <c r="AA171">
        <f>IFERROR(IF(AND(SUM(AA172:AA$214)+X171&lt;=Z$10,W171&lt;=Z$12,Z171=0),X171,0),0)</f>
        <v>0</v>
      </c>
      <c r="AB171">
        <f>IFERROR(IF(AND(W171&lt;=Z$12+10,AB$12-X171&gt;=0,SUM(Z171:AA171)=0,SUM(AB$14:AB170)+X171&lt;AB$12),X171,0),0)</f>
        <v>0</v>
      </c>
      <c r="AD171">
        <f>IF(AND(Y171=-2,SUM(Z171:AB171)=0),X171+MAX(AD$14:AD170),0)</f>
        <v>0</v>
      </c>
      <c r="AE171">
        <f>IFERROR(IF(AND(SUM(AE172:AE$214)+X171&lt;=AD$10,W171&lt;=AD$12,SUM(Z171:AD171)=0),X171,0),0)</f>
        <v>0</v>
      </c>
      <c r="AF171">
        <f>IFERROR(IF(AND(W171&lt;=AD$12+10,AF$12-X171&gt;=0,SUM(Z171:AE171)=0,SUM(AF$14:AF170)+X171&lt;AF$12),X171,0),0)</f>
        <v>0</v>
      </c>
      <c r="AG171">
        <f t="shared" si="86"/>
        <v>0</v>
      </c>
      <c r="AI171">
        <f t="shared" si="90"/>
        <v>0</v>
      </c>
      <c r="AJ171" s="493">
        <f t="shared" si="94"/>
        <v>0</v>
      </c>
      <c r="AK171">
        <f>IF(AJ171=0,0,IF(AJ170=0,MAX(AK$13:AK170)+1,IF(W171&lt;&gt;W170,MAX(AK$14:AK170)+1,IF(ROUNDDOWN(AJ171-0.01,0)=ROUNDDOWN(AJ170-0.01,0),AK170,AK170+1))))</f>
        <v>0</v>
      </c>
      <c r="AL171">
        <f t="shared" si="91"/>
        <v>0</v>
      </c>
      <c r="AM171">
        <f t="shared" si="92"/>
        <v>0</v>
      </c>
      <c r="AN171">
        <f>IF(AM171&gt;AN$12,IF(AK171=AK170,AN170,MAX(AN$13:AN170)+1),0)</f>
        <v>0</v>
      </c>
      <c r="AP171">
        <f t="shared" si="87"/>
        <v>0</v>
      </c>
      <c r="AQ171">
        <f>IF(AP171&gt;0,IF(MAX(AQ172:AQ$214)+AP171&gt;ROUNDUP(MAX(AQ172:AQ$214),0),ROUNDUP(MAX(AQ172:AQ$214),0)+AP171,MAX(AQ172:AQ$214)+AP171),0)</f>
        <v>0</v>
      </c>
      <c r="AR171">
        <f t="shared" si="93"/>
        <v>0</v>
      </c>
      <c r="AS171">
        <f t="shared" si="88"/>
        <v>0</v>
      </c>
      <c r="AT171">
        <f t="shared" si="89"/>
        <v>10</v>
      </c>
      <c r="AV171">
        <v>12</v>
      </c>
      <c r="AW171">
        <f t="shared" si="103"/>
        <v>0</v>
      </c>
      <c r="AX171">
        <f t="shared" si="104"/>
        <v>0</v>
      </c>
      <c r="AY171" s="496">
        <f>IF(AND(AX171=AX$159,SUM(AY$160:AY170)=0,AW171=AZ$159,AX$159&lt;&gt;0),AV171,)</f>
        <v>0</v>
      </c>
      <c r="AZ171">
        <f>IF(AND(SUM(AZ$160:AZ170)=0,SUM($AY171:AY171)=0,$AX171&lt;=AY$195,$AX171&gt;0,$AW171&gt;-1),$AV171,0)</f>
        <v>0</v>
      </c>
      <c r="BA171">
        <f>IF(AND(SUM(BA$160:BA170)=0,SUM($AY171:AZ171)=0,$AX171&lt;=AZ$195,$AX171&gt;0,$AW171&gt;-1),$AV171,0)</f>
        <v>0</v>
      </c>
      <c r="BB171">
        <f>IF(AND(SUM(BB$160:BB170)=0,SUM($AY171:BA171)=0,$AX171&lt;=BA$195,$AX171&gt;0,$AW171&gt;-1),$AV171,0)</f>
        <v>0</v>
      </c>
      <c r="BC171">
        <f>IF(AND(SUM(BC$160:BC170)=0,SUM($AY171:BB171)=0,$AX171&lt;=BB$195,$AX171&gt;0,$AW171&gt;-1),$AV171,0)</f>
        <v>0</v>
      </c>
      <c r="BD171">
        <f>IF(AND(SUM(BD$160:BD170)=0,SUM($AY171:BC171)=0,$AX171&lt;=BC$195,$AX171&gt;0,$AW171&gt;-1),$AV171,0)</f>
        <v>0</v>
      </c>
      <c r="BE171">
        <f>IF(AND(SUM(BE$160:BE170)=0,SUM($AY171:BD171)=0,$AX171&lt;=BD$195,$AX171&gt;0,$AW171&gt;-1),$AV171,0)</f>
        <v>0</v>
      </c>
      <c r="BF171">
        <f>IF(AND(SUM(BF$160:BF170)=0,SUM($AY171:BE171)=0,$AX171&lt;=BE$195,$AX171&gt;0,$AW171&gt;-1),$AV171,0)</f>
        <v>0</v>
      </c>
      <c r="BG171">
        <f t="shared" si="102"/>
        <v>0</v>
      </c>
      <c r="BH171" s="494">
        <f t="shared" si="105"/>
        <v>0</v>
      </c>
      <c r="BI171">
        <f t="shared" si="106"/>
        <v>0</v>
      </c>
    </row>
    <row r="172" spans="1:61" x14ac:dyDescent="0.25">
      <c r="A172">
        <v>159</v>
      </c>
      <c r="C172" t="str">
        <f>_xlfn.XLOOKUP(A172,Order!R$12:R$859,Order!S$12:S$859,"")</f>
        <v/>
      </c>
      <c r="H172" t="str">
        <f>_xlfn.XLOOKUP(A172,Order!R$12:R$859,Order!B$12:B$859,"")</f>
        <v/>
      </c>
      <c r="J172" t="str">
        <f>IFERROR(RANK(F172,F$14:F$213,1)+COUNTIF(F$14:F172,F172)-1,"")</f>
        <v/>
      </c>
      <c r="L172" t="str">
        <f t="shared" si="95"/>
        <v/>
      </c>
      <c r="M172" t="str" cm="1">
        <f t="array" ref="M172">_xlfn.XLOOKUP(A172,J$14:J371,B$14:B371,"")</f>
        <v/>
      </c>
      <c r="N172" t="str" cm="1">
        <f t="array" ref="N172">_xlfn.XLOOKUP(A172,J$14:J371,C$14:C371,"")</f>
        <v/>
      </c>
      <c r="O172" t="str" cm="1">
        <f t="array" ref="O172">_xlfn.XLOOKUP(A172,J$14:J371,E$14:E371,"")</f>
        <v/>
      </c>
      <c r="P172" t="str" cm="1">
        <f t="array" ref="P172">_xlfn.XLOOKUP(A172,J$14:J371,G$14:G371,"")</f>
        <v/>
      </c>
      <c r="Q172" t="str" cm="1">
        <f t="array" ref="Q172">_xlfn.XLOOKUP(A172,J$14:J371,F$14:F371,"")</f>
        <v/>
      </c>
      <c r="R172" t="str" cm="1">
        <f t="array" ref="R172">_xlfn.XLOOKUP(A172,J$14:J371,I$14:I371,"")</f>
        <v/>
      </c>
      <c r="S172" t="str" cm="1">
        <f t="array" ref="S172">_xlfn.XLOOKUP(A172,J$14:J371,H$14:H371,"")</f>
        <v/>
      </c>
      <c r="T172" t="str" cm="1">
        <f t="array" ref="T172">VLOOKUP(ROW(159:159),L$14:S$163,8)</f>
        <v/>
      </c>
      <c r="U172" t="str" cm="1">
        <f t="array" ref="U172">VLOOKUP(ROW(159:159),L$14:M$163,2)</f>
        <v/>
      </c>
      <c r="V172" t="str" cm="1">
        <f t="array" ref="V172">VLOOKUP(ROW(159:159),L$14:O$163,4)</f>
        <v/>
      </c>
      <c r="W172" t="str" cm="1">
        <f t="array" ref="W172">VLOOKUP(ROW(159:159),L$14:Q$163,6)</f>
        <v/>
      </c>
      <c r="X172" cm="1">
        <f t="array" ref="X172">IFERROR(VLOOKUP(ROW(159:159),L$14:P$213,5)+0,0)</f>
        <v>0</v>
      </c>
      <c r="Y172" t="str" cm="1">
        <f t="array" ref="Y172">VLOOKUP(ROW(159:159),L$14:R$163,7)</f>
        <v/>
      </c>
      <c r="Z172">
        <f>IF(Y172&lt;-2,X172+MAX(Z$14:Z171),0)</f>
        <v>0</v>
      </c>
      <c r="AA172">
        <f>IFERROR(IF(AND(SUM(AA173:AA$214)+X172&lt;=Z$10,W172&lt;=Z$12,Z172=0),X172,0),0)</f>
        <v>0</v>
      </c>
      <c r="AB172">
        <f>IFERROR(IF(AND(W172&lt;=Z$12+10,AB$12-X172&gt;=0,SUM(Z172:AA172)=0,SUM(AB$14:AB171)+X172&lt;AB$12),X172,0),0)</f>
        <v>0</v>
      </c>
      <c r="AD172">
        <f>IF(AND(Y172=-2,SUM(Z172:AB172)=0),X172+MAX(AD$14:AD171),0)</f>
        <v>0</v>
      </c>
      <c r="AE172">
        <f>IFERROR(IF(AND(SUM(AE173:AE$214)+X172&lt;=AD$10,W172&lt;=AD$12,SUM(Z172:AD172)=0),X172,0),0)</f>
        <v>0</v>
      </c>
      <c r="AF172">
        <f>IFERROR(IF(AND(W172&lt;=AD$12+10,AF$12-X172&gt;=0,SUM(Z172:AE172)=0,SUM(AF$14:AF171)+X172&lt;AF$12),X172,0),0)</f>
        <v>0</v>
      </c>
      <c r="AG172">
        <f t="shared" si="86"/>
        <v>0</v>
      </c>
      <c r="AI172">
        <f t="shared" si="90"/>
        <v>0</v>
      </c>
      <c r="AJ172" s="493">
        <f t="shared" si="94"/>
        <v>0</v>
      </c>
      <c r="AK172">
        <f>IF(AJ172=0,0,IF(AJ171=0,MAX(AK$13:AK171)+1,IF(W172&lt;&gt;W171,MAX(AK$14:AK171)+1,IF(ROUNDDOWN(AJ172-0.01,0)=ROUNDDOWN(AJ171-0.01,0),AK171,AK171+1))))</f>
        <v>0</v>
      </c>
      <c r="AL172">
        <f t="shared" si="91"/>
        <v>0</v>
      </c>
      <c r="AM172">
        <f t="shared" si="92"/>
        <v>0</v>
      </c>
      <c r="AN172">
        <f>IF(AM172&gt;AN$12,IF(AK172=AK171,AN171,MAX(AN$13:AN171)+1),0)</f>
        <v>0</v>
      </c>
      <c r="AP172">
        <f t="shared" si="87"/>
        <v>0</v>
      </c>
      <c r="AQ172">
        <f>IF(AP172&gt;0,IF(MAX(AQ173:AQ$214)+AP172&gt;ROUNDUP(MAX(AQ173:AQ$214),0),ROUNDUP(MAX(AQ173:AQ$214),0)+AP172,MAX(AQ173:AQ$214)+AP172),0)</f>
        <v>0</v>
      </c>
      <c r="AR172">
        <f t="shared" si="93"/>
        <v>0</v>
      </c>
      <c r="AS172">
        <f t="shared" si="88"/>
        <v>0</v>
      </c>
      <c r="AT172">
        <f t="shared" si="89"/>
        <v>10</v>
      </c>
      <c r="AV172">
        <v>13</v>
      </c>
      <c r="AW172">
        <f t="shared" si="103"/>
        <v>0</v>
      </c>
      <c r="AX172">
        <f t="shared" si="104"/>
        <v>0</v>
      </c>
      <c r="AY172" s="496">
        <f>IF(AND(AX172=AX$159,SUM(AY$160:AY171)=0,AW172=AZ$159,AX$159&lt;&gt;0),AV172,)</f>
        <v>0</v>
      </c>
      <c r="AZ172">
        <f>IF(AND(SUM(AZ$160:AZ171)=0,SUM($AY172:AY172)=0,$AX172&lt;=AY$195,$AX172&gt;0,$AW172&gt;-1),$AV172,0)</f>
        <v>0</v>
      </c>
      <c r="BA172">
        <f>IF(AND(SUM(BA$160:BA171)=0,SUM($AY172:AZ172)=0,$AX172&lt;=AZ$195,$AX172&gt;0,$AW172&gt;-1),$AV172,0)</f>
        <v>0</v>
      </c>
      <c r="BB172">
        <f>IF(AND(SUM(BB$160:BB171)=0,SUM($AY172:BA172)=0,$AX172&lt;=BA$195,$AX172&gt;0,$AW172&gt;-1),$AV172,0)</f>
        <v>0</v>
      </c>
      <c r="BC172">
        <f>IF(AND(SUM(BC$160:BC171)=0,SUM($AY172:BB172)=0,$AX172&lt;=BB$195,$AX172&gt;0,$AW172&gt;-1),$AV172,0)</f>
        <v>0</v>
      </c>
      <c r="BD172">
        <f>IF(AND(SUM(BD$160:BD171)=0,SUM($AY172:BC172)=0,$AX172&lt;=BC$195,$AX172&gt;0,$AW172&gt;-1),$AV172,0)</f>
        <v>0</v>
      </c>
      <c r="BE172">
        <f>IF(AND(SUM(BE$160:BE171)=0,SUM($AY172:BD172)=0,$AX172&lt;=BD$195,$AX172&gt;0,$AW172&gt;-1),$AV172,0)</f>
        <v>0</v>
      </c>
      <c r="BF172">
        <f>IF(AND(SUM(BF$160:BF171)=0,SUM($AY172:BE172)=0,$AX172&lt;=BE$195,$AX172&gt;0,$AW172&gt;-1),$AV172,0)</f>
        <v>0</v>
      </c>
      <c r="BG172">
        <f t="shared" si="102"/>
        <v>0</v>
      </c>
      <c r="BH172" s="494">
        <f t="shared" si="105"/>
        <v>0</v>
      </c>
      <c r="BI172">
        <f t="shared" si="106"/>
        <v>0</v>
      </c>
    </row>
    <row r="173" spans="1:61" x14ac:dyDescent="0.25">
      <c r="A173">
        <v>160</v>
      </c>
      <c r="C173" t="str">
        <f>_xlfn.XLOOKUP(A173,Order!R$12:R$859,Order!S$12:S$859,"")</f>
        <v/>
      </c>
      <c r="H173" t="str">
        <f>_xlfn.XLOOKUP(A173,Order!R$12:R$859,Order!B$12:B$859,"")</f>
        <v/>
      </c>
      <c r="J173" t="str">
        <f>IFERROR(RANK(F173,F$14:F$213,1)+COUNTIF(F$14:F173,F173)-1,"")</f>
        <v/>
      </c>
      <c r="L173" t="str">
        <f t="shared" si="95"/>
        <v/>
      </c>
      <c r="M173" t="str" cm="1">
        <f t="array" ref="M173">_xlfn.XLOOKUP(A173,J$14:J372,B$14:B372,"")</f>
        <v/>
      </c>
      <c r="N173" t="str" cm="1">
        <f t="array" ref="N173">_xlfn.XLOOKUP(A173,J$14:J372,C$14:C372,"")</f>
        <v/>
      </c>
      <c r="O173" t="str" cm="1">
        <f t="array" ref="O173">_xlfn.XLOOKUP(A173,J$14:J372,E$14:E372,"")</f>
        <v/>
      </c>
      <c r="P173" t="str" cm="1">
        <f t="array" ref="P173">_xlfn.XLOOKUP(A173,J$14:J372,G$14:G372,"")</f>
        <v/>
      </c>
      <c r="Q173" t="str" cm="1">
        <f t="array" ref="Q173">_xlfn.XLOOKUP(A173,J$14:J372,F$14:F372,"")</f>
        <v/>
      </c>
      <c r="R173" t="str" cm="1">
        <f t="array" ref="R173">_xlfn.XLOOKUP(A173,J$14:J372,I$14:I372,"")</f>
        <v/>
      </c>
      <c r="S173" t="str" cm="1">
        <f t="array" ref="S173">_xlfn.XLOOKUP(A173,J$14:J372,H$14:H372,"")</f>
        <v/>
      </c>
      <c r="T173" t="str" cm="1">
        <f t="array" ref="T173">VLOOKUP(ROW(160:160),L$14:S$163,8)</f>
        <v/>
      </c>
      <c r="U173" t="str" cm="1">
        <f t="array" ref="U173">VLOOKUP(ROW(160:160),L$14:M$163,2)</f>
        <v/>
      </c>
      <c r="V173" t="str" cm="1">
        <f t="array" ref="V173">VLOOKUP(ROW(160:160),L$14:O$163,4)</f>
        <v/>
      </c>
      <c r="W173" t="str" cm="1">
        <f t="array" ref="W173">VLOOKUP(ROW(160:160),L$14:Q$163,6)</f>
        <v/>
      </c>
      <c r="X173" cm="1">
        <f t="array" ref="X173">IFERROR(VLOOKUP(ROW(160:160),L$14:P$213,5)+0,0)</f>
        <v>0</v>
      </c>
      <c r="Y173" t="str" cm="1">
        <f t="array" ref="Y173">VLOOKUP(ROW(160:160),L$14:R$163,7)</f>
        <v/>
      </c>
      <c r="Z173">
        <f>IF(Y173&lt;-2,X173+MAX(Z$14:Z172),0)</f>
        <v>0</v>
      </c>
      <c r="AA173">
        <f>IFERROR(IF(AND(SUM(AA174:AA$214)+X173&lt;=Z$10,W173&lt;=Z$12,Z173=0),X173,0),0)</f>
        <v>0</v>
      </c>
      <c r="AB173">
        <f>IFERROR(IF(AND(W173&lt;=Z$12+10,AB$12-X173&gt;=0,SUM(Z173:AA173)=0,SUM(AB$14:AB172)+X173&lt;AB$12),X173,0),0)</f>
        <v>0</v>
      </c>
      <c r="AD173">
        <f>IF(AND(Y173=-2,SUM(Z173:AB173)=0),X173+MAX(AD$14:AD172),0)</f>
        <v>0</v>
      </c>
      <c r="AE173">
        <f>IFERROR(IF(AND(SUM(AE174:AE$214)+X173&lt;=AD$10,W173&lt;=AD$12,SUM(Z173:AD173)=0),X173,0),0)</f>
        <v>0</v>
      </c>
      <c r="AF173">
        <f>IFERROR(IF(AND(W173&lt;=AD$12+10,AF$12-X173&gt;=0,SUM(Z173:AE173)=0,SUM(AF$14:AF172)+X173&lt;AF$12),X173,0),0)</f>
        <v>0</v>
      </c>
      <c r="AG173">
        <f t="shared" si="86"/>
        <v>0</v>
      </c>
      <c r="AI173">
        <f t="shared" si="90"/>
        <v>0</v>
      </c>
      <c r="AJ173" s="493">
        <f t="shared" si="94"/>
        <v>0</v>
      </c>
      <c r="AK173">
        <f>IF(AJ173=0,0,IF(AJ172=0,MAX(AK$13:AK172)+1,IF(W173&lt;&gt;W172,MAX(AK$14:AK172)+1,IF(ROUNDDOWN(AJ173-0.01,0)=ROUNDDOWN(AJ172-0.01,0),AK172,AK172+1))))</f>
        <v>0</v>
      </c>
      <c r="AL173">
        <f t="shared" si="91"/>
        <v>0</v>
      </c>
      <c r="AM173">
        <f t="shared" si="92"/>
        <v>0</v>
      </c>
      <c r="AN173">
        <f>IF(AM173&gt;AN$12,IF(AK173=AK172,AN172,MAX(AN$13:AN172)+1),0)</f>
        <v>0</v>
      </c>
      <c r="AP173">
        <f t="shared" si="87"/>
        <v>0</v>
      </c>
      <c r="AQ173">
        <f>IF(AP173&gt;0,IF(MAX(AQ174:AQ$214)+AP173&gt;ROUNDUP(MAX(AQ174:AQ$214),0),ROUNDUP(MAX(AQ174:AQ$214),0)+AP173,MAX(AQ174:AQ$214)+AP173),0)</f>
        <v>0</v>
      </c>
      <c r="AR173">
        <f t="shared" si="93"/>
        <v>0</v>
      </c>
      <c r="AS173">
        <f t="shared" si="88"/>
        <v>0</v>
      </c>
      <c r="AT173">
        <f t="shared" si="89"/>
        <v>10</v>
      </c>
      <c r="AV173">
        <v>14</v>
      </c>
      <c r="AW173">
        <f t="shared" si="103"/>
        <v>0</v>
      </c>
      <c r="AX173">
        <f t="shared" si="104"/>
        <v>0</v>
      </c>
      <c r="AY173" s="496">
        <f>IF(AND(AX173=AX$159,SUM(AY$160:AY172)=0,AW173=AZ$159,AX$159&lt;&gt;0),AV173,)</f>
        <v>0</v>
      </c>
      <c r="AZ173">
        <f>IF(AND(SUM(AZ$160:AZ172)=0,SUM($AY173:AY173)=0,$AX173&lt;=AY$195,$AX173&gt;0,$AW173&gt;-1),$AV173,0)</f>
        <v>0</v>
      </c>
      <c r="BA173">
        <f>IF(AND(SUM(BA$160:BA172)=0,SUM($AY173:AZ173)=0,$AX173&lt;=AZ$195,$AX173&gt;0,$AW173&gt;-1),$AV173,0)</f>
        <v>0</v>
      </c>
      <c r="BB173">
        <f>IF(AND(SUM(BB$160:BB172)=0,SUM($AY173:BA173)=0,$AX173&lt;=BA$195,$AX173&gt;0,$AW173&gt;-1),$AV173,0)</f>
        <v>0</v>
      </c>
      <c r="BC173">
        <f>IF(AND(SUM(BC$160:BC172)=0,SUM($AY173:BB173)=0,$AX173&lt;=BB$195,$AX173&gt;0,$AW173&gt;-1),$AV173,0)</f>
        <v>0</v>
      </c>
      <c r="BD173">
        <f>IF(AND(SUM(BD$160:BD172)=0,SUM($AY173:BC173)=0,$AX173&lt;=BC$195,$AX173&gt;0,$AW173&gt;-1),$AV173,0)</f>
        <v>0</v>
      </c>
      <c r="BE173">
        <f>IF(AND(SUM(BE$160:BE172)=0,SUM($AY173:BD173)=0,$AX173&lt;=BD$195,$AX173&gt;0,$AW173&gt;-1),$AV173,0)</f>
        <v>0</v>
      </c>
      <c r="BF173">
        <f>IF(AND(SUM(BF$160:BF172)=0,SUM($AY173:BE173)=0,$AX173&lt;=BE$195,$AX173&gt;0,$AW173&gt;-1),$AV173,0)</f>
        <v>0</v>
      </c>
      <c r="BG173">
        <f t="shared" si="102"/>
        <v>0</v>
      </c>
      <c r="BH173" s="494">
        <f t="shared" si="105"/>
        <v>0</v>
      </c>
      <c r="BI173">
        <f t="shared" si="106"/>
        <v>0</v>
      </c>
    </row>
    <row r="174" spans="1:61" x14ac:dyDescent="0.25">
      <c r="A174">
        <v>161</v>
      </c>
      <c r="C174" t="str">
        <f>_xlfn.XLOOKUP(A174,Order!R$12:R$859,Order!S$12:S$859,"")</f>
        <v/>
      </c>
      <c r="H174" t="str">
        <f>_xlfn.XLOOKUP(A174,Order!R$12:R$859,Order!B$12:B$859,"")</f>
        <v/>
      </c>
      <c r="J174" t="str">
        <f>IFERROR(RANK(F174,F$14:F$213,1)+COUNTIF(F$14:F174,F174)-1,"")</f>
        <v/>
      </c>
      <c r="L174" t="str">
        <f t="shared" si="95"/>
        <v/>
      </c>
      <c r="M174" t="str" cm="1">
        <f t="array" ref="M174">_xlfn.XLOOKUP(A174,J$14:J373,B$14:B373,"")</f>
        <v/>
      </c>
      <c r="N174" t="str" cm="1">
        <f t="array" ref="N174">_xlfn.XLOOKUP(A174,J$14:J373,C$14:C373,"")</f>
        <v/>
      </c>
      <c r="O174" t="str" cm="1">
        <f t="array" ref="O174">_xlfn.XLOOKUP(A174,J$14:J373,E$14:E373,"")</f>
        <v/>
      </c>
      <c r="P174" t="str" cm="1">
        <f t="array" ref="P174">_xlfn.XLOOKUP(A174,J$14:J373,G$14:G373,"")</f>
        <v/>
      </c>
      <c r="Q174" t="str" cm="1">
        <f t="array" ref="Q174">_xlfn.XLOOKUP(A174,J$14:J373,F$14:F373,"")</f>
        <v/>
      </c>
      <c r="R174" t="str" cm="1">
        <f t="array" ref="R174">_xlfn.XLOOKUP(A174,J$14:J373,I$14:I373,"")</f>
        <v/>
      </c>
      <c r="S174" t="str" cm="1">
        <f t="array" ref="S174">_xlfn.XLOOKUP(A174,J$14:J373,H$14:H373,"")</f>
        <v/>
      </c>
      <c r="T174" t="str" cm="1">
        <f t="array" ref="T174">VLOOKUP(ROW(161:161),L$14:S$163,8)</f>
        <v/>
      </c>
      <c r="U174" t="str" cm="1">
        <f t="array" ref="U174">VLOOKUP(ROW(161:161),L$14:M$163,2)</f>
        <v/>
      </c>
      <c r="V174" t="str" cm="1">
        <f t="array" ref="V174">VLOOKUP(ROW(161:161),L$14:O$163,4)</f>
        <v/>
      </c>
      <c r="W174" t="str" cm="1">
        <f t="array" ref="W174">VLOOKUP(ROW(161:161),L$14:Q$163,6)</f>
        <v/>
      </c>
      <c r="X174" cm="1">
        <f t="array" ref="X174">IFERROR(VLOOKUP(ROW(161:161),L$14:P$213,5)+0,0)</f>
        <v>0</v>
      </c>
      <c r="Y174" t="str" cm="1">
        <f t="array" ref="Y174">VLOOKUP(ROW(161:161),L$14:R$163,7)</f>
        <v/>
      </c>
      <c r="Z174">
        <f>IF(Y174&lt;-2,X174+MAX(Z$14:Z173),0)</f>
        <v>0</v>
      </c>
      <c r="AA174">
        <f>IFERROR(IF(AND(SUM(AA175:AA$214)+X174&lt;=Z$10,W174&lt;=Z$12,Z174=0),X174,0),0)</f>
        <v>0</v>
      </c>
      <c r="AB174">
        <f>IFERROR(IF(AND(W174&lt;=Z$12+10,AB$12-X174&gt;=0,SUM(Z174:AA174)=0,SUM(AB$14:AB173)+X174&lt;AB$12),X174,0),0)</f>
        <v>0</v>
      </c>
      <c r="AD174">
        <f>IF(AND(Y174=-2,SUM(Z174:AB174)=0),X174+MAX(AD$14:AD173),0)</f>
        <v>0</v>
      </c>
      <c r="AE174">
        <f>IFERROR(IF(AND(SUM(AE175:AE$214)+X174&lt;=AD$10,W174&lt;=AD$12,SUM(Z174:AD174)=0),X174,0),0)</f>
        <v>0</v>
      </c>
      <c r="AF174">
        <f>IFERROR(IF(AND(W174&lt;=AD$12+10,AF$12-X174&gt;=0,SUM(Z174:AE174)=0,SUM(AF$14:AF173)+X174&lt;AF$12),X174,0),0)</f>
        <v>0</v>
      </c>
      <c r="AG174">
        <f t="shared" ref="AG174:AG205" si="107">IF(SUM(Z174:AF174)&gt;0,0,X174)</f>
        <v>0</v>
      </c>
      <c r="AI174">
        <f t="shared" si="90"/>
        <v>0</v>
      </c>
      <c r="AJ174" s="493">
        <f t="shared" si="94"/>
        <v>0</v>
      </c>
      <c r="AK174">
        <f>IF(AJ174=0,0,IF(AJ173=0,MAX(AK$13:AK173)+1,IF(W174&lt;&gt;W173,MAX(AK$14:AK173)+1,IF(ROUNDDOWN(AJ174-0.01,0)=ROUNDDOWN(AJ173-0.01,0),AK173,AK173+1))))</f>
        <v>0</v>
      </c>
      <c r="AL174">
        <f t="shared" si="91"/>
        <v>0</v>
      </c>
      <c r="AM174">
        <f t="shared" si="92"/>
        <v>0</v>
      </c>
      <c r="AN174">
        <f>IF(AM174&gt;AN$12,IF(AK174=AK173,AN173,MAX(AN$13:AN173)+1),0)</f>
        <v>0</v>
      </c>
      <c r="AP174">
        <f t="shared" ref="AP174:AP205" si="108">IF(AN174+AI174&gt;0,0,X174)</f>
        <v>0</v>
      </c>
      <c r="AQ174">
        <f>IF(AP174&gt;0,IF(MAX(AQ175:AQ$214)+AP174&gt;ROUNDUP(MAX(AQ175:AQ$214),0),ROUNDUP(MAX(AQ175:AQ$214),0)+AP174,MAX(AQ175:AQ$214)+AP174),0)</f>
        <v>0</v>
      </c>
      <c r="AR174">
        <f t="shared" si="93"/>
        <v>0</v>
      </c>
      <c r="AS174">
        <f t="shared" ref="AS174:AS205" si="109">_xlfn.MAXIFS(W174:W373,AR174:AR373,AR174)</f>
        <v>0</v>
      </c>
      <c r="AT174">
        <f t="shared" ref="AT174:AT205" si="110">_xlfn.SINGLE(_xlfn.XLOOKUP(AR174,BK$4:BK$48,BJ$4:BJ$48,0))</f>
        <v>10</v>
      </c>
      <c r="AV174">
        <v>15</v>
      </c>
      <c r="AW174">
        <f t="shared" si="103"/>
        <v>0</v>
      </c>
      <c r="AX174">
        <f t="shared" si="104"/>
        <v>0</v>
      </c>
      <c r="AY174" s="496">
        <f>IF(AND(AX174=AX$159,SUM(AY$160:AY173)=0,AW174=AZ$159,AX$159&lt;&gt;0),AV174,)</f>
        <v>0</v>
      </c>
      <c r="AZ174">
        <f>IF(AND(SUM(AZ$160:AZ173)=0,SUM($AY174:AY174)=0,$AX174&lt;=AY$195,$AX174&gt;0,$AW174&gt;-1),$AV174,0)</f>
        <v>0</v>
      </c>
      <c r="BA174">
        <f>IF(AND(SUM(BA$160:BA173)=0,SUM($AY174:AZ174)=0,$AX174&lt;=AZ$195,$AX174&gt;0,$AW174&gt;-1),$AV174,0)</f>
        <v>0</v>
      </c>
      <c r="BB174">
        <f>IF(AND(SUM(BB$160:BB173)=0,SUM($AY174:BA174)=0,$AX174&lt;=BA$195,$AX174&gt;0,$AW174&gt;-1),$AV174,0)</f>
        <v>0</v>
      </c>
      <c r="BC174">
        <f>IF(AND(SUM(BC$160:BC173)=0,SUM($AY174:BB174)=0,$AX174&lt;=BB$195,$AX174&gt;0,$AW174&gt;-1),$AV174,0)</f>
        <v>0</v>
      </c>
      <c r="BD174">
        <f>IF(AND(SUM(BD$160:BD173)=0,SUM($AY174:BC174)=0,$AX174&lt;=BC$195,$AX174&gt;0,$AW174&gt;-1),$AV174,0)</f>
        <v>0</v>
      </c>
      <c r="BE174">
        <f>IF(AND(SUM(BE$160:BE173)=0,SUM($AY174:BD174)=0,$AX174&lt;=BD$195,$AX174&gt;0,$AW174&gt;-1),$AV174,0)</f>
        <v>0</v>
      </c>
      <c r="BF174">
        <f>IF(AND(SUM(BF$160:BF173)=0,SUM($AY174:BE174)=0,$AX174&lt;=BE$195,$AX174&gt;0,$AW174&gt;-1),$AV174,0)</f>
        <v>0</v>
      </c>
      <c r="BG174">
        <f t="shared" si="102"/>
        <v>0</v>
      </c>
      <c r="BH174" s="494">
        <f t="shared" si="105"/>
        <v>0</v>
      </c>
      <c r="BI174">
        <f t="shared" si="106"/>
        <v>0</v>
      </c>
    </row>
    <row r="175" spans="1:61" x14ac:dyDescent="0.25">
      <c r="A175">
        <v>162</v>
      </c>
      <c r="C175" t="str">
        <f>_xlfn.XLOOKUP(A175,Order!R$12:R$859,Order!S$12:S$859,"")</f>
        <v/>
      </c>
      <c r="H175" t="str">
        <f>_xlfn.XLOOKUP(A175,Order!R$12:R$859,Order!B$12:B$859,"")</f>
        <v/>
      </c>
      <c r="J175" t="str">
        <f>IFERROR(RANK(F175,F$14:F$213,1)+COUNTIF(F$14:F175,F175)-1,"")</f>
        <v/>
      </c>
      <c r="L175" t="str">
        <f t="shared" si="95"/>
        <v/>
      </c>
      <c r="M175" t="str" cm="1">
        <f t="array" ref="M175">_xlfn.XLOOKUP(A175,J$14:J374,B$14:B374,"")</f>
        <v/>
      </c>
      <c r="N175" t="str" cm="1">
        <f t="array" ref="N175">_xlfn.XLOOKUP(A175,J$14:J374,C$14:C374,"")</f>
        <v/>
      </c>
      <c r="O175" t="str" cm="1">
        <f t="array" ref="O175">_xlfn.XLOOKUP(A175,J$14:J374,E$14:E374,"")</f>
        <v/>
      </c>
      <c r="P175" t="str" cm="1">
        <f t="array" ref="P175">_xlfn.XLOOKUP(A175,J$14:J374,G$14:G374,"")</f>
        <v/>
      </c>
      <c r="Q175" t="str" cm="1">
        <f t="array" ref="Q175">_xlfn.XLOOKUP(A175,J$14:J374,F$14:F374,"")</f>
        <v/>
      </c>
      <c r="R175" t="str" cm="1">
        <f t="array" ref="R175">_xlfn.XLOOKUP(A175,J$14:J374,I$14:I374,"")</f>
        <v/>
      </c>
      <c r="S175" t="str" cm="1">
        <f t="array" ref="S175">_xlfn.XLOOKUP(A175,J$14:J374,H$14:H374,"")</f>
        <v/>
      </c>
      <c r="T175" t="str" cm="1">
        <f t="array" ref="T175">VLOOKUP(ROW(162:162),L$14:S$163,8)</f>
        <v/>
      </c>
      <c r="U175" t="str" cm="1">
        <f t="array" ref="U175">VLOOKUP(ROW(162:162),L$14:M$163,2)</f>
        <v/>
      </c>
      <c r="V175" t="str" cm="1">
        <f t="array" ref="V175">VLOOKUP(ROW(162:162),L$14:O$163,4)</f>
        <v/>
      </c>
      <c r="W175" t="str" cm="1">
        <f t="array" ref="W175">VLOOKUP(ROW(162:162),L$14:Q$163,6)</f>
        <v/>
      </c>
      <c r="X175" cm="1">
        <f t="array" ref="X175">IFERROR(VLOOKUP(ROW(162:162),L$14:P$213,5)+0,0)</f>
        <v>0</v>
      </c>
      <c r="Y175" t="str" cm="1">
        <f t="array" ref="Y175">VLOOKUP(ROW(162:162),L$14:R$163,7)</f>
        <v/>
      </c>
      <c r="Z175">
        <f>IF(Y175&lt;-2,X175+MAX(Z$14:Z174),0)</f>
        <v>0</v>
      </c>
      <c r="AA175">
        <f>IFERROR(IF(AND(SUM(AA176:AA$214)+X175&lt;=Z$10,W175&lt;=Z$12,Z175=0),X175,0),0)</f>
        <v>0</v>
      </c>
      <c r="AB175">
        <f>IFERROR(IF(AND(W175&lt;=Z$12+10,AB$12-X175&gt;=0,SUM(Z175:AA175)=0,SUM(AB$14:AB174)+X175&lt;AB$12),X175,0),0)</f>
        <v>0</v>
      </c>
      <c r="AD175">
        <f>IF(AND(Y175=-2,SUM(Z175:AB175)=0),X175+MAX(AD$14:AD174),0)</f>
        <v>0</v>
      </c>
      <c r="AE175">
        <f>IFERROR(IF(AND(SUM(AE176:AE$214)+X175&lt;=AD$10,W175&lt;=AD$12,SUM(Z175:AD175)=0),X175,0),0)</f>
        <v>0</v>
      </c>
      <c r="AF175">
        <f>IFERROR(IF(AND(W175&lt;=AD$12+10,AF$12-X175&gt;=0,SUM(Z175:AE175)=0,SUM(AF$14:AF174)+X175&lt;AF$12),X175,0),0)</f>
        <v>0</v>
      </c>
      <c r="AG175">
        <f t="shared" si="107"/>
        <v>0</v>
      </c>
      <c r="AI175">
        <f t="shared" si="90"/>
        <v>0</v>
      </c>
      <c r="AJ175" s="493">
        <f t="shared" si="94"/>
        <v>0</v>
      </c>
      <c r="AK175">
        <f>IF(AJ175=0,0,IF(AJ174=0,MAX(AK$13:AK174)+1,IF(W175&lt;&gt;W174,MAX(AK$14:AK174)+1,IF(ROUNDDOWN(AJ175-0.01,0)=ROUNDDOWN(AJ174-0.01,0),AK174,AK174+1))))</f>
        <v>0</v>
      </c>
      <c r="AL175">
        <f t="shared" si="91"/>
        <v>0</v>
      </c>
      <c r="AM175">
        <f t="shared" si="92"/>
        <v>0</v>
      </c>
      <c r="AN175">
        <f>IF(AM175&gt;AN$12,IF(AK175=AK174,AN174,MAX(AN$13:AN174)+1),0)</f>
        <v>0</v>
      </c>
      <c r="AP175">
        <f t="shared" si="108"/>
        <v>0</v>
      </c>
      <c r="AQ175">
        <f>IF(AP175&gt;0,IF(MAX(AQ176:AQ$214)+AP175&gt;ROUNDUP(MAX(AQ176:AQ$214),0),ROUNDUP(MAX(AQ176:AQ$214),0)+AP175,MAX(AQ176:AQ$214)+AP175),0)</f>
        <v>0</v>
      </c>
      <c r="AR175">
        <f t="shared" si="93"/>
        <v>0</v>
      </c>
      <c r="AS175">
        <f t="shared" si="109"/>
        <v>0</v>
      </c>
      <c r="AT175">
        <f t="shared" si="110"/>
        <v>10</v>
      </c>
      <c r="AV175">
        <v>16</v>
      </c>
      <c r="AW175">
        <f t="shared" si="103"/>
        <v>0</v>
      </c>
      <c r="AX175">
        <f t="shared" si="104"/>
        <v>0</v>
      </c>
      <c r="AY175" s="496">
        <f>IF(AND(AX175=AX$159,SUM(AY$160:AY174)=0,AW175=AZ$159,AX$159&lt;&gt;0),AV175,)</f>
        <v>0</v>
      </c>
      <c r="AZ175">
        <f>IF(AND(SUM(AZ$160:AZ174)=0,SUM($AY175:AY175)=0,$AX175&lt;=AY$195,$AX175&gt;0,$AW175&gt;-1),$AV175,0)</f>
        <v>0</v>
      </c>
      <c r="BA175">
        <f>IF(AND(SUM(BA$160:BA174)=0,SUM($AY175:AZ175)=0,$AX175&lt;=AZ$195,$AX175&gt;0,$AW175&gt;-1),$AV175,0)</f>
        <v>0</v>
      </c>
      <c r="BB175">
        <f>IF(AND(SUM(BB$160:BB174)=0,SUM($AY175:BA175)=0,$AX175&lt;=BA$195,$AX175&gt;0,$AW175&gt;-1),$AV175,0)</f>
        <v>0</v>
      </c>
      <c r="BC175">
        <f>IF(AND(SUM(BC$160:BC174)=0,SUM($AY175:BB175)=0,$AX175&lt;=BB$195,$AX175&gt;0,$AW175&gt;-1),$AV175,0)</f>
        <v>0</v>
      </c>
      <c r="BD175">
        <f>IF(AND(SUM(BD$160:BD174)=0,SUM($AY175:BC175)=0,$AX175&lt;=BC$195,$AX175&gt;0,$AW175&gt;-1),$AV175,0)</f>
        <v>0</v>
      </c>
      <c r="BE175">
        <f>IF(AND(SUM(BE$160:BE174)=0,SUM($AY175:BD175)=0,$AX175&lt;=BD$195,$AX175&gt;0,$AW175&gt;-1),$AV175,0)</f>
        <v>0</v>
      </c>
      <c r="BF175">
        <f>IF(AND(SUM(BF$160:BF174)=0,SUM($AY175:BE175)=0,$AX175&lt;=BE$195,$AX175&gt;0,$AW175&gt;-1),$AV175,0)</f>
        <v>0</v>
      </c>
      <c r="BG175">
        <f t="shared" si="102"/>
        <v>0</v>
      </c>
      <c r="BH175" s="494">
        <f t="shared" si="105"/>
        <v>0</v>
      </c>
      <c r="BI175">
        <f t="shared" si="106"/>
        <v>0</v>
      </c>
    </row>
    <row r="176" spans="1:61" x14ac:dyDescent="0.25">
      <c r="A176">
        <v>163</v>
      </c>
      <c r="C176" t="str">
        <f>_xlfn.XLOOKUP(A176,Order!R$12:R$859,Order!S$12:S$859,"")</f>
        <v/>
      </c>
      <c r="H176" t="str">
        <f>_xlfn.XLOOKUP(A176,Order!R$12:R$859,Order!B$12:B$859,"")</f>
        <v/>
      </c>
      <c r="J176" t="str">
        <f>IFERROR(RANK(F176,F$14:F$213,1)+COUNTIF(F$14:F176,F176)-1,"")</f>
        <v/>
      </c>
      <c r="L176" t="str">
        <f t="shared" si="95"/>
        <v/>
      </c>
      <c r="M176" t="str" cm="1">
        <f t="array" ref="M176">_xlfn.XLOOKUP(A176,J$14:J375,B$14:B375,"")</f>
        <v/>
      </c>
      <c r="N176" t="str" cm="1">
        <f t="array" ref="N176">_xlfn.XLOOKUP(A176,J$14:J375,C$14:C375,"")</f>
        <v/>
      </c>
      <c r="O176" t="str" cm="1">
        <f t="array" ref="O176">_xlfn.XLOOKUP(A176,J$14:J375,E$14:E375,"")</f>
        <v/>
      </c>
      <c r="P176" t="str" cm="1">
        <f t="array" ref="P176">_xlfn.XLOOKUP(A176,J$14:J375,G$14:G375,"")</f>
        <v/>
      </c>
      <c r="Q176" t="str" cm="1">
        <f t="array" ref="Q176">_xlfn.XLOOKUP(A176,J$14:J375,F$14:F375,"")</f>
        <v/>
      </c>
      <c r="R176" t="str" cm="1">
        <f t="array" ref="R176">_xlfn.XLOOKUP(A176,J$14:J375,I$14:I375,"")</f>
        <v/>
      </c>
      <c r="S176" t="str" cm="1">
        <f t="array" ref="S176">_xlfn.XLOOKUP(A176,J$14:J375,H$14:H375,"")</f>
        <v/>
      </c>
      <c r="T176" t="str" cm="1">
        <f t="array" ref="T176">VLOOKUP(ROW(163:163),L$14:S$163,8)</f>
        <v/>
      </c>
      <c r="U176" t="str" cm="1">
        <f t="array" ref="U176">VLOOKUP(ROW(163:163),L$14:M$163,2)</f>
        <v/>
      </c>
      <c r="V176" t="str" cm="1">
        <f t="array" ref="V176">VLOOKUP(ROW(163:163),L$14:O$163,4)</f>
        <v/>
      </c>
      <c r="W176" t="str" cm="1">
        <f t="array" ref="W176">VLOOKUP(ROW(163:163),L$14:Q$163,6)</f>
        <v/>
      </c>
      <c r="X176" cm="1">
        <f t="array" ref="X176">IFERROR(VLOOKUP(ROW(163:163),L$14:P$213,5)+0,0)</f>
        <v>0</v>
      </c>
      <c r="Y176" t="str" cm="1">
        <f t="array" ref="Y176">VLOOKUP(ROW(163:163),L$14:R$163,7)</f>
        <v/>
      </c>
      <c r="Z176">
        <f>IF(Y176&lt;-2,X176+MAX(Z$14:Z175),0)</f>
        <v>0</v>
      </c>
      <c r="AA176">
        <f>IFERROR(IF(AND(SUM(AA177:AA$214)+X176&lt;=Z$10,W176&lt;=Z$12,Z176=0),X176,0),0)</f>
        <v>0</v>
      </c>
      <c r="AB176">
        <f>IFERROR(IF(AND(W176&lt;=Z$12+10,AB$12-X176&gt;=0,SUM(Z176:AA176)=0,SUM(AB$14:AB175)+X176&lt;AB$12),X176,0),0)</f>
        <v>0</v>
      </c>
      <c r="AD176">
        <f>IF(AND(Y176=-2,SUM(Z176:AB176)=0),X176+MAX(AD$14:AD175),0)</f>
        <v>0</v>
      </c>
      <c r="AE176">
        <f>IFERROR(IF(AND(SUM(AE177:AE$214)+X176&lt;=AD$10,W176&lt;=AD$12,SUM(Z176:AD176)=0),X176,0),0)</f>
        <v>0</v>
      </c>
      <c r="AF176">
        <f>IFERROR(IF(AND(W176&lt;=AD$12+10,AF$12-X176&gt;=0,SUM(Z176:AE176)=0,SUM(AF$14:AF175)+X176&lt;AF$12),X176,0),0)</f>
        <v>0</v>
      </c>
      <c r="AG176">
        <f t="shared" si="107"/>
        <v>0</v>
      </c>
      <c r="AI176">
        <f t="shared" si="90"/>
        <v>0</v>
      </c>
      <c r="AJ176" s="493">
        <f t="shared" si="94"/>
        <v>0</v>
      </c>
      <c r="AK176">
        <f>IF(AJ176=0,0,IF(AJ175=0,MAX(AK$13:AK175)+1,IF(W176&lt;&gt;W175,MAX(AK$14:AK175)+1,IF(ROUNDDOWN(AJ176-0.01,0)=ROUNDDOWN(AJ175-0.01,0),AK175,AK175+1))))</f>
        <v>0</v>
      </c>
      <c r="AL176">
        <f t="shared" si="91"/>
        <v>0</v>
      </c>
      <c r="AM176">
        <f t="shared" si="92"/>
        <v>0</v>
      </c>
      <c r="AN176">
        <f>IF(AM176&gt;AN$12,IF(AK176=AK175,AN175,MAX(AN$13:AN175)+1),0)</f>
        <v>0</v>
      </c>
      <c r="AP176">
        <f t="shared" si="108"/>
        <v>0</v>
      </c>
      <c r="AQ176">
        <f>IF(AP176&gt;0,IF(MAX(AQ177:AQ$214)+AP176&gt;ROUNDUP(MAX(AQ177:AQ$214),0),ROUNDUP(MAX(AQ177:AQ$214),0)+AP176,MAX(AQ177:AQ$214)+AP176),0)</f>
        <v>0</v>
      </c>
      <c r="AR176">
        <f t="shared" si="93"/>
        <v>0</v>
      </c>
      <c r="AS176">
        <f t="shared" si="109"/>
        <v>0</v>
      </c>
      <c r="AT176">
        <f t="shared" si="110"/>
        <v>10</v>
      </c>
      <c r="AV176">
        <v>17</v>
      </c>
      <c r="AW176">
        <f t="shared" si="103"/>
        <v>0</v>
      </c>
      <c r="AX176">
        <f t="shared" si="104"/>
        <v>0</v>
      </c>
      <c r="AY176" s="496">
        <f>IF(AND(AX176=AX$159,SUM(AY$160:AY175)=0,AW176=AZ$159,AX$159&lt;&gt;0),AV176,)</f>
        <v>0</v>
      </c>
      <c r="AZ176">
        <f>IF(AND(SUM(AZ$160:AZ175)=0,SUM($AY176:AY176)=0,$AX176&lt;=AY$195,$AX176&gt;0,$AW176&gt;-1),$AV176,0)</f>
        <v>0</v>
      </c>
      <c r="BA176">
        <f>IF(AND(SUM(BA$160:BA175)=0,SUM($AY176:AZ176)=0,$AX176&lt;=AZ$195,$AX176&gt;0,$AW176&gt;-1),$AV176,0)</f>
        <v>0</v>
      </c>
      <c r="BB176">
        <f>IF(AND(SUM(BB$160:BB175)=0,SUM($AY176:BA176)=0,$AX176&lt;=BA$195,$AX176&gt;0,$AW176&gt;-1),$AV176,0)</f>
        <v>0</v>
      </c>
      <c r="BC176">
        <f>IF(AND(SUM(BC$160:BC175)=0,SUM($AY176:BB176)=0,$AX176&lt;=BB$195,$AX176&gt;0,$AW176&gt;-1),$AV176,0)</f>
        <v>0</v>
      </c>
      <c r="BD176">
        <f>IF(AND(SUM(BD$160:BD175)=0,SUM($AY176:BC176)=0,$AX176&lt;=BC$195,$AX176&gt;0,$AW176&gt;-1),$AV176,0)</f>
        <v>0</v>
      </c>
      <c r="BE176">
        <f>IF(AND(SUM(BE$160:BE175)=0,SUM($AY176:BD176)=0,$AX176&lt;=BD$195,$AX176&gt;0,$AW176&gt;-1),$AV176,0)</f>
        <v>0</v>
      </c>
      <c r="BF176">
        <f>IF(AND(SUM(BF$160:BF175)=0,SUM($AY176:BE176)=0,$AX176&lt;=BE$195,$AX176&gt;0,$AW176&gt;-1),$AV176,0)</f>
        <v>0</v>
      </c>
      <c r="BG176">
        <f t="shared" si="102"/>
        <v>0</v>
      </c>
      <c r="BH176" s="494">
        <f t="shared" si="105"/>
        <v>0</v>
      </c>
      <c r="BI176">
        <f t="shared" si="106"/>
        <v>0</v>
      </c>
    </row>
    <row r="177" spans="1:61" x14ac:dyDescent="0.25">
      <c r="A177">
        <v>164</v>
      </c>
      <c r="C177" t="str">
        <f>_xlfn.XLOOKUP(A177,Order!R$12:R$859,Order!S$12:S$859,"")</f>
        <v/>
      </c>
      <c r="H177" t="str">
        <f>_xlfn.XLOOKUP(A177,Order!R$12:R$859,Order!B$12:B$859,"")</f>
        <v/>
      </c>
      <c r="J177" t="str">
        <f>IFERROR(RANK(F177,F$14:F$213,1)+COUNTIF(F$14:F177,F177)-1,"")</f>
        <v/>
      </c>
      <c r="L177" t="str">
        <f t="shared" si="95"/>
        <v/>
      </c>
      <c r="M177" t="str" cm="1">
        <f t="array" ref="M177">_xlfn.XLOOKUP(A177,J$14:J376,B$14:B376,"")</f>
        <v/>
      </c>
      <c r="N177" t="str" cm="1">
        <f t="array" ref="N177">_xlfn.XLOOKUP(A177,J$14:J376,C$14:C376,"")</f>
        <v/>
      </c>
      <c r="O177" t="str" cm="1">
        <f t="array" ref="O177">_xlfn.XLOOKUP(A177,J$14:J376,E$14:E376,"")</f>
        <v/>
      </c>
      <c r="P177" t="str" cm="1">
        <f t="array" ref="P177">_xlfn.XLOOKUP(A177,J$14:J376,G$14:G376,"")</f>
        <v/>
      </c>
      <c r="Q177" t="str" cm="1">
        <f t="array" ref="Q177">_xlfn.XLOOKUP(A177,J$14:J376,F$14:F376,"")</f>
        <v/>
      </c>
      <c r="R177" t="str" cm="1">
        <f t="array" ref="R177">_xlfn.XLOOKUP(A177,J$14:J376,I$14:I376,"")</f>
        <v/>
      </c>
      <c r="S177" t="str" cm="1">
        <f t="array" ref="S177">_xlfn.XLOOKUP(A177,J$14:J376,H$14:H376,"")</f>
        <v/>
      </c>
      <c r="T177" t="str" cm="1">
        <f t="array" ref="T177">VLOOKUP(ROW(164:164),L$14:S$163,8)</f>
        <v/>
      </c>
      <c r="U177" t="str" cm="1">
        <f t="array" ref="U177">VLOOKUP(ROW(164:164),L$14:M$163,2)</f>
        <v/>
      </c>
      <c r="V177" t="str" cm="1">
        <f t="array" ref="V177">VLOOKUP(ROW(164:164),L$14:O$163,4)</f>
        <v/>
      </c>
      <c r="W177" t="str" cm="1">
        <f t="array" ref="W177">VLOOKUP(ROW(164:164),L$14:Q$163,6)</f>
        <v/>
      </c>
      <c r="X177" cm="1">
        <f t="array" ref="X177">IFERROR(VLOOKUP(ROW(164:164),L$14:P$213,5)+0,0)</f>
        <v>0</v>
      </c>
      <c r="Y177" t="str" cm="1">
        <f t="array" ref="Y177">VLOOKUP(ROW(164:164),L$14:R$163,7)</f>
        <v/>
      </c>
      <c r="Z177">
        <f>IF(Y177&lt;-2,X177+MAX(Z$14:Z176),0)</f>
        <v>0</v>
      </c>
      <c r="AA177">
        <f>IFERROR(IF(AND(SUM(AA178:AA$214)+X177&lt;=Z$10,W177&lt;=Z$12,Z177=0),X177,0),0)</f>
        <v>0</v>
      </c>
      <c r="AB177">
        <f>IFERROR(IF(AND(W177&lt;=Z$12+10,AB$12-X177&gt;=0,SUM(Z177:AA177)=0,SUM(AB$14:AB176)+X177&lt;AB$12),X177,0),0)</f>
        <v>0</v>
      </c>
      <c r="AD177">
        <f>IF(AND(Y177=-2,SUM(Z177:AB177)=0),X177+MAX(AD$14:AD176),0)</f>
        <v>0</v>
      </c>
      <c r="AE177">
        <f>IFERROR(IF(AND(SUM(AE178:AE$214)+X177&lt;=AD$10,W177&lt;=AD$12,SUM(Z177:AD177)=0),X177,0),0)</f>
        <v>0</v>
      </c>
      <c r="AF177">
        <f>IFERROR(IF(AND(W177&lt;=AD$12+10,AF$12-X177&gt;=0,SUM(Z177:AE177)=0,SUM(AF$14:AF176)+X177&lt;AF$12),X177,0),0)</f>
        <v>0</v>
      </c>
      <c r="AG177">
        <f t="shared" si="107"/>
        <v>0</v>
      </c>
      <c r="AI177">
        <f t="shared" si="90"/>
        <v>0</v>
      </c>
      <c r="AJ177" s="493">
        <f t="shared" si="94"/>
        <v>0</v>
      </c>
      <c r="AK177">
        <f>IF(AJ177=0,0,IF(AJ176=0,MAX(AK$13:AK176)+1,IF(W177&lt;&gt;W176,MAX(AK$14:AK176)+1,IF(ROUNDDOWN(AJ177-0.01,0)=ROUNDDOWN(AJ176-0.01,0),AK176,AK176+1))))</f>
        <v>0</v>
      </c>
      <c r="AL177">
        <f t="shared" si="91"/>
        <v>0</v>
      </c>
      <c r="AM177">
        <f t="shared" si="92"/>
        <v>0</v>
      </c>
      <c r="AN177">
        <f>IF(AM177&gt;AN$12,IF(AK177=AK176,AN176,MAX(AN$13:AN176)+1),0)</f>
        <v>0</v>
      </c>
      <c r="AP177">
        <f t="shared" si="108"/>
        <v>0</v>
      </c>
      <c r="AQ177">
        <f>IF(AP177&gt;0,IF(MAX(AQ178:AQ$214)+AP177&gt;ROUNDUP(MAX(AQ178:AQ$214),0),ROUNDUP(MAX(AQ178:AQ$214),0)+AP177,MAX(AQ178:AQ$214)+AP177),0)</f>
        <v>0</v>
      </c>
      <c r="AR177">
        <f t="shared" si="93"/>
        <v>0</v>
      </c>
      <c r="AS177">
        <f t="shared" si="109"/>
        <v>0</v>
      </c>
      <c r="AT177">
        <f t="shared" si="110"/>
        <v>10</v>
      </c>
      <c r="AV177">
        <v>18</v>
      </c>
      <c r="AW177">
        <f t="shared" si="103"/>
        <v>0</v>
      </c>
      <c r="AX177">
        <f t="shared" si="104"/>
        <v>0</v>
      </c>
      <c r="AY177" s="496">
        <f>IF(AND(AX177=AX$159,SUM(AY$160:AY176)=0,AW177=AZ$159,AX$159&lt;&gt;0),AV177,)</f>
        <v>0</v>
      </c>
      <c r="AZ177">
        <f>IF(AND(SUM(AZ$160:AZ176)=0,SUM($AY177:AY177)=0,$AX177&lt;=AY$195,$AX177&gt;0,$AW177&gt;-1),$AV177,0)</f>
        <v>0</v>
      </c>
      <c r="BA177">
        <f>IF(AND(SUM(BA$160:BA176)=0,SUM($AY177:AZ177)=0,$AX177&lt;=AZ$195,$AX177&gt;0,$AW177&gt;-1),$AV177,0)</f>
        <v>0</v>
      </c>
      <c r="BB177">
        <f>IF(AND(SUM(BB$160:BB176)=0,SUM($AY177:BA177)=0,$AX177&lt;=BA$195,$AX177&gt;0,$AW177&gt;-1),$AV177,0)</f>
        <v>0</v>
      </c>
      <c r="BC177">
        <f>IF(AND(SUM(BC$160:BC176)=0,SUM($AY177:BB177)=0,$AX177&lt;=BB$195,$AX177&gt;0,$AW177&gt;-1),$AV177,0)</f>
        <v>0</v>
      </c>
      <c r="BD177">
        <f>IF(AND(SUM(BD$160:BD176)=0,SUM($AY177:BC177)=0,$AX177&lt;=BC$195,$AX177&gt;0,$AW177&gt;-1),$AV177,0)</f>
        <v>0</v>
      </c>
      <c r="BE177">
        <f>IF(AND(SUM(BE$160:BE176)=0,SUM($AY177:BD177)=0,$AX177&lt;=BD$195,$AX177&gt;0,$AW177&gt;-1),$AV177,0)</f>
        <v>0</v>
      </c>
      <c r="BF177">
        <f>IF(AND(SUM(BF$160:BF176)=0,SUM($AY177:BE177)=0,$AX177&lt;=BE$195,$AX177&gt;0,$AW177&gt;-1),$AV177,0)</f>
        <v>0</v>
      </c>
      <c r="BG177">
        <f t="shared" si="102"/>
        <v>0</v>
      </c>
      <c r="BH177" s="494">
        <f t="shared" si="105"/>
        <v>0</v>
      </c>
      <c r="BI177">
        <f t="shared" si="106"/>
        <v>0</v>
      </c>
    </row>
    <row r="178" spans="1:61" x14ac:dyDescent="0.25">
      <c r="A178">
        <v>165</v>
      </c>
      <c r="C178" t="str">
        <f>_xlfn.XLOOKUP(A178,Order!R$12:R$859,Order!S$12:S$859,"")</f>
        <v/>
      </c>
      <c r="H178" t="str">
        <f>_xlfn.XLOOKUP(A178,Order!R$12:R$859,Order!B$12:B$859,"")</f>
        <v/>
      </c>
      <c r="J178" t="str">
        <f>IFERROR(RANK(F178,F$14:F$213,1)+COUNTIF(F$14:F178,F178)-1,"")</f>
        <v/>
      </c>
      <c r="L178" t="str">
        <f t="shared" si="95"/>
        <v/>
      </c>
      <c r="M178" t="str" cm="1">
        <f t="array" ref="M178">_xlfn.XLOOKUP(A178,J$14:J377,B$14:B377,"")</f>
        <v/>
      </c>
      <c r="N178" t="str" cm="1">
        <f t="array" ref="N178">_xlfn.XLOOKUP(A178,J$14:J377,C$14:C377,"")</f>
        <v/>
      </c>
      <c r="O178" t="str" cm="1">
        <f t="array" ref="O178">_xlfn.XLOOKUP(A178,J$14:J377,E$14:E377,"")</f>
        <v/>
      </c>
      <c r="P178" t="str" cm="1">
        <f t="array" ref="P178">_xlfn.XLOOKUP(A178,J$14:J377,G$14:G377,"")</f>
        <v/>
      </c>
      <c r="Q178" t="str" cm="1">
        <f t="array" ref="Q178">_xlfn.XLOOKUP(A178,J$14:J377,F$14:F377,"")</f>
        <v/>
      </c>
      <c r="R178" t="str" cm="1">
        <f t="array" ref="R178">_xlfn.XLOOKUP(A178,J$14:J377,I$14:I377,"")</f>
        <v/>
      </c>
      <c r="S178" t="str" cm="1">
        <f t="array" ref="S178">_xlfn.XLOOKUP(A178,J$14:J377,H$14:H377,"")</f>
        <v/>
      </c>
      <c r="T178" t="str" cm="1">
        <f t="array" ref="T178">VLOOKUP(ROW(165:165),L$14:S$163,8)</f>
        <v/>
      </c>
      <c r="U178" t="str" cm="1">
        <f t="array" ref="U178">VLOOKUP(ROW(165:165),L$14:M$163,2)</f>
        <v/>
      </c>
      <c r="V178" t="str" cm="1">
        <f t="array" ref="V178">VLOOKUP(ROW(165:165),L$14:O$163,4)</f>
        <v/>
      </c>
      <c r="W178" t="str" cm="1">
        <f t="array" ref="W178">VLOOKUP(ROW(165:165),L$14:Q$163,6)</f>
        <v/>
      </c>
      <c r="X178" cm="1">
        <f t="array" ref="X178">IFERROR(VLOOKUP(ROW(165:165),L$14:P$213,5)+0,0)</f>
        <v>0</v>
      </c>
      <c r="Y178" t="str" cm="1">
        <f t="array" ref="Y178">VLOOKUP(ROW(165:165),L$14:R$163,7)</f>
        <v/>
      </c>
      <c r="Z178">
        <f>IF(Y178&lt;-2,X178+MAX(Z$14:Z177),0)</f>
        <v>0</v>
      </c>
      <c r="AA178">
        <f>IFERROR(IF(AND(SUM(AA179:AA$214)+X178&lt;=Z$10,W178&lt;=Z$12,Z178=0),X178,0),0)</f>
        <v>0</v>
      </c>
      <c r="AB178">
        <f>IFERROR(IF(AND(W178&lt;=Z$12+10,AB$12-X178&gt;=0,SUM(Z178:AA178)=0,SUM(AB$14:AB177)+X178&lt;AB$12),X178,0),0)</f>
        <v>0</v>
      </c>
      <c r="AD178">
        <f>IF(AND(Y178=-2,SUM(Z178:AB178)=0),X178+MAX(AD$14:AD177),0)</f>
        <v>0</v>
      </c>
      <c r="AE178">
        <f>IFERROR(IF(AND(SUM(AE179:AE$214)+X178&lt;=AD$10,W178&lt;=AD$12,SUM(Z178:AD178)=0),X178,0),0)</f>
        <v>0</v>
      </c>
      <c r="AF178">
        <f>IFERROR(IF(AND(W178&lt;=AD$12+10,AF$12-X178&gt;=0,SUM(Z178:AE178)=0,SUM(AF$14:AF177)+X178&lt;AF$12),X178,0),0)</f>
        <v>0</v>
      </c>
      <c r="AG178">
        <f t="shared" si="107"/>
        <v>0</v>
      </c>
      <c r="AI178">
        <f t="shared" si="90"/>
        <v>0</v>
      </c>
      <c r="AJ178" s="493">
        <f t="shared" si="94"/>
        <v>0</v>
      </c>
      <c r="AK178">
        <f>IF(AJ178=0,0,IF(AJ177=0,MAX(AK$13:AK177)+1,IF(W178&lt;&gt;W177,MAX(AK$14:AK177)+1,IF(ROUNDDOWN(AJ178-0.01,0)=ROUNDDOWN(AJ177-0.01,0),AK177,AK177+1))))</f>
        <v>0</v>
      </c>
      <c r="AL178">
        <f t="shared" si="91"/>
        <v>0</v>
      </c>
      <c r="AM178">
        <f t="shared" si="92"/>
        <v>0</v>
      </c>
      <c r="AN178">
        <f>IF(AM178&gt;AN$12,IF(AK178=AK177,AN177,MAX(AN$13:AN177)+1),0)</f>
        <v>0</v>
      </c>
      <c r="AP178">
        <f t="shared" si="108"/>
        <v>0</v>
      </c>
      <c r="AQ178">
        <f>IF(AP178&gt;0,IF(MAX(AQ179:AQ$214)+AP178&gt;ROUNDUP(MAX(AQ179:AQ$214),0),ROUNDUP(MAX(AQ179:AQ$214),0)+AP178,MAX(AQ179:AQ$214)+AP178),0)</f>
        <v>0</v>
      </c>
      <c r="AR178">
        <f t="shared" si="93"/>
        <v>0</v>
      </c>
      <c r="AS178">
        <f t="shared" si="109"/>
        <v>0</v>
      </c>
      <c r="AT178">
        <f t="shared" si="110"/>
        <v>10</v>
      </c>
      <c r="AV178">
        <v>19</v>
      </c>
      <c r="AW178">
        <f t="shared" si="103"/>
        <v>0</v>
      </c>
      <c r="AX178">
        <f t="shared" si="104"/>
        <v>0</v>
      </c>
      <c r="AY178" s="496">
        <f>IF(AND(AX178=AX$159,SUM(AY$160:AY177)=0,AW178=AZ$159,AX$159&lt;&gt;0),AV178,)</f>
        <v>0</v>
      </c>
      <c r="AZ178">
        <f>IF(AND(SUM(AZ$160:AZ177)=0,SUM($AY178:AY178)=0,$AX178&lt;=AY$195,$AX178&gt;0,$AW178&gt;-1),$AV178,0)</f>
        <v>0</v>
      </c>
      <c r="BA178">
        <f>IF(AND(SUM(BA$160:BA177)=0,SUM($AY178:AZ178)=0,$AX178&lt;=AZ$195,$AX178&gt;0,$AW178&gt;-1),$AV178,0)</f>
        <v>0</v>
      </c>
      <c r="BB178">
        <f>IF(AND(SUM(BB$160:BB177)=0,SUM($AY178:BA178)=0,$AX178&lt;=BA$195,$AX178&gt;0,$AW178&gt;-1),$AV178,0)</f>
        <v>0</v>
      </c>
      <c r="BC178">
        <f>IF(AND(SUM(BC$160:BC177)=0,SUM($AY178:BB178)=0,$AX178&lt;=BB$195,$AX178&gt;0,$AW178&gt;-1),$AV178,0)</f>
        <v>0</v>
      </c>
      <c r="BD178">
        <f>IF(AND(SUM(BD$160:BD177)=0,SUM($AY178:BC178)=0,$AX178&lt;=BC$195,$AX178&gt;0,$AW178&gt;-1),$AV178,0)</f>
        <v>0</v>
      </c>
      <c r="BE178">
        <f>IF(AND(SUM(BE$160:BE177)=0,SUM($AY178:BD178)=0,$AX178&lt;=BD$195,$AX178&gt;0,$AW178&gt;-1),$AV178,0)</f>
        <v>0</v>
      </c>
      <c r="BF178">
        <f>IF(AND(SUM(BF$160:BF177)=0,SUM($AY178:BE178)=0,$AX178&lt;=BE$195,$AX178&gt;0,$AW178&gt;-1),$AV178,0)</f>
        <v>0</v>
      </c>
      <c r="BG178">
        <f t="shared" si="102"/>
        <v>0</v>
      </c>
      <c r="BH178" s="494">
        <f t="shared" si="105"/>
        <v>0</v>
      </c>
      <c r="BI178">
        <f t="shared" si="106"/>
        <v>0</v>
      </c>
    </row>
    <row r="179" spans="1:61" x14ac:dyDescent="0.25">
      <c r="A179">
        <v>166</v>
      </c>
      <c r="C179" t="str">
        <f>_xlfn.XLOOKUP(A179,Order!R$12:R$859,Order!S$12:S$859,"")</f>
        <v/>
      </c>
      <c r="H179" t="str">
        <f>_xlfn.XLOOKUP(A179,Order!R$12:R$859,Order!B$12:B$859,"")</f>
        <v/>
      </c>
      <c r="J179" t="str">
        <f>IFERROR(RANK(F179,F$14:F$213,1)+COUNTIF(F$14:F179,F179)-1,"")</f>
        <v/>
      </c>
      <c r="L179" t="str">
        <f t="shared" si="95"/>
        <v/>
      </c>
      <c r="M179" t="str" cm="1">
        <f t="array" ref="M179">_xlfn.XLOOKUP(A179,J$14:J378,B$14:B378,"")</f>
        <v/>
      </c>
      <c r="N179" t="str" cm="1">
        <f t="array" ref="N179">_xlfn.XLOOKUP(A179,J$14:J378,C$14:C378,"")</f>
        <v/>
      </c>
      <c r="O179" t="str" cm="1">
        <f t="array" ref="O179">_xlfn.XLOOKUP(A179,J$14:J378,E$14:E378,"")</f>
        <v/>
      </c>
      <c r="P179" t="str" cm="1">
        <f t="array" ref="P179">_xlfn.XLOOKUP(A179,J$14:J378,G$14:G378,"")</f>
        <v/>
      </c>
      <c r="Q179" t="str" cm="1">
        <f t="array" ref="Q179">_xlfn.XLOOKUP(A179,J$14:J378,F$14:F378,"")</f>
        <v/>
      </c>
      <c r="R179" t="str" cm="1">
        <f t="array" ref="R179">_xlfn.XLOOKUP(A179,J$14:J378,I$14:I378,"")</f>
        <v/>
      </c>
      <c r="S179" t="str" cm="1">
        <f t="array" ref="S179">_xlfn.XLOOKUP(A179,J$14:J378,H$14:H378,"")</f>
        <v/>
      </c>
      <c r="T179" t="str" cm="1">
        <f t="array" ref="T179">VLOOKUP(ROW(166:166),L$14:S$163,8)</f>
        <v/>
      </c>
      <c r="U179" t="str" cm="1">
        <f t="array" ref="U179">VLOOKUP(ROW(166:166),L$14:M$163,2)</f>
        <v/>
      </c>
      <c r="V179" t="str" cm="1">
        <f t="array" ref="V179">VLOOKUP(ROW(166:166),L$14:O$163,4)</f>
        <v/>
      </c>
      <c r="W179" t="str" cm="1">
        <f t="array" ref="W179">VLOOKUP(ROW(166:166),L$14:Q$163,6)</f>
        <v/>
      </c>
      <c r="X179" cm="1">
        <f t="array" ref="X179">IFERROR(VLOOKUP(ROW(166:166),L$14:P$213,5)+0,0)</f>
        <v>0</v>
      </c>
      <c r="Y179" t="str" cm="1">
        <f t="array" ref="Y179">VLOOKUP(ROW(166:166),L$14:R$163,7)</f>
        <v/>
      </c>
      <c r="Z179">
        <f>IF(Y179&lt;-2,X179+MAX(Z$14:Z178),0)</f>
        <v>0</v>
      </c>
      <c r="AA179">
        <f>IFERROR(IF(AND(SUM(AA180:AA$214)+X179&lt;=Z$10,W179&lt;=Z$12,Z179=0),X179,0),0)</f>
        <v>0</v>
      </c>
      <c r="AB179">
        <f>IFERROR(IF(AND(W179&lt;=Z$12+10,AB$12-X179&gt;=0,SUM(Z179:AA179)=0,SUM(AB$14:AB178)+X179&lt;AB$12),X179,0),0)</f>
        <v>0</v>
      </c>
      <c r="AD179">
        <f>IF(AND(Y179=-2,SUM(Z179:AB179)=0),X179+MAX(AD$14:AD178),0)</f>
        <v>0</v>
      </c>
      <c r="AE179">
        <f>IFERROR(IF(AND(SUM(AE180:AE$214)+X179&lt;=AD$10,W179&lt;=AD$12,SUM(Z179:AD179)=0),X179,0),0)</f>
        <v>0</v>
      </c>
      <c r="AF179">
        <f>IFERROR(IF(AND(W179&lt;=AD$12+10,AF$12-X179&gt;=0,SUM(Z179:AE179)=0,SUM(AF$14:AF178)+X179&lt;AF$12),X179,0),0)</f>
        <v>0</v>
      </c>
      <c r="AG179">
        <f t="shared" si="107"/>
        <v>0</v>
      </c>
      <c r="AI179">
        <f t="shared" si="90"/>
        <v>0</v>
      </c>
      <c r="AJ179" s="493">
        <f t="shared" si="94"/>
        <v>0</v>
      </c>
      <c r="AK179">
        <f>IF(AJ179=0,0,IF(AJ178=0,MAX(AK$13:AK178)+1,IF(W179&lt;&gt;W178,MAX(AK$14:AK178)+1,IF(ROUNDDOWN(AJ179-0.01,0)=ROUNDDOWN(AJ178-0.01,0),AK178,AK178+1))))</f>
        <v>0</v>
      </c>
      <c r="AL179">
        <f t="shared" si="91"/>
        <v>0</v>
      </c>
      <c r="AM179">
        <f t="shared" si="92"/>
        <v>0</v>
      </c>
      <c r="AN179">
        <f>IF(AM179&gt;AN$12,IF(AK179=AK178,AN178,MAX(AN$13:AN178)+1),0)</f>
        <v>0</v>
      </c>
      <c r="AP179">
        <f t="shared" si="108"/>
        <v>0</v>
      </c>
      <c r="AQ179">
        <f>IF(AP179&gt;0,IF(MAX(AQ180:AQ$214)+AP179&gt;ROUNDUP(MAX(AQ180:AQ$214),0),ROUNDUP(MAX(AQ180:AQ$214),0)+AP179,MAX(AQ180:AQ$214)+AP179),0)</f>
        <v>0</v>
      </c>
      <c r="AR179">
        <f t="shared" si="93"/>
        <v>0</v>
      </c>
      <c r="AS179">
        <f t="shared" si="109"/>
        <v>0</v>
      </c>
      <c r="AT179">
        <f t="shared" si="110"/>
        <v>10</v>
      </c>
      <c r="AV179">
        <v>20</v>
      </c>
      <c r="AW179">
        <f t="shared" si="103"/>
        <v>0</v>
      </c>
      <c r="AX179">
        <f t="shared" si="104"/>
        <v>0</v>
      </c>
      <c r="AY179" s="496">
        <f>IF(AND(AX179=AX$159,SUM(AY$160:AY178)=0,AW179=AZ$159,AX$159&lt;&gt;0),AV179,)</f>
        <v>0</v>
      </c>
      <c r="AZ179">
        <f>IF(AND(SUM(AZ$160:AZ178)=0,SUM($AY179:AY179)=0,$AX179&lt;=AY$195,$AX179&gt;0,$AW179&gt;-1),$AV179,0)</f>
        <v>0</v>
      </c>
      <c r="BA179">
        <f>IF(AND(SUM(BA$160:BA178)=0,SUM($AY179:AZ179)=0,$AX179&lt;=AZ$195,$AX179&gt;0,$AW179&gt;-1),$AV179,0)</f>
        <v>0</v>
      </c>
      <c r="BB179">
        <f>IF(AND(SUM(BB$160:BB178)=0,SUM($AY179:BA179)=0,$AX179&lt;=BA$195,$AX179&gt;0,$AW179&gt;-1),$AV179,0)</f>
        <v>0</v>
      </c>
      <c r="BC179">
        <f>IF(AND(SUM(BC$160:BC178)=0,SUM($AY179:BB179)=0,$AX179&lt;=BB$195,$AX179&gt;0,$AW179&gt;-1),$AV179,0)</f>
        <v>0</v>
      </c>
      <c r="BD179">
        <f>IF(AND(SUM(BD$160:BD178)=0,SUM($AY179:BC179)=0,$AX179&lt;=BC$195,$AX179&gt;0,$AW179&gt;-1),$AV179,0)</f>
        <v>0</v>
      </c>
      <c r="BE179">
        <f>IF(AND(SUM(BE$160:BE178)=0,SUM($AY179:BD179)=0,$AX179&lt;=BD$195,$AX179&gt;0,$AW179&gt;-1),$AV179,0)</f>
        <v>0</v>
      </c>
      <c r="BF179">
        <f>IF(AND(SUM(BF$160:BF178)=0,SUM($AY179:BE179)=0,$AX179&lt;=BE$195,$AX179&gt;0,$AW179&gt;-1),$AV179,0)</f>
        <v>0</v>
      </c>
      <c r="BG179">
        <f t="shared" si="102"/>
        <v>0</v>
      </c>
      <c r="BH179" s="494">
        <f t="shared" si="105"/>
        <v>0</v>
      </c>
      <c r="BI179">
        <f t="shared" si="106"/>
        <v>0</v>
      </c>
    </row>
    <row r="180" spans="1:61" x14ac:dyDescent="0.25">
      <c r="A180">
        <v>167</v>
      </c>
      <c r="C180" t="str">
        <f>_xlfn.XLOOKUP(A180,Order!R$12:R$859,Order!S$12:S$859,"")</f>
        <v/>
      </c>
      <c r="H180" t="str">
        <f>_xlfn.XLOOKUP(A180,Order!R$12:R$859,Order!B$12:B$859,"")</f>
        <v/>
      </c>
      <c r="J180" t="str">
        <f>IFERROR(RANK(F180,F$14:F$213,1)+COUNTIF(F$14:F180,F180)-1,"")</f>
        <v/>
      </c>
      <c r="L180" t="str">
        <f t="shared" si="95"/>
        <v/>
      </c>
      <c r="M180" t="str" cm="1">
        <f t="array" ref="M180">_xlfn.XLOOKUP(A180,J$14:J379,B$14:B379,"")</f>
        <v/>
      </c>
      <c r="N180" t="str" cm="1">
        <f t="array" ref="N180">_xlfn.XLOOKUP(A180,J$14:J379,C$14:C379,"")</f>
        <v/>
      </c>
      <c r="O180" t="str" cm="1">
        <f t="array" ref="O180">_xlfn.XLOOKUP(A180,J$14:J379,E$14:E379,"")</f>
        <v/>
      </c>
      <c r="P180" t="str" cm="1">
        <f t="array" ref="P180">_xlfn.XLOOKUP(A180,J$14:J379,G$14:G379,"")</f>
        <v/>
      </c>
      <c r="Q180" t="str" cm="1">
        <f t="array" ref="Q180">_xlfn.XLOOKUP(A180,J$14:J379,F$14:F379,"")</f>
        <v/>
      </c>
      <c r="R180" t="str" cm="1">
        <f t="array" ref="R180">_xlfn.XLOOKUP(A180,J$14:J379,I$14:I379,"")</f>
        <v/>
      </c>
      <c r="S180" t="str" cm="1">
        <f t="array" ref="S180">_xlfn.XLOOKUP(A180,J$14:J379,H$14:H379,"")</f>
        <v/>
      </c>
      <c r="T180" t="str" cm="1">
        <f t="array" ref="T180">VLOOKUP(ROW(167:167),L$14:S$163,8)</f>
        <v/>
      </c>
      <c r="U180" t="str" cm="1">
        <f t="array" ref="U180">VLOOKUP(ROW(167:167),L$14:M$163,2)</f>
        <v/>
      </c>
      <c r="V180" t="str" cm="1">
        <f t="array" ref="V180">VLOOKUP(ROW(167:167),L$14:O$163,4)</f>
        <v/>
      </c>
      <c r="W180" t="str" cm="1">
        <f t="array" ref="W180">VLOOKUP(ROW(167:167),L$14:Q$163,6)</f>
        <v/>
      </c>
      <c r="X180" cm="1">
        <f t="array" ref="X180">IFERROR(VLOOKUP(ROW(167:167),L$14:P$213,5)+0,0)</f>
        <v>0</v>
      </c>
      <c r="Y180" t="str" cm="1">
        <f t="array" ref="Y180">VLOOKUP(ROW(167:167),L$14:R$163,7)</f>
        <v/>
      </c>
      <c r="Z180">
        <f>IF(Y180&lt;-2,X180+MAX(Z$14:Z179),0)</f>
        <v>0</v>
      </c>
      <c r="AA180">
        <f>IFERROR(IF(AND(SUM(AA181:AA$214)+X180&lt;=Z$10,W180&lt;=Z$12,Z180=0),X180,0),0)</f>
        <v>0</v>
      </c>
      <c r="AB180">
        <f>IFERROR(IF(AND(W180&lt;=Z$12+10,AB$12-X180&gt;=0,SUM(Z180:AA180)=0,SUM(AB$14:AB179)+X180&lt;AB$12),X180,0),0)</f>
        <v>0</v>
      </c>
      <c r="AD180">
        <f>IF(AND(Y180=-2,SUM(Z180:AB180)=0),X180+MAX(AD$14:AD179),0)</f>
        <v>0</v>
      </c>
      <c r="AE180">
        <f>IFERROR(IF(AND(SUM(AE181:AE$214)+X180&lt;=AD$10,W180&lt;=AD$12,SUM(Z180:AD180)=0),X180,0),0)</f>
        <v>0</v>
      </c>
      <c r="AF180">
        <f>IFERROR(IF(AND(W180&lt;=AD$12+10,AF$12-X180&gt;=0,SUM(Z180:AE180)=0,SUM(AF$14:AF179)+X180&lt;AF$12),X180,0),0)</f>
        <v>0</v>
      </c>
      <c r="AG180">
        <f t="shared" si="107"/>
        <v>0</v>
      </c>
      <c r="AI180">
        <f t="shared" si="90"/>
        <v>0</v>
      </c>
      <c r="AJ180" s="493">
        <f t="shared" si="94"/>
        <v>0</v>
      </c>
      <c r="AK180">
        <f>IF(AJ180=0,0,IF(AJ179=0,MAX(AK$13:AK179)+1,IF(W180&lt;&gt;W179,MAX(AK$14:AK179)+1,IF(ROUNDDOWN(AJ180-0.01,0)=ROUNDDOWN(AJ179-0.01,0),AK179,AK179+1))))</f>
        <v>0</v>
      </c>
      <c r="AL180">
        <f t="shared" si="91"/>
        <v>0</v>
      </c>
      <c r="AM180">
        <f t="shared" si="92"/>
        <v>0</v>
      </c>
      <c r="AN180">
        <f>IF(AM180&gt;AN$12,IF(AK180=AK179,AN179,MAX(AN$13:AN179)+1),0)</f>
        <v>0</v>
      </c>
      <c r="AP180">
        <f t="shared" si="108"/>
        <v>0</v>
      </c>
      <c r="AQ180">
        <f>IF(AP180&gt;0,IF(MAX(AQ181:AQ$214)+AP180&gt;ROUNDUP(MAX(AQ181:AQ$214),0),ROUNDUP(MAX(AQ181:AQ$214),0)+AP180,MAX(AQ181:AQ$214)+AP180),0)</f>
        <v>0</v>
      </c>
      <c r="AR180">
        <f t="shared" si="93"/>
        <v>0</v>
      </c>
      <c r="AS180">
        <f t="shared" si="109"/>
        <v>0</v>
      </c>
      <c r="AT180">
        <f t="shared" si="110"/>
        <v>10</v>
      </c>
      <c r="AV180">
        <v>21</v>
      </c>
      <c r="AW180">
        <f t="shared" si="103"/>
        <v>0</v>
      </c>
      <c r="AX180">
        <f t="shared" si="104"/>
        <v>0</v>
      </c>
      <c r="AY180" s="496">
        <f>IF(AND(AX180=AX$159,SUM(AY$160:AY179)=0,AW180=AZ$159,AX$159&lt;&gt;0),AV180,)</f>
        <v>0</v>
      </c>
      <c r="AZ180">
        <f>IF(AND(SUM(AZ$160:AZ179)=0,SUM($AY180:AY180)=0,$AX180&lt;=AY$195,$AX180&gt;0,$AW180&gt;-1),$AV180,0)</f>
        <v>0</v>
      </c>
      <c r="BA180">
        <f>IF(AND(SUM(BA$160:BA179)=0,SUM($AY180:AZ180)=0,$AX180&lt;=AZ$195,$AX180&gt;0,$AW180&gt;-1),$AV180,0)</f>
        <v>0</v>
      </c>
      <c r="BB180">
        <f>IF(AND(SUM(BB$160:BB179)=0,SUM($AY180:BA180)=0,$AX180&lt;=BA$195,$AX180&gt;0,$AW180&gt;-1),$AV180,0)</f>
        <v>0</v>
      </c>
      <c r="BC180">
        <f>IF(AND(SUM(BC$160:BC179)=0,SUM($AY180:BB180)=0,$AX180&lt;=BB$195,$AX180&gt;0,$AW180&gt;-1),$AV180,0)</f>
        <v>0</v>
      </c>
      <c r="BD180">
        <f>IF(AND(SUM(BD$160:BD179)=0,SUM($AY180:BC180)=0,$AX180&lt;=BC$195,$AX180&gt;0,$AW180&gt;-1),$AV180,0)</f>
        <v>0</v>
      </c>
      <c r="BE180">
        <f>IF(AND(SUM(BE$160:BE179)=0,SUM($AY180:BD180)=0,$AX180&lt;=BD$195,$AX180&gt;0,$AW180&gt;-1),$AV180,0)</f>
        <v>0</v>
      </c>
      <c r="BF180">
        <f>IF(AND(SUM(BF$160:BF179)=0,SUM($AY180:BE180)=0,$AX180&lt;=BE$195,$AX180&gt;0,$AW180&gt;-1),$AV180,0)</f>
        <v>0</v>
      </c>
      <c r="BG180">
        <f t="shared" si="102"/>
        <v>0</v>
      </c>
      <c r="BH180" s="494">
        <f t="shared" si="105"/>
        <v>0</v>
      </c>
      <c r="BI180">
        <f t="shared" si="106"/>
        <v>0</v>
      </c>
    </row>
    <row r="181" spans="1:61" x14ac:dyDescent="0.25">
      <c r="A181">
        <v>168</v>
      </c>
      <c r="C181" t="str">
        <f>_xlfn.XLOOKUP(A181,Order!R$12:R$859,Order!S$12:S$859,"")</f>
        <v/>
      </c>
      <c r="H181" t="str">
        <f>_xlfn.XLOOKUP(A181,Order!R$12:R$859,Order!B$12:B$859,"")</f>
        <v/>
      </c>
      <c r="J181" t="str">
        <f>IFERROR(RANK(F181,F$14:F$213,1)+COUNTIF(F$14:F181,F181)-1,"")</f>
        <v/>
      </c>
      <c r="L181" t="str">
        <f t="shared" si="95"/>
        <v/>
      </c>
      <c r="M181" t="str" cm="1">
        <f t="array" ref="M181">_xlfn.XLOOKUP(A181,J$14:J380,B$14:B380,"")</f>
        <v/>
      </c>
      <c r="N181" t="str" cm="1">
        <f t="array" ref="N181">_xlfn.XLOOKUP(A181,J$14:J380,C$14:C380,"")</f>
        <v/>
      </c>
      <c r="O181" t="str" cm="1">
        <f t="array" ref="O181">_xlfn.XLOOKUP(A181,J$14:J380,E$14:E380,"")</f>
        <v/>
      </c>
      <c r="P181" t="str" cm="1">
        <f t="array" ref="P181">_xlfn.XLOOKUP(A181,J$14:J380,G$14:G380,"")</f>
        <v/>
      </c>
      <c r="Q181" t="str" cm="1">
        <f t="array" ref="Q181">_xlfn.XLOOKUP(A181,J$14:J380,F$14:F380,"")</f>
        <v/>
      </c>
      <c r="R181" t="str" cm="1">
        <f t="array" ref="R181">_xlfn.XLOOKUP(A181,J$14:J380,I$14:I380,"")</f>
        <v/>
      </c>
      <c r="S181" t="str" cm="1">
        <f t="array" ref="S181">_xlfn.XLOOKUP(A181,J$14:J380,H$14:H380,"")</f>
        <v/>
      </c>
      <c r="T181" t="str" cm="1">
        <f t="array" ref="T181">VLOOKUP(ROW(168:168),L$14:S$163,8)</f>
        <v/>
      </c>
      <c r="U181" t="str" cm="1">
        <f t="array" ref="U181">VLOOKUP(ROW(168:168),L$14:M$163,2)</f>
        <v/>
      </c>
      <c r="V181" t="str" cm="1">
        <f t="array" ref="V181">VLOOKUP(ROW(168:168),L$14:O$163,4)</f>
        <v/>
      </c>
      <c r="W181" t="str" cm="1">
        <f t="array" ref="W181">VLOOKUP(ROW(168:168),L$14:Q$163,6)</f>
        <v/>
      </c>
      <c r="X181" cm="1">
        <f t="array" ref="X181">IFERROR(VLOOKUP(ROW(168:168),L$14:P$213,5)+0,0)</f>
        <v>0</v>
      </c>
      <c r="Y181" t="str" cm="1">
        <f t="array" ref="Y181">VLOOKUP(ROW(168:168),L$14:R$163,7)</f>
        <v/>
      </c>
      <c r="Z181">
        <f>IF(Y181&lt;-2,X181+MAX(Z$14:Z180),0)</f>
        <v>0</v>
      </c>
      <c r="AA181">
        <f>IFERROR(IF(AND(SUM(AA182:AA$214)+X181&lt;=Z$10,W181&lt;=Z$12,Z181=0),X181,0),0)</f>
        <v>0</v>
      </c>
      <c r="AB181">
        <f>IFERROR(IF(AND(W181&lt;=Z$12+10,AB$12-X181&gt;=0,SUM(Z181:AA181)=0,SUM(AB$14:AB180)+X181&lt;AB$12),X181,0),0)</f>
        <v>0</v>
      </c>
      <c r="AD181">
        <f>IF(AND(Y181=-2,SUM(Z181:AB181)=0),X181+MAX(AD$14:AD180),0)</f>
        <v>0</v>
      </c>
      <c r="AE181">
        <f>IFERROR(IF(AND(SUM(AE182:AE$214)+X181&lt;=AD$10,W181&lt;=AD$12,SUM(Z181:AD181)=0),X181,0),0)</f>
        <v>0</v>
      </c>
      <c r="AF181">
        <f>IFERROR(IF(AND(W181&lt;=AD$12+10,AF$12-X181&gt;=0,SUM(Z181:AE181)=0,SUM(AF$14:AF180)+X181&lt;AF$12),X181,0),0)</f>
        <v>0</v>
      </c>
      <c r="AG181">
        <f t="shared" si="107"/>
        <v>0</v>
      </c>
      <c r="AI181">
        <f t="shared" si="90"/>
        <v>0</v>
      </c>
      <c r="AJ181" s="493">
        <f t="shared" si="94"/>
        <v>0</v>
      </c>
      <c r="AK181">
        <f>IF(AJ181=0,0,IF(AJ180=0,MAX(AK$13:AK180)+1,IF(W181&lt;&gt;W180,MAX(AK$14:AK180)+1,IF(ROUNDDOWN(AJ181-0.01,0)=ROUNDDOWN(AJ180-0.01,0),AK180,AK180+1))))</f>
        <v>0</v>
      </c>
      <c r="AL181">
        <f t="shared" si="91"/>
        <v>0</v>
      </c>
      <c r="AM181">
        <f t="shared" si="92"/>
        <v>0</v>
      </c>
      <c r="AN181">
        <f>IF(AM181&gt;AN$12,IF(AK181=AK180,AN180,MAX(AN$13:AN180)+1),0)</f>
        <v>0</v>
      </c>
      <c r="AP181">
        <f t="shared" si="108"/>
        <v>0</v>
      </c>
      <c r="AQ181">
        <f>IF(AP181&gt;0,IF(MAX(AQ182:AQ$214)+AP181&gt;ROUNDUP(MAX(AQ182:AQ$214),0),ROUNDUP(MAX(AQ182:AQ$214),0)+AP181,MAX(AQ182:AQ$214)+AP181),0)</f>
        <v>0</v>
      </c>
      <c r="AR181">
        <f t="shared" si="93"/>
        <v>0</v>
      </c>
      <c r="AS181">
        <f t="shared" si="109"/>
        <v>0</v>
      </c>
      <c r="AT181">
        <f t="shared" si="110"/>
        <v>10</v>
      </c>
      <c r="AV181">
        <v>22</v>
      </c>
      <c r="AW181">
        <f t="shared" si="103"/>
        <v>0</v>
      </c>
      <c r="AX181">
        <f t="shared" si="104"/>
        <v>0</v>
      </c>
      <c r="AY181" s="496">
        <f>IF(AND(AX181=AX$159,SUM(AY$160:AY180)=0,AW181=AZ$159,AX$159&lt;&gt;0),AV181,)</f>
        <v>0</v>
      </c>
      <c r="AZ181">
        <f>IF(AND(SUM(AZ$160:AZ180)=0,SUM($AY181:AY181)=0,$AX181&lt;=AY$195,$AX181&gt;0,$AW181&gt;-1),$AV181,0)</f>
        <v>0</v>
      </c>
      <c r="BA181">
        <f>IF(AND(SUM(BA$160:BA180)=0,SUM($AY181:AZ181)=0,$AX181&lt;=AZ$195,$AX181&gt;0,$AW181&gt;-1),$AV181,0)</f>
        <v>0</v>
      </c>
      <c r="BB181">
        <f>IF(AND(SUM(BB$160:BB180)=0,SUM($AY181:BA181)=0,$AX181&lt;=BA$195,$AX181&gt;0,$AW181&gt;-1),$AV181,0)</f>
        <v>0</v>
      </c>
      <c r="BC181">
        <f>IF(AND(SUM(BC$160:BC180)=0,SUM($AY181:BB181)=0,$AX181&lt;=BB$195,$AX181&gt;0,$AW181&gt;-1),$AV181,0)</f>
        <v>0</v>
      </c>
      <c r="BD181">
        <f>IF(AND(SUM(BD$160:BD180)=0,SUM($AY181:BC181)=0,$AX181&lt;=BC$195,$AX181&gt;0,$AW181&gt;-1),$AV181,0)</f>
        <v>0</v>
      </c>
      <c r="BE181">
        <f>IF(AND(SUM(BE$160:BE180)=0,SUM($AY181:BD181)=0,$AX181&lt;=BD$195,$AX181&gt;0,$AW181&gt;-1),$AV181,0)</f>
        <v>0</v>
      </c>
      <c r="BF181">
        <f>IF(AND(SUM(BF$160:BF180)=0,SUM($AY181:BE181)=0,$AX181&lt;=BE$195,$AX181&gt;0,$AW181&gt;-1),$AV181,0)</f>
        <v>0</v>
      </c>
      <c r="BG181">
        <f t="shared" si="102"/>
        <v>0</v>
      </c>
      <c r="BH181" s="494">
        <f t="shared" si="105"/>
        <v>0</v>
      </c>
      <c r="BI181">
        <f t="shared" si="106"/>
        <v>0</v>
      </c>
    </row>
    <row r="182" spans="1:61" x14ac:dyDescent="0.25">
      <c r="A182">
        <v>169</v>
      </c>
      <c r="C182" t="str">
        <f>_xlfn.XLOOKUP(A182,Order!R$12:R$859,Order!S$12:S$859,"")</f>
        <v/>
      </c>
      <c r="H182" t="str">
        <f>_xlfn.XLOOKUP(A182,Order!R$12:R$859,Order!B$12:B$859,"")</f>
        <v/>
      </c>
      <c r="J182" t="str">
        <f>IFERROR(RANK(F182,F$14:F$213,1)+COUNTIF(F$14:F182,F182)-1,"")</f>
        <v/>
      </c>
      <c r="L182" t="str">
        <f t="shared" si="95"/>
        <v/>
      </c>
      <c r="M182" t="str" cm="1">
        <f t="array" ref="M182">_xlfn.XLOOKUP(A182,J$14:J381,B$14:B381,"")</f>
        <v/>
      </c>
      <c r="N182" t="str" cm="1">
        <f t="array" ref="N182">_xlfn.XLOOKUP(A182,J$14:J381,C$14:C381,"")</f>
        <v/>
      </c>
      <c r="O182" t="str" cm="1">
        <f t="array" ref="O182">_xlfn.XLOOKUP(A182,J$14:J381,E$14:E381,"")</f>
        <v/>
      </c>
      <c r="P182" t="str" cm="1">
        <f t="array" ref="P182">_xlfn.XLOOKUP(A182,J$14:J381,G$14:G381,"")</f>
        <v/>
      </c>
      <c r="Q182" t="str" cm="1">
        <f t="array" ref="Q182">_xlfn.XLOOKUP(A182,J$14:J381,F$14:F381,"")</f>
        <v/>
      </c>
      <c r="R182" t="str" cm="1">
        <f t="array" ref="R182">_xlfn.XLOOKUP(A182,J$14:J381,I$14:I381,"")</f>
        <v/>
      </c>
      <c r="S182" t="str" cm="1">
        <f t="array" ref="S182">_xlfn.XLOOKUP(A182,J$14:J381,H$14:H381,"")</f>
        <v/>
      </c>
      <c r="T182" t="str" cm="1">
        <f t="array" ref="T182">VLOOKUP(ROW(169:169),L$14:S$163,8)</f>
        <v/>
      </c>
      <c r="U182" t="str" cm="1">
        <f t="array" ref="U182">VLOOKUP(ROW(169:169),L$14:M$163,2)</f>
        <v/>
      </c>
      <c r="V182" t="str" cm="1">
        <f t="array" ref="V182">VLOOKUP(ROW(169:169),L$14:O$163,4)</f>
        <v/>
      </c>
      <c r="W182" t="str" cm="1">
        <f t="array" ref="W182">VLOOKUP(ROW(169:169),L$14:Q$163,6)</f>
        <v/>
      </c>
      <c r="X182" cm="1">
        <f t="array" ref="X182">IFERROR(VLOOKUP(ROW(169:169),L$14:P$213,5)+0,0)</f>
        <v>0</v>
      </c>
      <c r="Y182" t="str" cm="1">
        <f t="array" ref="Y182">VLOOKUP(ROW(169:169),L$14:R$163,7)</f>
        <v/>
      </c>
      <c r="Z182">
        <f>IF(Y182&lt;-2,X182+MAX(Z$14:Z181),0)</f>
        <v>0</v>
      </c>
      <c r="AA182">
        <f>IFERROR(IF(AND(SUM(AA183:AA$214)+X182&lt;=Z$10,W182&lt;=Z$12,Z182=0),X182,0),0)</f>
        <v>0</v>
      </c>
      <c r="AB182">
        <f>IFERROR(IF(AND(W182&lt;=Z$12+10,AB$12-X182&gt;=0,SUM(Z182:AA182)=0,SUM(AB$14:AB181)+X182&lt;AB$12),X182,0),0)</f>
        <v>0</v>
      </c>
      <c r="AD182">
        <f>IF(AND(Y182=-2,SUM(Z182:AB182)=0),X182+MAX(AD$14:AD181),0)</f>
        <v>0</v>
      </c>
      <c r="AE182">
        <f>IFERROR(IF(AND(SUM(AE183:AE$214)+X182&lt;=AD$10,W182&lt;=AD$12,SUM(Z182:AD182)=0),X182,0),0)</f>
        <v>0</v>
      </c>
      <c r="AF182">
        <f>IFERROR(IF(AND(W182&lt;=AD$12+10,AF$12-X182&gt;=0,SUM(Z182:AE182)=0,SUM(AF$14:AF181)+X182&lt;AF$12),X182,0),0)</f>
        <v>0</v>
      </c>
      <c r="AG182">
        <f t="shared" si="107"/>
        <v>0</v>
      </c>
      <c r="AI182">
        <f t="shared" si="90"/>
        <v>0</v>
      </c>
      <c r="AJ182" s="493">
        <f t="shared" si="94"/>
        <v>0</v>
      </c>
      <c r="AK182">
        <f>IF(AJ182=0,0,IF(AJ181=0,MAX(AK$13:AK181)+1,IF(W182&lt;&gt;W181,MAX(AK$14:AK181)+1,IF(ROUNDDOWN(AJ182-0.01,0)=ROUNDDOWN(AJ181-0.01,0),AK181,AK181+1))))</f>
        <v>0</v>
      </c>
      <c r="AL182">
        <f t="shared" si="91"/>
        <v>0</v>
      </c>
      <c r="AM182">
        <f t="shared" si="92"/>
        <v>0</v>
      </c>
      <c r="AN182">
        <f>IF(AM182&gt;AN$12,IF(AK182=AK181,AN181,MAX(AN$13:AN181)+1),0)</f>
        <v>0</v>
      </c>
      <c r="AP182">
        <f t="shared" si="108"/>
        <v>0</v>
      </c>
      <c r="AQ182">
        <f>IF(AP182&gt;0,IF(MAX(AQ183:AQ$214)+AP182&gt;ROUNDUP(MAX(AQ183:AQ$214),0),ROUNDUP(MAX(AQ183:AQ$214),0)+AP182,MAX(AQ183:AQ$214)+AP182),0)</f>
        <v>0</v>
      </c>
      <c r="AR182">
        <f t="shared" si="93"/>
        <v>0</v>
      </c>
      <c r="AS182">
        <f t="shared" si="109"/>
        <v>0</v>
      </c>
      <c r="AT182">
        <f t="shared" si="110"/>
        <v>10</v>
      </c>
      <c r="AV182">
        <v>23</v>
      </c>
      <c r="AW182">
        <f t="shared" si="103"/>
        <v>0</v>
      </c>
      <c r="AX182">
        <f t="shared" si="104"/>
        <v>0</v>
      </c>
      <c r="AY182" s="496">
        <f>IF(AND(AX182=AX$159,SUM(AY$160:AY181)=0,AW182=AZ$159,AX$159&lt;&gt;0),AV182,)</f>
        <v>0</v>
      </c>
      <c r="AZ182">
        <f>IF(AND(SUM(AZ$160:AZ181)=0,SUM($AY182:AY182)=0,$AX182&lt;=AY$195,$AX182&gt;0,$AW182&gt;-1),$AV182,0)</f>
        <v>0</v>
      </c>
      <c r="BA182">
        <f>IF(AND(SUM(BA$160:BA181)=0,SUM($AY182:AZ182)=0,$AX182&lt;=AZ$195,$AX182&gt;0,$AW182&gt;-1),$AV182,0)</f>
        <v>0</v>
      </c>
      <c r="BB182">
        <f>IF(AND(SUM(BB$160:BB181)=0,SUM($AY182:BA182)=0,$AX182&lt;=BA$195,$AX182&gt;0,$AW182&gt;-1),$AV182,0)</f>
        <v>0</v>
      </c>
      <c r="BC182">
        <f>IF(AND(SUM(BC$160:BC181)=0,SUM($AY182:BB182)=0,$AX182&lt;=BB$195,$AX182&gt;0,$AW182&gt;-1),$AV182,0)</f>
        <v>0</v>
      </c>
      <c r="BD182">
        <f>IF(AND(SUM(BD$160:BD181)=0,SUM($AY182:BC182)=0,$AX182&lt;=BC$195,$AX182&gt;0,$AW182&gt;-1),$AV182,0)</f>
        <v>0</v>
      </c>
      <c r="BE182">
        <f>IF(AND(SUM(BE$160:BE181)=0,SUM($AY182:BD182)=0,$AX182&lt;=BD$195,$AX182&gt;0,$AW182&gt;-1),$AV182,0)</f>
        <v>0</v>
      </c>
      <c r="BF182">
        <f>IF(AND(SUM(BF$160:BF181)=0,SUM($AY182:BE182)=0,$AX182&lt;=BE$195,$AX182&gt;0,$AW182&gt;-1),$AV182,0)</f>
        <v>0</v>
      </c>
      <c r="BG182">
        <f t="shared" si="102"/>
        <v>0</v>
      </c>
      <c r="BH182" s="494">
        <f t="shared" si="105"/>
        <v>0</v>
      </c>
      <c r="BI182">
        <f>IF(AND(BG$193=AV182,BH$191&gt;0),AX182,IF(BH$192=AV182,0,BG182))+IF(AND(SUM(AZ182:BF182)=0,AW182=-1),AX182,0)</f>
        <v>0</v>
      </c>
    </row>
    <row r="183" spans="1:61" x14ac:dyDescent="0.25">
      <c r="A183">
        <v>170</v>
      </c>
      <c r="C183" t="str">
        <f>_xlfn.XLOOKUP(A183,Order!R$12:R$859,Order!S$12:S$859,"")</f>
        <v/>
      </c>
      <c r="H183" t="str">
        <f>_xlfn.XLOOKUP(A183,Order!R$12:R$859,Order!B$12:B$859,"")</f>
        <v/>
      </c>
      <c r="J183" t="str">
        <f>IFERROR(RANK(F183,F$14:F$213,1)+COUNTIF(F$14:F183,F183)-1,"")</f>
        <v/>
      </c>
      <c r="L183" t="str">
        <f t="shared" si="95"/>
        <v/>
      </c>
      <c r="M183" t="str" cm="1">
        <f t="array" ref="M183">_xlfn.XLOOKUP(A183,J$14:J382,B$14:B382,"")</f>
        <v/>
      </c>
      <c r="N183" t="str" cm="1">
        <f t="array" ref="N183">_xlfn.XLOOKUP(A183,J$14:J382,C$14:C382,"")</f>
        <v/>
      </c>
      <c r="O183" t="str" cm="1">
        <f t="array" ref="O183">_xlfn.XLOOKUP(A183,J$14:J382,E$14:E382,"")</f>
        <v/>
      </c>
      <c r="P183" t="str" cm="1">
        <f t="array" ref="P183">_xlfn.XLOOKUP(A183,J$14:J382,G$14:G382,"")</f>
        <v/>
      </c>
      <c r="Q183" t="str" cm="1">
        <f t="array" ref="Q183">_xlfn.XLOOKUP(A183,J$14:J382,F$14:F382,"")</f>
        <v/>
      </c>
      <c r="R183" t="str" cm="1">
        <f t="array" ref="R183">_xlfn.XLOOKUP(A183,J$14:J382,I$14:I382,"")</f>
        <v/>
      </c>
      <c r="S183" t="str" cm="1">
        <f t="array" ref="S183">_xlfn.XLOOKUP(A183,J$14:J382,H$14:H382,"")</f>
        <v/>
      </c>
      <c r="T183" t="str" cm="1">
        <f t="array" ref="T183">VLOOKUP(ROW(170:170),L$14:S$163,8)</f>
        <v/>
      </c>
      <c r="U183" t="str" cm="1">
        <f t="array" ref="U183">VLOOKUP(ROW(170:170),L$14:M$163,2)</f>
        <v/>
      </c>
      <c r="V183" t="str" cm="1">
        <f t="array" ref="V183">VLOOKUP(ROW(170:170),L$14:O$163,4)</f>
        <v/>
      </c>
      <c r="W183" t="str" cm="1">
        <f t="array" ref="W183">VLOOKUP(ROW(170:170),L$14:Q$163,6)</f>
        <v/>
      </c>
      <c r="X183" cm="1">
        <f t="array" ref="X183">IFERROR(VLOOKUP(ROW(170:170),L$14:P$213,5)+0,0)</f>
        <v>0</v>
      </c>
      <c r="Y183" t="str" cm="1">
        <f t="array" ref="Y183">VLOOKUP(ROW(170:170),L$14:R$163,7)</f>
        <v/>
      </c>
      <c r="Z183">
        <f>IF(Y183&lt;-2,X183+MAX(Z$14:Z182),0)</f>
        <v>0</v>
      </c>
      <c r="AA183">
        <f>IFERROR(IF(AND(SUM(AA184:AA$214)+X183&lt;=Z$10,W183&lt;=Z$12,Z183=0),X183,0),0)</f>
        <v>0</v>
      </c>
      <c r="AB183">
        <f>IFERROR(IF(AND(W183&lt;=Z$12+10,AB$12-X183&gt;=0,SUM(Z183:AA183)=0,SUM(AB$14:AB182)+X183&lt;AB$12),X183,0),0)</f>
        <v>0</v>
      </c>
      <c r="AD183">
        <f>IF(AND(Y183=-2,SUM(Z183:AB183)=0),X183+MAX(AD$14:AD182),0)</f>
        <v>0</v>
      </c>
      <c r="AE183">
        <f>IFERROR(IF(AND(SUM(AE184:AE$214)+X183&lt;=AD$10,W183&lt;=AD$12,SUM(Z183:AD183)=0),X183,0),0)</f>
        <v>0</v>
      </c>
      <c r="AF183">
        <f>IFERROR(IF(AND(W183&lt;=AD$12+10,AF$12-X183&gt;=0,SUM(Z183:AE183)=0,SUM(AF$14:AF182)+X183&lt;AF$12),X183,0),0)</f>
        <v>0</v>
      </c>
      <c r="AG183">
        <f t="shared" si="107"/>
        <v>0</v>
      </c>
      <c r="AI183">
        <f t="shared" si="90"/>
        <v>0</v>
      </c>
      <c r="AJ183" s="493">
        <f t="shared" si="94"/>
        <v>0</v>
      </c>
      <c r="AK183">
        <f>IF(AJ183=0,0,IF(AJ182=0,MAX(AK$13:AK182)+1,IF(W183&lt;&gt;W182,MAX(AK$14:AK182)+1,IF(ROUNDDOWN(AJ183-0.01,0)=ROUNDDOWN(AJ182-0.01,0),AK182,AK182+1))))</f>
        <v>0</v>
      </c>
      <c r="AL183">
        <f t="shared" si="91"/>
        <v>0</v>
      </c>
      <c r="AM183">
        <f t="shared" si="92"/>
        <v>0</v>
      </c>
      <c r="AN183">
        <f>IF(AM183&gt;AN$12,IF(AK183=AK182,AN182,MAX(AN$13:AN182)+1),0)</f>
        <v>0</v>
      </c>
      <c r="AP183">
        <f t="shared" si="108"/>
        <v>0</v>
      </c>
      <c r="AQ183">
        <f>IF(AP183&gt;0,IF(MAX(AQ184:AQ$214)+AP183&gt;ROUNDUP(MAX(AQ184:AQ$214),0),ROUNDUP(MAX(AQ184:AQ$214),0)+AP183,MAX(AQ184:AQ$214)+AP183),0)</f>
        <v>0</v>
      </c>
      <c r="AR183">
        <f t="shared" si="93"/>
        <v>0</v>
      </c>
      <c r="AS183">
        <f t="shared" si="109"/>
        <v>0</v>
      </c>
      <c r="AT183">
        <f t="shared" si="110"/>
        <v>10</v>
      </c>
      <c r="AV183">
        <v>24</v>
      </c>
      <c r="AW183">
        <f t="shared" si="103"/>
        <v>0</v>
      </c>
      <c r="AX183">
        <f t="shared" si="104"/>
        <v>0</v>
      </c>
      <c r="AY183" s="496">
        <f>IF(AND(AX183=AX$159,SUM(AY$160:AY182)=0,AW183=AZ$159,AX$159&lt;&gt;0),AV183,)</f>
        <v>0</v>
      </c>
      <c r="AZ183">
        <f>IF(AND(SUM(AZ$160:AZ182)=0,SUM($AY183:AY183)=0,$AX183&lt;=AY$195,$AX183&gt;0,$AW183&gt;-1),$AV183,0)</f>
        <v>0</v>
      </c>
      <c r="BA183">
        <f>IF(AND(SUM(BA$160:BA182)=0,SUM($AY183:AZ183)=0,$AX183&lt;=AZ$195,$AX183&gt;0,$AW183&gt;-1),$AV183,0)</f>
        <v>0</v>
      </c>
      <c r="BB183">
        <f>IF(AND(SUM(BB$160:BB182)=0,SUM($AY183:BA183)=0,$AX183&lt;=BA$195,$AX183&gt;0,$AW183&gt;-1),$AV183,0)</f>
        <v>0</v>
      </c>
      <c r="BC183">
        <f>IF(AND(SUM(BC$160:BC182)=0,SUM($AY183:BB183)=0,$AX183&lt;=BB$195,$AX183&gt;0,$AW183&gt;-1),$AV183,0)</f>
        <v>0</v>
      </c>
      <c r="BD183">
        <f>IF(AND(SUM(BD$160:BD182)=0,SUM($AY183:BC183)=0,$AX183&lt;=BC$195,$AX183&gt;0,$AW183&gt;-1),$AV183,0)</f>
        <v>0</v>
      </c>
      <c r="BE183">
        <f>IF(AND(SUM(BE$160:BE182)=0,SUM($AY183:BD183)=0,$AX183&lt;=BD$195,$AX183&gt;0,$AW183&gt;-1),$AV183,0)</f>
        <v>0</v>
      </c>
      <c r="BF183">
        <f>IF(AND(SUM(BF$160:BF182)=0,SUM($AY183:BE183)=0,$AX183&lt;=BE$195,$AX183&gt;0,$AW183&gt;-1),$AV183,0)</f>
        <v>0</v>
      </c>
      <c r="BG183">
        <f t="shared" si="102"/>
        <v>0</v>
      </c>
      <c r="BH183" s="494">
        <f t="shared" si="105"/>
        <v>0</v>
      </c>
      <c r="BI183">
        <f t="shared" si="106"/>
        <v>0</v>
      </c>
    </row>
    <row r="184" spans="1:61" x14ac:dyDescent="0.25">
      <c r="A184">
        <v>171</v>
      </c>
      <c r="C184" t="str">
        <f>_xlfn.XLOOKUP(A184,Order!R$12:R$859,Order!S$12:S$859,"")</f>
        <v/>
      </c>
      <c r="H184" t="str">
        <f>_xlfn.XLOOKUP(A184,Order!R$12:R$859,Order!B$12:B$859,"")</f>
        <v/>
      </c>
      <c r="J184" t="str">
        <f>IFERROR(RANK(F184,F$14:F$213,1)+COUNTIF(F$14:F184,F184)-1,"")</f>
        <v/>
      </c>
      <c r="L184" t="str">
        <f t="shared" si="95"/>
        <v/>
      </c>
      <c r="M184" t="str" cm="1">
        <f t="array" ref="M184">_xlfn.XLOOKUP(A184,J$14:J383,B$14:B383,"")</f>
        <v/>
      </c>
      <c r="N184" t="str" cm="1">
        <f t="array" ref="N184">_xlfn.XLOOKUP(A184,J$14:J383,C$14:C383,"")</f>
        <v/>
      </c>
      <c r="O184" t="str" cm="1">
        <f t="array" ref="O184">_xlfn.XLOOKUP(A184,J$14:J383,E$14:E383,"")</f>
        <v/>
      </c>
      <c r="P184" t="str" cm="1">
        <f t="array" ref="P184">_xlfn.XLOOKUP(A184,J$14:J383,G$14:G383,"")</f>
        <v/>
      </c>
      <c r="Q184" t="str" cm="1">
        <f t="array" ref="Q184">_xlfn.XLOOKUP(A184,J$14:J383,F$14:F383,"")</f>
        <v/>
      </c>
      <c r="R184" t="str" cm="1">
        <f t="array" ref="R184">_xlfn.XLOOKUP(A184,J$14:J383,I$14:I383,"")</f>
        <v/>
      </c>
      <c r="S184" t="str" cm="1">
        <f t="array" ref="S184">_xlfn.XLOOKUP(A184,J$14:J383,H$14:H383,"")</f>
        <v/>
      </c>
      <c r="T184" t="str" cm="1">
        <f t="array" ref="T184">VLOOKUP(ROW(171:171),L$14:S$163,8)</f>
        <v/>
      </c>
      <c r="U184" t="str" cm="1">
        <f t="array" ref="U184">VLOOKUP(ROW(171:171),L$14:M$163,2)</f>
        <v/>
      </c>
      <c r="V184" t="str" cm="1">
        <f t="array" ref="V184">VLOOKUP(ROW(171:171),L$14:O$163,4)</f>
        <v/>
      </c>
      <c r="W184" t="str" cm="1">
        <f t="array" ref="W184">VLOOKUP(ROW(171:171),L$14:Q$163,6)</f>
        <v/>
      </c>
      <c r="X184" cm="1">
        <f t="array" ref="X184">IFERROR(VLOOKUP(ROW(171:171),L$14:P$213,5)+0,0)</f>
        <v>0</v>
      </c>
      <c r="Y184" t="str" cm="1">
        <f t="array" ref="Y184">VLOOKUP(ROW(171:171),L$14:R$163,7)</f>
        <v/>
      </c>
      <c r="Z184">
        <f>IF(Y184&lt;-2,X184+MAX(Z$14:Z183),0)</f>
        <v>0</v>
      </c>
      <c r="AA184">
        <f>IFERROR(IF(AND(SUM(AA185:AA$214)+X184&lt;=Z$10,W184&lt;=Z$12,Z184=0),X184,0),0)</f>
        <v>0</v>
      </c>
      <c r="AB184">
        <f>IFERROR(IF(AND(W184&lt;=Z$12+10,AB$12-X184&gt;=0,SUM(Z184:AA184)=0,SUM(AB$14:AB183)+X184&lt;AB$12),X184,0),0)</f>
        <v>0</v>
      </c>
      <c r="AD184">
        <f>IF(AND(Y184=-2,SUM(Z184:AB184)=0),X184+MAX(AD$14:AD183),0)</f>
        <v>0</v>
      </c>
      <c r="AE184">
        <f>IFERROR(IF(AND(SUM(AE185:AE$214)+X184&lt;=AD$10,W184&lt;=AD$12,SUM(Z184:AD184)=0),X184,0),0)</f>
        <v>0</v>
      </c>
      <c r="AF184">
        <f>IFERROR(IF(AND(W184&lt;=AD$12+10,AF$12-X184&gt;=0,SUM(Z184:AE184)=0,SUM(AF$14:AF183)+X184&lt;AF$12),X184,0),0)</f>
        <v>0</v>
      </c>
      <c r="AG184">
        <f t="shared" si="107"/>
        <v>0</v>
      </c>
      <c r="AI184">
        <f t="shared" si="90"/>
        <v>0</v>
      </c>
      <c r="AJ184" s="493">
        <f t="shared" si="94"/>
        <v>0</v>
      </c>
      <c r="AK184">
        <f>IF(AJ184=0,0,IF(AJ183=0,MAX(AK$13:AK183)+1,IF(W184&lt;&gt;W183,MAX(AK$14:AK183)+1,IF(ROUNDDOWN(AJ184-0.01,0)=ROUNDDOWN(AJ183-0.01,0),AK183,AK183+1))))</f>
        <v>0</v>
      </c>
      <c r="AL184">
        <f t="shared" si="91"/>
        <v>0</v>
      </c>
      <c r="AM184">
        <f t="shared" si="92"/>
        <v>0</v>
      </c>
      <c r="AN184">
        <f>IF(AM184&gt;AN$12,IF(AK184=AK183,AN183,MAX(AN$13:AN183)+1),0)</f>
        <v>0</v>
      </c>
      <c r="AP184">
        <f t="shared" si="108"/>
        <v>0</v>
      </c>
      <c r="AQ184">
        <f>IF(AP184&gt;0,IF(MAX(AQ185:AQ$214)+AP184&gt;ROUNDUP(MAX(AQ185:AQ$214),0),ROUNDUP(MAX(AQ185:AQ$214),0)+AP184,MAX(AQ185:AQ$214)+AP184),0)</f>
        <v>0</v>
      </c>
      <c r="AR184">
        <f t="shared" si="93"/>
        <v>0</v>
      </c>
      <c r="AS184">
        <f t="shared" si="109"/>
        <v>0</v>
      </c>
      <c r="AT184">
        <f t="shared" si="110"/>
        <v>10</v>
      </c>
      <c r="AV184">
        <v>25</v>
      </c>
      <c r="AW184">
        <f t="shared" si="103"/>
        <v>0</v>
      </c>
      <c r="AX184">
        <f t="shared" si="104"/>
        <v>0</v>
      </c>
      <c r="AY184" s="496">
        <f>IF(AND(AX184=AX$159,SUM(AY$160:AY183)=0,AW184=AZ$159,AX$159&lt;&gt;0),AV184,)</f>
        <v>0</v>
      </c>
      <c r="AZ184">
        <f>IF(AND(SUM(AZ$160:AZ183)=0,SUM($AY184:AY184)=0,$AX184&lt;=AY$195,$AX184&gt;0,$AW184&gt;-1),$AV184,0)</f>
        <v>0</v>
      </c>
      <c r="BA184">
        <f>IF(AND(SUM(BA$160:BA183)=0,SUM($AY184:AZ184)=0,$AX184&lt;=AZ$195,$AX184&gt;0,$AW184&gt;-1),$AV184,0)</f>
        <v>0</v>
      </c>
      <c r="BB184">
        <f>IF(AND(SUM(BB$160:BB183)=0,SUM($AY184:BA184)=0,$AX184&lt;=BA$195,$AX184&gt;0,$AW184&gt;-1),$AV184,0)</f>
        <v>0</v>
      </c>
      <c r="BC184">
        <f>IF(AND(SUM(BC$160:BC183)=0,SUM($AY184:BB184)=0,$AX184&lt;=BB$195,$AX184&gt;0,$AW184&gt;-1),$AV184,0)</f>
        <v>0</v>
      </c>
      <c r="BD184">
        <f>IF(AND(SUM(BD$160:BD183)=0,SUM($AY184:BC184)=0,$AX184&lt;=BC$195,$AX184&gt;0,$AW184&gt;-1),$AV184,0)</f>
        <v>0</v>
      </c>
      <c r="BE184">
        <f>IF(AND(SUM(BE$160:BE183)=0,SUM($AY184:BD184)=0,$AX184&lt;=BD$195,$AX184&gt;0,$AW184&gt;-1),$AV184,0)</f>
        <v>0</v>
      </c>
      <c r="BF184">
        <f>IF(AND(SUM(BF$160:BF183)=0,SUM($AY184:BE184)=0,$AX184&lt;=BE$195,$AX184&gt;0,$AW184&gt;-1),$AV184,0)</f>
        <v>0</v>
      </c>
      <c r="BG184">
        <f t="shared" si="102"/>
        <v>0</v>
      </c>
      <c r="BH184" s="494">
        <f t="shared" si="105"/>
        <v>0</v>
      </c>
      <c r="BI184">
        <f t="shared" si="106"/>
        <v>0</v>
      </c>
    </row>
    <row r="185" spans="1:61" x14ac:dyDescent="0.25">
      <c r="A185">
        <v>172</v>
      </c>
      <c r="C185" t="str">
        <f>_xlfn.XLOOKUP(A185,Order!R$12:R$859,Order!S$12:S$859,"")</f>
        <v/>
      </c>
      <c r="H185" t="str">
        <f>_xlfn.XLOOKUP(A185,Order!R$12:R$859,Order!B$12:B$859,"")</f>
        <v/>
      </c>
      <c r="J185" t="str">
        <f>IFERROR(RANK(F185,F$14:F$213,1)+COUNTIF(F$14:F185,F185)-1,"")</f>
        <v/>
      </c>
      <c r="L185" t="str">
        <f t="shared" si="95"/>
        <v/>
      </c>
      <c r="M185" t="str" cm="1">
        <f t="array" ref="M185">_xlfn.XLOOKUP(A185,J$14:J384,B$14:B384,"")</f>
        <v/>
      </c>
      <c r="N185" t="str" cm="1">
        <f t="array" ref="N185">_xlfn.XLOOKUP(A185,J$14:J384,C$14:C384,"")</f>
        <v/>
      </c>
      <c r="O185" t="str" cm="1">
        <f t="array" ref="O185">_xlfn.XLOOKUP(A185,J$14:J384,E$14:E384,"")</f>
        <v/>
      </c>
      <c r="P185" t="str" cm="1">
        <f t="array" ref="P185">_xlfn.XLOOKUP(A185,J$14:J384,G$14:G384,"")</f>
        <v/>
      </c>
      <c r="Q185" t="str" cm="1">
        <f t="array" ref="Q185">_xlfn.XLOOKUP(A185,J$14:J384,F$14:F384,"")</f>
        <v/>
      </c>
      <c r="R185" t="str" cm="1">
        <f t="array" ref="R185">_xlfn.XLOOKUP(A185,J$14:J384,I$14:I384,"")</f>
        <v/>
      </c>
      <c r="S185" t="str" cm="1">
        <f t="array" ref="S185">_xlfn.XLOOKUP(A185,J$14:J384,H$14:H384,"")</f>
        <v/>
      </c>
      <c r="T185" t="str" cm="1">
        <f t="array" ref="T185">VLOOKUP(ROW(172:172),L$14:S$163,8)</f>
        <v/>
      </c>
      <c r="U185" t="str" cm="1">
        <f t="array" ref="U185">VLOOKUP(ROW(172:172),L$14:M$163,2)</f>
        <v/>
      </c>
      <c r="V185" t="str" cm="1">
        <f t="array" ref="V185">VLOOKUP(ROW(172:172),L$14:O$163,4)</f>
        <v/>
      </c>
      <c r="W185" t="str" cm="1">
        <f t="array" ref="W185">VLOOKUP(ROW(172:172),L$14:Q$163,6)</f>
        <v/>
      </c>
      <c r="X185" cm="1">
        <f t="array" ref="X185">IFERROR(VLOOKUP(ROW(172:172),L$14:P$213,5)+0,0)</f>
        <v>0</v>
      </c>
      <c r="Y185" t="str" cm="1">
        <f t="array" ref="Y185">VLOOKUP(ROW(172:172),L$14:R$163,7)</f>
        <v/>
      </c>
      <c r="Z185">
        <f>IF(Y185&lt;-2,X185+MAX(Z$14:Z184),0)</f>
        <v>0</v>
      </c>
      <c r="AA185">
        <f>IFERROR(IF(AND(SUM(AA186:AA$214)+X185&lt;=Z$10,W185&lt;=Z$12,Z185=0),X185,0),0)</f>
        <v>0</v>
      </c>
      <c r="AB185">
        <f>IFERROR(IF(AND(W185&lt;=Z$12+10,AB$12-X185&gt;=0,SUM(Z185:AA185)=0,SUM(AB$14:AB184)+X185&lt;AB$12),X185,0),0)</f>
        <v>0</v>
      </c>
      <c r="AD185">
        <f>IF(AND(Y185=-2,SUM(Z185:AB185)=0),X185+MAX(AD$14:AD184),0)</f>
        <v>0</v>
      </c>
      <c r="AE185">
        <f>IFERROR(IF(AND(SUM(AE186:AE$214)+X185&lt;=AD$10,W185&lt;=AD$12,SUM(Z185:AD185)=0),X185,0),0)</f>
        <v>0</v>
      </c>
      <c r="AF185">
        <f>IFERROR(IF(AND(W185&lt;=AD$12+10,AF$12-X185&gt;=0,SUM(Z185:AE185)=0,SUM(AF$14:AF184)+X185&lt;AF$12),X185,0),0)</f>
        <v>0</v>
      </c>
      <c r="AG185">
        <f t="shared" si="107"/>
        <v>0</v>
      </c>
      <c r="AI185">
        <f t="shared" si="90"/>
        <v>0</v>
      </c>
      <c r="AJ185" s="493">
        <f t="shared" si="94"/>
        <v>0</v>
      </c>
      <c r="AK185">
        <f>IF(AJ185=0,0,IF(AJ184=0,MAX(AK$13:AK184)+1,IF(W185&lt;&gt;W184,MAX(AK$14:AK184)+1,IF(ROUNDDOWN(AJ185-0.01,0)=ROUNDDOWN(AJ184-0.01,0),AK184,AK184+1))))</f>
        <v>0</v>
      </c>
      <c r="AL185">
        <f t="shared" si="91"/>
        <v>0</v>
      </c>
      <c r="AM185">
        <f t="shared" si="92"/>
        <v>0</v>
      </c>
      <c r="AN185">
        <f>IF(AM185&gt;AN$12,IF(AK185=AK184,AN184,MAX(AN$13:AN184)+1),0)</f>
        <v>0</v>
      </c>
      <c r="AP185">
        <f t="shared" si="108"/>
        <v>0</v>
      </c>
      <c r="AQ185">
        <f>IF(AP185&gt;0,IF(MAX(AQ186:AQ$214)+AP185&gt;ROUNDUP(MAX(AQ186:AQ$214),0),ROUNDUP(MAX(AQ186:AQ$214),0)+AP185,MAX(AQ186:AQ$214)+AP185),0)</f>
        <v>0</v>
      </c>
      <c r="AR185">
        <f t="shared" si="93"/>
        <v>0</v>
      </c>
      <c r="AS185">
        <f t="shared" si="109"/>
        <v>0</v>
      </c>
      <c r="AT185">
        <f t="shared" si="110"/>
        <v>10</v>
      </c>
      <c r="AV185">
        <v>26</v>
      </c>
      <c r="AW185">
        <f t="shared" si="103"/>
        <v>0</v>
      </c>
      <c r="AX185">
        <f t="shared" si="104"/>
        <v>0</v>
      </c>
      <c r="AY185" s="496">
        <f>IF(AND(AX185=AX$159,SUM(AY$160:AY184)=0,AW185=AZ$159,AX$159&lt;&gt;0),AV185,)</f>
        <v>0</v>
      </c>
      <c r="AZ185">
        <f>IF(AND(SUM(AZ$160:AZ184)=0,SUM($AY185:AY185)=0,$AX185&lt;=AY$195,$AX185&gt;0,$AW185&gt;-1),$AV185,0)</f>
        <v>0</v>
      </c>
      <c r="BA185">
        <f>IF(AND(SUM(BA$160:BA184)=0,SUM($AY185:AZ185)=0,$AX185&lt;=AZ$195,$AX185&gt;0,$AW185&gt;-1),$AV185,0)</f>
        <v>0</v>
      </c>
      <c r="BB185">
        <f>IF(AND(SUM(BB$160:BB184)=0,SUM($AY185:BA185)=0,$AX185&lt;=BA$195,$AX185&gt;0,$AW185&gt;-1),$AV185,0)</f>
        <v>0</v>
      </c>
      <c r="BC185">
        <f>IF(AND(SUM(BC$160:BC184)=0,SUM($AY185:BB185)=0,$AX185&lt;=BB$195,$AX185&gt;0,$AW185&gt;-1),$AV185,0)</f>
        <v>0</v>
      </c>
      <c r="BD185">
        <f>IF(AND(SUM(BD$160:BD184)=0,SUM($AY185:BC185)=0,$AX185&lt;=BC$195,$AX185&gt;0,$AW185&gt;-1),$AV185,0)</f>
        <v>0</v>
      </c>
      <c r="BE185">
        <f>IF(AND(SUM(BE$160:BE184)=0,SUM($AY185:BD185)=0,$AX185&lt;=BD$195,$AX185&gt;0,$AW185&gt;-1),$AV185,0)</f>
        <v>0</v>
      </c>
      <c r="BF185">
        <f>IF(AND(SUM(BF$160:BF184)=0,SUM($AY185:BE185)=0,$AX185&lt;=BE$195,$AX185&gt;0,$AW185&gt;-1),$AV185,0)</f>
        <v>0</v>
      </c>
      <c r="BG185">
        <f t="shared" si="102"/>
        <v>0</v>
      </c>
      <c r="BH185" s="494">
        <f t="shared" si="105"/>
        <v>0</v>
      </c>
      <c r="BI185">
        <f t="shared" si="106"/>
        <v>0</v>
      </c>
    </row>
    <row r="186" spans="1:61" x14ac:dyDescent="0.25">
      <c r="A186">
        <v>173</v>
      </c>
      <c r="C186" t="str">
        <f>_xlfn.XLOOKUP(A186,Order!R$12:R$859,Order!S$12:S$859,"")</f>
        <v/>
      </c>
      <c r="H186" t="str">
        <f>_xlfn.XLOOKUP(A186,Order!R$12:R$859,Order!B$12:B$859,"")</f>
        <v/>
      </c>
      <c r="J186" t="str">
        <f>IFERROR(RANK(F186,F$14:F$213,1)+COUNTIF(F$14:F186,F186)-1,"")</f>
        <v/>
      </c>
      <c r="L186" t="str">
        <f t="shared" si="95"/>
        <v/>
      </c>
      <c r="M186" t="str" cm="1">
        <f t="array" ref="M186">_xlfn.XLOOKUP(A186,J$14:J385,B$14:B385,"")</f>
        <v/>
      </c>
      <c r="N186" t="str" cm="1">
        <f t="array" ref="N186">_xlfn.XLOOKUP(A186,J$14:J385,C$14:C385,"")</f>
        <v/>
      </c>
      <c r="O186" t="str" cm="1">
        <f t="array" ref="O186">_xlfn.XLOOKUP(A186,J$14:J385,E$14:E385,"")</f>
        <v/>
      </c>
      <c r="P186" t="str" cm="1">
        <f t="array" ref="P186">_xlfn.XLOOKUP(A186,J$14:J385,G$14:G385,"")</f>
        <v/>
      </c>
      <c r="Q186" t="str" cm="1">
        <f t="array" ref="Q186">_xlfn.XLOOKUP(A186,J$14:J385,F$14:F385,"")</f>
        <v/>
      </c>
      <c r="R186" t="str" cm="1">
        <f t="array" ref="R186">_xlfn.XLOOKUP(A186,J$14:J385,I$14:I385,"")</f>
        <v/>
      </c>
      <c r="S186" t="str" cm="1">
        <f t="array" ref="S186">_xlfn.XLOOKUP(A186,J$14:J385,H$14:H385,"")</f>
        <v/>
      </c>
      <c r="T186" t="str" cm="1">
        <f t="array" ref="T186">VLOOKUP(ROW(173:173),L$14:S$163,8)</f>
        <v/>
      </c>
      <c r="U186" t="str" cm="1">
        <f t="array" ref="U186">VLOOKUP(ROW(173:173),L$14:M$163,2)</f>
        <v/>
      </c>
      <c r="V186" t="str" cm="1">
        <f t="array" ref="V186">VLOOKUP(ROW(173:173),L$14:O$163,4)</f>
        <v/>
      </c>
      <c r="W186" t="str" cm="1">
        <f t="array" ref="W186">VLOOKUP(ROW(173:173),L$14:Q$163,6)</f>
        <v/>
      </c>
      <c r="X186" cm="1">
        <f t="array" ref="X186">IFERROR(VLOOKUP(ROW(173:173),L$14:P$213,5)+0,0)</f>
        <v>0</v>
      </c>
      <c r="Y186" t="str" cm="1">
        <f t="array" ref="Y186">VLOOKUP(ROW(173:173),L$14:R$163,7)</f>
        <v/>
      </c>
      <c r="Z186">
        <f>IF(Y186&lt;-2,X186+MAX(Z$14:Z185),0)</f>
        <v>0</v>
      </c>
      <c r="AA186">
        <f>IFERROR(IF(AND(SUM(AA187:AA$214)+X186&lt;=Z$10,W186&lt;=Z$12,Z186=0),X186,0),0)</f>
        <v>0</v>
      </c>
      <c r="AB186">
        <f>IFERROR(IF(AND(W186&lt;=Z$12+10,AB$12-X186&gt;=0,SUM(Z186:AA186)=0,SUM(AB$14:AB185)+X186&lt;AB$12),X186,0),0)</f>
        <v>0</v>
      </c>
      <c r="AD186">
        <f>IF(AND(Y186=-2,SUM(Z186:AB186)=0),X186+MAX(AD$14:AD185),0)</f>
        <v>0</v>
      </c>
      <c r="AE186">
        <f>IFERROR(IF(AND(SUM(AE187:AE$214)+X186&lt;=AD$10,W186&lt;=AD$12,SUM(Z186:AD186)=0),X186,0),0)</f>
        <v>0</v>
      </c>
      <c r="AF186">
        <f>IFERROR(IF(AND(W186&lt;=AD$12+10,AF$12-X186&gt;=0,SUM(Z186:AE186)=0,SUM(AF$14:AF185)+X186&lt;AF$12),X186,0),0)</f>
        <v>0</v>
      </c>
      <c r="AG186">
        <f t="shared" si="107"/>
        <v>0</v>
      </c>
      <c r="AI186">
        <f t="shared" si="90"/>
        <v>0</v>
      </c>
      <c r="AJ186" s="493">
        <f t="shared" si="94"/>
        <v>0</v>
      </c>
      <c r="AK186">
        <f>IF(AJ186=0,0,IF(AJ185=0,MAX(AK$13:AK185)+1,IF(W186&lt;&gt;W185,MAX(AK$14:AK185)+1,IF(ROUNDDOWN(AJ186-0.01,0)=ROUNDDOWN(AJ185-0.01,0),AK185,AK185+1))))</f>
        <v>0</v>
      </c>
      <c r="AL186">
        <f t="shared" si="91"/>
        <v>0</v>
      </c>
      <c r="AM186">
        <f t="shared" si="92"/>
        <v>0</v>
      </c>
      <c r="AN186">
        <f>IF(AM186&gt;AN$12,IF(AK186=AK185,AN185,MAX(AN$13:AN185)+1),0)</f>
        <v>0</v>
      </c>
      <c r="AP186">
        <f t="shared" si="108"/>
        <v>0</v>
      </c>
      <c r="AQ186">
        <f>IF(AP186&gt;0,IF(MAX(AQ187:AQ$214)+AP186&gt;ROUNDUP(MAX(AQ187:AQ$214),0),ROUNDUP(MAX(AQ187:AQ$214),0)+AP186,MAX(AQ187:AQ$214)+AP186),0)</f>
        <v>0</v>
      </c>
      <c r="AR186">
        <f t="shared" si="93"/>
        <v>0</v>
      </c>
      <c r="AS186">
        <f t="shared" si="109"/>
        <v>0</v>
      </c>
      <c r="AT186">
        <f t="shared" si="110"/>
        <v>10</v>
      </c>
      <c r="AV186">
        <v>27</v>
      </c>
      <c r="AW186">
        <f t="shared" si="103"/>
        <v>0</v>
      </c>
      <c r="AX186">
        <f t="shared" si="104"/>
        <v>0</v>
      </c>
      <c r="AY186" s="496">
        <f>IF(AND(AX186=AX$159,SUM(AY$160:AY185)=0,AW186=AZ$159,AX$159&lt;&gt;0),AV186,)</f>
        <v>0</v>
      </c>
      <c r="AZ186">
        <f>IF(AND(SUM(AZ$160:AZ185)=0,SUM($AY186:AY186)=0,$AX186&lt;=AY$195,$AX186&gt;0,$AW186&gt;-1),$AV186,0)</f>
        <v>0</v>
      </c>
      <c r="BA186">
        <f>IF(AND(SUM(BA$160:BA185)=0,SUM($AY186:AZ186)=0,$AX186&lt;=AZ$195,$AX186&gt;0,$AW186&gt;-1),$AV186,0)</f>
        <v>0</v>
      </c>
      <c r="BB186">
        <f>IF(AND(SUM(BB$160:BB185)=0,SUM($AY186:BA186)=0,$AX186&lt;=BA$195,$AX186&gt;0,$AW186&gt;-1),$AV186,0)</f>
        <v>0</v>
      </c>
      <c r="BC186">
        <f>IF(AND(SUM(BC$160:BC185)=0,SUM($AY186:BB186)=0,$AX186&lt;=BB$195,$AX186&gt;0,$AW186&gt;-1),$AV186,0)</f>
        <v>0</v>
      </c>
      <c r="BD186">
        <f>IF(AND(SUM(BD$160:BD185)=0,SUM($AY186:BC186)=0,$AX186&lt;=BC$195,$AX186&gt;0,$AW186&gt;-1),$AV186,0)</f>
        <v>0</v>
      </c>
      <c r="BE186">
        <f>IF(AND(SUM(BE$160:BE185)=0,SUM($AY186:BD186)=0,$AX186&lt;=BD$195,$AX186&gt;0,$AW186&gt;-1),$AV186,0)</f>
        <v>0</v>
      </c>
      <c r="BF186">
        <f>IF(AND(SUM(BF$160:BF185)=0,SUM($AY186:BE186)=0,$AX186&lt;=BE$195,$AX186&gt;0,$AW186&gt;-1),$AV186,0)</f>
        <v>0</v>
      </c>
      <c r="BG186">
        <f t="shared" si="102"/>
        <v>0</v>
      </c>
      <c r="BH186" s="494">
        <f t="shared" si="105"/>
        <v>0</v>
      </c>
      <c r="BI186">
        <f t="shared" si="106"/>
        <v>0</v>
      </c>
    </row>
    <row r="187" spans="1:61" x14ac:dyDescent="0.25">
      <c r="A187">
        <v>174</v>
      </c>
      <c r="C187" t="str">
        <f>_xlfn.XLOOKUP(A187,Order!R$12:R$859,Order!S$12:S$859,"")</f>
        <v/>
      </c>
      <c r="H187" t="str">
        <f>_xlfn.XLOOKUP(A187,Order!R$12:R$859,Order!B$12:B$859,"")</f>
        <v/>
      </c>
      <c r="J187" t="str">
        <f>IFERROR(RANK(F187,F$14:F$213,1)+COUNTIF(F$14:F187,F187)-1,"")</f>
        <v/>
      </c>
      <c r="L187" t="str">
        <f t="shared" si="95"/>
        <v/>
      </c>
      <c r="M187" t="str" cm="1">
        <f t="array" ref="M187">_xlfn.XLOOKUP(A187,J$14:J386,B$14:B386,"")</f>
        <v/>
      </c>
      <c r="N187" t="str" cm="1">
        <f t="array" ref="N187">_xlfn.XLOOKUP(A187,J$14:J386,C$14:C386,"")</f>
        <v/>
      </c>
      <c r="O187" t="str" cm="1">
        <f t="array" ref="O187">_xlfn.XLOOKUP(A187,J$14:J386,E$14:E386,"")</f>
        <v/>
      </c>
      <c r="P187" t="str" cm="1">
        <f t="array" ref="P187">_xlfn.XLOOKUP(A187,J$14:J386,G$14:G386,"")</f>
        <v/>
      </c>
      <c r="Q187" t="str" cm="1">
        <f t="array" ref="Q187">_xlfn.XLOOKUP(A187,J$14:J386,F$14:F386,"")</f>
        <v/>
      </c>
      <c r="R187" t="str" cm="1">
        <f t="array" ref="R187">_xlfn.XLOOKUP(A187,J$14:J386,I$14:I386,"")</f>
        <v/>
      </c>
      <c r="S187" t="str" cm="1">
        <f t="array" ref="S187">_xlfn.XLOOKUP(A187,J$14:J386,H$14:H386,"")</f>
        <v/>
      </c>
      <c r="T187" t="str" cm="1">
        <f t="array" ref="T187">VLOOKUP(ROW(174:174),L$14:S$163,8)</f>
        <v/>
      </c>
      <c r="U187" t="str" cm="1">
        <f t="array" ref="U187">VLOOKUP(ROW(174:174),L$14:M$163,2)</f>
        <v/>
      </c>
      <c r="V187" t="str" cm="1">
        <f t="array" ref="V187">VLOOKUP(ROW(174:174),L$14:O$163,4)</f>
        <v/>
      </c>
      <c r="W187" t="str" cm="1">
        <f t="array" ref="W187">VLOOKUP(ROW(174:174),L$14:Q$163,6)</f>
        <v/>
      </c>
      <c r="X187" cm="1">
        <f t="array" ref="X187">IFERROR(VLOOKUP(ROW(174:174),L$14:P$213,5)+0,0)</f>
        <v>0</v>
      </c>
      <c r="Y187" t="str" cm="1">
        <f t="array" ref="Y187">VLOOKUP(ROW(174:174),L$14:R$163,7)</f>
        <v/>
      </c>
      <c r="Z187">
        <f>IF(Y187&lt;-2,X187+MAX(Z$14:Z186),0)</f>
        <v>0</v>
      </c>
      <c r="AA187">
        <f>IFERROR(IF(AND(SUM(AA188:AA$214)+X187&lt;=Z$10,W187&lt;=Z$12,Z187=0),X187,0),0)</f>
        <v>0</v>
      </c>
      <c r="AB187">
        <f>IFERROR(IF(AND(W187&lt;=Z$12+10,AB$12-X187&gt;=0,SUM(Z187:AA187)=0,SUM(AB$14:AB186)+X187&lt;AB$12),X187,0),0)</f>
        <v>0</v>
      </c>
      <c r="AD187">
        <f>IF(AND(Y187=-2,SUM(Z187:AB187)=0),X187+MAX(AD$14:AD186),0)</f>
        <v>0</v>
      </c>
      <c r="AE187">
        <f>IFERROR(IF(AND(SUM(AE188:AE$214)+X187&lt;=AD$10,W187&lt;=AD$12,SUM(Z187:AD187)=0),X187,0),0)</f>
        <v>0</v>
      </c>
      <c r="AF187">
        <f>IFERROR(IF(AND(W187&lt;=AD$12+10,AF$12-X187&gt;=0,SUM(Z187:AE187)=0,SUM(AF$14:AF186)+X187&lt;AF$12),X187,0),0)</f>
        <v>0</v>
      </c>
      <c r="AG187">
        <f t="shared" si="107"/>
        <v>0</v>
      </c>
      <c r="AI187">
        <f t="shared" si="90"/>
        <v>0</v>
      </c>
      <c r="AJ187" s="493">
        <f t="shared" si="94"/>
        <v>0</v>
      </c>
      <c r="AK187">
        <f>IF(AJ187=0,0,IF(AJ186=0,MAX(AK$13:AK186)+1,IF(W187&lt;&gt;W186,MAX(AK$14:AK186)+1,IF(ROUNDDOWN(AJ187-0.01,0)=ROUNDDOWN(AJ186-0.01,0),AK186,AK186+1))))</f>
        <v>0</v>
      </c>
      <c r="AL187">
        <f t="shared" si="91"/>
        <v>0</v>
      </c>
      <c r="AM187">
        <f t="shared" si="92"/>
        <v>0</v>
      </c>
      <c r="AN187">
        <f>IF(AM187&gt;AN$12,IF(AK187=AK186,AN186,MAX(AN$13:AN186)+1),0)</f>
        <v>0</v>
      </c>
      <c r="AP187">
        <f t="shared" si="108"/>
        <v>0</v>
      </c>
      <c r="AQ187">
        <f>IF(AP187&gt;0,IF(MAX(AQ188:AQ$214)+AP187&gt;ROUNDUP(MAX(AQ188:AQ$214),0),ROUNDUP(MAX(AQ188:AQ$214),0)+AP187,MAX(AQ188:AQ$214)+AP187),0)</f>
        <v>0</v>
      </c>
      <c r="AR187">
        <f t="shared" si="93"/>
        <v>0</v>
      </c>
      <c r="AS187">
        <f t="shared" si="109"/>
        <v>0</v>
      </c>
      <c r="AT187">
        <f t="shared" si="110"/>
        <v>10</v>
      </c>
      <c r="AV187">
        <v>28</v>
      </c>
      <c r="AW187">
        <f t="shared" si="103"/>
        <v>0</v>
      </c>
      <c r="AX187">
        <f t="shared" si="104"/>
        <v>0</v>
      </c>
      <c r="AY187" s="496">
        <f>IF(AND(AX187=AX$159,SUM(AY$160:AY186)=0,AW187=AZ$159,AX$159&lt;&gt;0),AV187,)</f>
        <v>0</v>
      </c>
      <c r="AZ187">
        <f>IF(AND(SUM(AZ$160:AZ186)=0,SUM($AY187:AY187)=0,$AX187&lt;=AY$195,$AX187&gt;0,$AW187&gt;-1),$AV187,0)</f>
        <v>0</v>
      </c>
      <c r="BA187">
        <f>IF(AND(SUM(BA$160:BA186)=0,SUM($AY187:AZ187)=0,$AX187&lt;=AZ$195,$AX187&gt;0,$AW187&gt;-1),$AV187,0)</f>
        <v>0</v>
      </c>
      <c r="BB187">
        <f>IF(AND(SUM(BB$160:BB186)=0,SUM($AY187:BA187)=0,$AX187&lt;=BA$195,$AX187&gt;0,$AW187&gt;-1),$AV187,0)</f>
        <v>0</v>
      </c>
      <c r="BC187">
        <f>IF(AND(SUM(BC$160:BC186)=0,SUM($AY187:BB187)=0,$AX187&lt;=BB$195,$AX187&gt;0,$AW187&gt;-1),$AV187,0)</f>
        <v>0</v>
      </c>
      <c r="BD187">
        <f>IF(AND(SUM(BD$160:BD186)=0,SUM($AY187:BC187)=0,$AX187&lt;=BC$195,$AX187&gt;0,$AW187&gt;-1),$AV187,0)</f>
        <v>0</v>
      </c>
      <c r="BE187">
        <f>IF(AND(SUM(BE$160:BE186)=0,SUM($AY187:BD187)=0,$AX187&lt;=BD$195,$AX187&gt;0,$AW187&gt;-1),$AV187,0)</f>
        <v>0</v>
      </c>
      <c r="BF187">
        <f>IF(AND(SUM(BF$160:BF186)=0,SUM($AY187:BE187)=0,$AX187&lt;=BE$195,$AX187&gt;0,$AW187&gt;-1),$AV187,0)</f>
        <v>0</v>
      </c>
      <c r="BG187">
        <f t="shared" si="102"/>
        <v>0</v>
      </c>
      <c r="BH187" s="494">
        <f t="shared" si="105"/>
        <v>0</v>
      </c>
      <c r="BI187">
        <f t="shared" si="106"/>
        <v>0</v>
      </c>
    </row>
    <row r="188" spans="1:61" x14ac:dyDescent="0.25">
      <c r="A188">
        <v>175</v>
      </c>
      <c r="C188" t="str">
        <f>_xlfn.XLOOKUP(A188,Order!R$12:R$859,Order!S$12:S$859,"")</f>
        <v/>
      </c>
      <c r="H188" t="str">
        <f>_xlfn.XLOOKUP(A188,Order!R$12:R$859,Order!B$12:B$859,"")</f>
        <v/>
      </c>
      <c r="J188" t="str">
        <f>IFERROR(RANK(F188,F$14:F$213,1)+COUNTIF(F$14:F188,F188)-1,"")</f>
        <v/>
      </c>
      <c r="L188" t="str">
        <f t="shared" si="95"/>
        <v/>
      </c>
      <c r="M188" t="str" cm="1">
        <f t="array" ref="M188">_xlfn.XLOOKUP(A188,J$14:J387,B$14:B387,"")</f>
        <v/>
      </c>
      <c r="N188" t="str" cm="1">
        <f t="array" ref="N188">_xlfn.XLOOKUP(A188,J$14:J387,C$14:C387,"")</f>
        <v/>
      </c>
      <c r="O188" t="str" cm="1">
        <f t="array" ref="O188">_xlfn.XLOOKUP(A188,J$14:J387,E$14:E387,"")</f>
        <v/>
      </c>
      <c r="P188" t="str" cm="1">
        <f t="array" ref="P188">_xlfn.XLOOKUP(A188,J$14:J387,G$14:G387,"")</f>
        <v/>
      </c>
      <c r="Q188" t="str" cm="1">
        <f t="array" ref="Q188">_xlfn.XLOOKUP(A188,J$14:J387,F$14:F387,"")</f>
        <v/>
      </c>
      <c r="R188" t="str" cm="1">
        <f t="array" ref="R188">_xlfn.XLOOKUP(A188,J$14:J387,I$14:I387,"")</f>
        <v/>
      </c>
      <c r="S188" t="str" cm="1">
        <f t="array" ref="S188">_xlfn.XLOOKUP(A188,J$14:J387,H$14:H387,"")</f>
        <v/>
      </c>
      <c r="T188" t="str" cm="1">
        <f t="array" ref="T188">VLOOKUP(ROW(175:175),L$14:S$163,8)</f>
        <v/>
      </c>
      <c r="U188" t="str" cm="1">
        <f t="array" ref="U188">VLOOKUP(ROW(175:175),L$14:M$163,2)</f>
        <v/>
      </c>
      <c r="V188" t="str" cm="1">
        <f t="array" ref="V188">VLOOKUP(ROW(175:175),L$14:O$163,4)</f>
        <v/>
      </c>
      <c r="W188" t="str" cm="1">
        <f t="array" ref="W188">VLOOKUP(ROW(175:175),L$14:Q$163,6)</f>
        <v/>
      </c>
      <c r="X188" cm="1">
        <f t="array" ref="X188">IFERROR(VLOOKUP(ROW(175:175),L$14:P$213,5)+0,0)</f>
        <v>0</v>
      </c>
      <c r="Y188" t="str" cm="1">
        <f t="array" ref="Y188">VLOOKUP(ROW(175:175),L$14:R$163,7)</f>
        <v/>
      </c>
      <c r="Z188">
        <f>IF(Y188&lt;-2,X188+MAX(Z$14:Z187),0)</f>
        <v>0</v>
      </c>
      <c r="AA188">
        <f>IFERROR(IF(AND(SUM(AA189:AA$214)+X188&lt;=Z$10,W188&lt;=Z$12,Z188=0),X188,0),0)</f>
        <v>0</v>
      </c>
      <c r="AB188">
        <f>IFERROR(IF(AND(W188&lt;=Z$12+10,AB$12-X188&gt;=0,SUM(Z188:AA188)=0,SUM(AB$14:AB187)+X188&lt;AB$12),X188,0),0)</f>
        <v>0</v>
      </c>
      <c r="AD188">
        <f>IF(AND(Y188=-2,SUM(Z188:AB188)=0),X188+MAX(AD$14:AD187),0)</f>
        <v>0</v>
      </c>
      <c r="AE188">
        <f>IFERROR(IF(AND(SUM(AE189:AE$214)+X188&lt;=AD$10,W188&lt;=AD$12,SUM(Z188:AD188)=0),X188,0),0)</f>
        <v>0</v>
      </c>
      <c r="AF188">
        <f>IFERROR(IF(AND(W188&lt;=AD$12+10,AF$12-X188&gt;=0,SUM(Z188:AE188)=0,SUM(AF$14:AF187)+X188&lt;AF$12),X188,0),0)</f>
        <v>0</v>
      </c>
      <c r="AG188">
        <f t="shared" si="107"/>
        <v>0</v>
      </c>
      <c r="AI188">
        <f t="shared" si="90"/>
        <v>0</v>
      </c>
      <c r="AJ188" s="493">
        <f t="shared" si="94"/>
        <v>0</v>
      </c>
      <c r="AK188">
        <f>IF(AJ188=0,0,IF(AJ187=0,MAX(AK$13:AK187)+1,IF(W188&lt;&gt;W187,MAX(AK$14:AK187)+1,IF(ROUNDDOWN(AJ188-0.01,0)=ROUNDDOWN(AJ187-0.01,0),AK187,AK187+1))))</f>
        <v>0</v>
      </c>
      <c r="AL188">
        <f t="shared" si="91"/>
        <v>0</v>
      </c>
      <c r="AM188">
        <f t="shared" si="92"/>
        <v>0</v>
      </c>
      <c r="AN188">
        <f>IF(AM188&gt;AN$12,IF(AK188=AK187,AN187,MAX(AN$13:AN187)+1),0)</f>
        <v>0</v>
      </c>
      <c r="AP188">
        <f t="shared" si="108"/>
        <v>0</v>
      </c>
      <c r="AQ188">
        <f>IF(AP188&gt;0,IF(MAX(AQ189:AQ$214)+AP188&gt;ROUNDUP(MAX(AQ189:AQ$214),0),ROUNDUP(MAX(AQ189:AQ$214),0)+AP188,MAX(AQ189:AQ$214)+AP188),0)</f>
        <v>0</v>
      </c>
      <c r="AR188">
        <f t="shared" si="93"/>
        <v>0</v>
      </c>
      <c r="AS188">
        <f t="shared" si="109"/>
        <v>0</v>
      </c>
      <c r="AT188">
        <f t="shared" si="110"/>
        <v>10</v>
      </c>
      <c r="AV188">
        <v>29</v>
      </c>
      <c r="AW188">
        <f t="shared" si="103"/>
        <v>0</v>
      </c>
      <c r="AX188">
        <f t="shared" si="104"/>
        <v>0</v>
      </c>
      <c r="AY188" s="496">
        <f>IF(AND(AX188=AX$159,SUM(AY$160:AY187)=0,AW188=AZ$159,AX$159&lt;&gt;0),AV188,)</f>
        <v>0</v>
      </c>
      <c r="AZ188">
        <f>IF(AND(SUM(AZ$160:AZ187)=0,SUM($AY188:AY188)=0,$AX188&lt;=AY$195,$AX188&gt;0,$AW188&gt;-1),$AV188,0)</f>
        <v>0</v>
      </c>
      <c r="BA188">
        <f>IF(AND(SUM(BA$160:BA187)=0,SUM($AY188:AZ188)=0,$AX188&lt;=AZ$195,$AX188&gt;0,$AW188&gt;-1),$AV188,0)</f>
        <v>0</v>
      </c>
      <c r="BB188">
        <f>IF(AND(SUM(BB$160:BB187)=0,SUM($AY188:BA188)=0,$AX188&lt;=BA$195,$AX188&gt;0,$AW188&gt;-1),$AV188,0)</f>
        <v>0</v>
      </c>
      <c r="BC188">
        <f>IF(AND(SUM(BC$160:BC187)=0,SUM($AY188:BB188)=0,$AX188&lt;=BB$195,$AX188&gt;0,$AW188&gt;-1),$AV188,0)</f>
        <v>0</v>
      </c>
      <c r="BD188">
        <f>IF(AND(SUM(BD$160:BD187)=0,SUM($AY188:BC188)=0,$AX188&lt;=BC$195,$AX188&gt;0,$AW188&gt;-1),$AV188,0)</f>
        <v>0</v>
      </c>
      <c r="BE188">
        <f>IF(AND(SUM(BE$160:BE187)=0,SUM($AY188:BD188)=0,$AX188&lt;=BD$195,$AX188&gt;0,$AW188&gt;-1),$AV188,0)</f>
        <v>0</v>
      </c>
      <c r="BF188">
        <f>IF(AND(SUM(BF$160:BF187)=0,SUM($AY188:BE188)=0,$AX188&lt;=BE$195,$AX188&gt;0,$AW188&gt;-1),$AV188,0)</f>
        <v>0</v>
      </c>
      <c r="BG188">
        <f t="shared" si="102"/>
        <v>0</v>
      </c>
      <c r="BH188" s="494">
        <f t="shared" si="105"/>
        <v>0</v>
      </c>
      <c r="BI188">
        <f t="shared" si="106"/>
        <v>0</v>
      </c>
    </row>
    <row r="189" spans="1:61" x14ac:dyDescent="0.25">
      <c r="A189">
        <v>176</v>
      </c>
      <c r="C189" t="str">
        <f>_xlfn.XLOOKUP(A189,Order!R$12:R$859,Order!S$12:S$859,"")</f>
        <v/>
      </c>
      <c r="H189" t="str">
        <f>_xlfn.XLOOKUP(A189,Order!R$12:R$859,Order!B$12:B$859,"")</f>
        <v/>
      </c>
      <c r="J189" t="str">
        <f>IFERROR(RANK(F189,F$14:F$213,1)+COUNTIF(F$14:F189,F189)-1,"")</f>
        <v/>
      </c>
      <c r="L189" t="str">
        <f t="shared" si="95"/>
        <v/>
      </c>
      <c r="M189" t="str" cm="1">
        <f t="array" ref="M189">_xlfn.XLOOKUP(A189,J$14:J388,B$14:B388,"")</f>
        <v/>
      </c>
      <c r="N189" t="str" cm="1">
        <f t="array" ref="N189">_xlfn.XLOOKUP(A189,J$14:J388,C$14:C388,"")</f>
        <v/>
      </c>
      <c r="O189" t="str" cm="1">
        <f t="array" ref="O189">_xlfn.XLOOKUP(A189,J$14:J388,E$14:E388,"")</f>
        <v/>
      </c>
      <c r="P189" t="str" cm="1">
        <f t="array" ref="P189">_xlfn.XLOOKUP(A189,J$14:J388,G$14:G388,"")</f>
        <v/>
      </c>
      <c r="Q189" t="str" cm="1">
        <f t="array" ref="Q189">_xlfn.XLOOKUP(A189,J$14:J388,F$14:F388,"")</f>
        <v/>
      </c>
      <c r="R189" t="str" cm="1">
        <f t="array" ref="R189">_xlfn.XLOOKUP(A189,J$14:J388,I$14:I388,"")</f>
        <v/>
      </c>
      <c r="S189" t="str" cm="1">
        <f t="array" ref="S189">_xlfn.XLOOKUP(A189,J$14:J388,H$14:H388,"")</f>
        <v/>
      </c>
      <c r="T189" t="str" cm="1">
        <f t="array" ref="T189">VLOOKUP(ROW(176:176),L$14:S$163,8)</f>
        <v/>
      </c>
      <c r="U189" t="str" cm="1">
        <f t="array" ref="U189">VLOOKUP(ROW(176:176),L$14:M$163,2)</f>
        <v/>
      </c>
      <c r="V189" t="str" cm="1">
        <f t="array" ref="V189">VLOOKUP(ROW(176:176),L$14:O$163,4)</f>
        <v/>
      </c>
      <c r="W189" t="str" cm="1">
        <f t="array" ref="W189">VLOOKUP(ROW(176:176),L$14:Q$163,6)</f>
        <v/>
      </c>
      <c r="X189" cm="1">
        <f t="array" ref="X189">IFERROR(VLOOKUP(ROW(176:176),L$14:P$213,5)+0,0)</f>
        <v>0</v>
      </c>
      <c r="Y189" t="str" cm="1">
        <f t="array" ref="Y189">VLOOKUP(ROW(176:176),L$14:R$163,7)</f>
        <v/>
      </c>
      <c r="Z189">
        <f>IF(Y189&lt;-2,X189+MAX(Z$14:Z188),0)</f>
        <v>0</v>
      </c>
      <c r="AA189">
        <f>IFERROR(IF(AND(SUM(AA190:AA$214)+X189&lt;=Z$10,W189&lt;=Z$12,Z189=0),X189,0),0)</f>
        <v>0</v>
      </c>
      <c r="AB189">
        <f>IFERROR(IF(AND(W189&lt;=Z$12+10,AB$12-X189&gt;=0,SUM(Z189:AA189)=0,SUM(AB$14:AB188)+X189&lt;AB$12),X189,0),0)</f>
        <v>0</v>
      </c>
      <c r="AD189">
        <f>IF(AND(Y189=-2,SUM(Z189:AB189)=0),X189+MAX(AD$14:AD188),0)</f>
        <v>0</v>
      </c>
      <c r="AE189">
        <f>IFERROR(IF(AND(SUM(AE190:AE$214)+X189&lt;=AD$10,W189&lt;=AD$12,SUM(Z189:AD189)=0),X189,0),0)</f>
        <v>0</v>
      </c>
      <c r="AF189">
        <f>IFERROR(IF(AND(W189&lt;=AD$12+10,AF$12-X189&gt;=0,SUM(Z189:AE189)=0,SUM(AF$14:AF188)+X189&lt;AF$12),X189,0),0)</f>
        <v>0</v>
      </c>
      <c r="AG189">
        <f t="shared" si="107"/>
        <v>0</v>
      </c>
      <c r="AI189">
        <f t="shared" si="90"/>
        <v>0</v>
      </c>
      <c r="AJ189" s="493">
        <f t="shared" si="94"/>
        <v>0</v>
      </c>
      <c r="AK189">
        <f>IF(AJ189=0,0,IF(AJ188=0,MAX(AK$13:AK188)+1,IF(W189&lt;&gt;W188,MAX(AK$14:AK188)+1,IF(ROUNDDOWN(AJ189-0.01,0)=ROUNDDOWN(AJ188-0.01,0),AK188,AK188+1))))</f>
        <v>0</v>
      </c>
      <c r="AL189">
        <f t="shared" si="91"/>
        <v>0</v>
      </c>
      <c r="AM189">
        <f t="shared" si="92"/>
        <v>0</v>
      </c>
      <c r="AN189">
        <f>IF(AM189&gt;AN$12,IF(AK189=AK188,AN188,MAX(AN$13:AN188)+1),0)</f>
        <v>0</v>
      </c>
      <c r="AP189">
        <f t="shared" si="108"/>
        <v>0</v>
      </c>
      <c r="AQ189">
        <f>IF(AP189&gt;0,IF(MAX(AQ190:AQ$214)+AP189&gt;ROUNDUP(MAX(AQ190:AQ$214),0),ROUNDUP(MAX(AQ190:AQ$214),0)+AP189,MAX(AQ190:AQ$214)+AP189),0)</f>
        <v>0</v>
      </c>
      <c r="AR189">
        <f t="shared" si="93"/>
        <v>0</v>
      </c>
      <c r="AS189">
        <f t="shared" si="109"/>
        <v>0</v>
      </c>
      <c r="AT189">
        <f t="shared" si="110"/>
        <v>10</v>
      </c>
      <c r="AV189">
        <v>30</v>
      </c>
      <c r="AW189">
        <f t="shared" si="103"/>
        <v>0</v>
      </c>
      <c r="AX189">
        <f t="shared" si="104"/>
        <v>0</v>
      </c>
      <c r="AY189" s="496">
        <f>IF(AND(AX189=AX$159,SUM(AY$160:AY188)=0,AW189=AZ$159,AX$159&lt;&gt;0),AV189,)</f>
        <v>0</v>
      </c>
      <c r="AZ189">
        <f>IF(AND(SUM(AZ$160:AZ188)=0,SUM($AY189:AY189)=0,$AX189&lt;=AY$195,$AX189&gt;0,$AW189&gt;-1),$AV189,0)</f>
        <v>0</v>
      </c>
      <c r="BA189">
        <f>IF(AND(SUM(BA$160:BA188)=0,SUM($AY189:AZ189)=0,$AX189&lt;=AZ$195,$AX189&gt;0,$AW189&gt;-1),$AV189,0)</f>
        <v>0</v>
      </c>
      <c r="BB189">
        <f>IF(AND(SUM(BB$160:BB188)=0,SUM($AY189:BA189)=0,$AX189&lt;=BA$195,$AX189&gt;0,$AW189&gt;-1),$AV189,0)</f>
        <v>0</v>
      </c>
      <c r="BC189">
        <f>IF(AND(SUM(BC$160:BC188)=0,SUM($AY189:BB189)=0,$AX189&lt;=BB$195,$AX189&gt;0,$AW189&gt;-1),$AV189,0)</f>
        <v>0</v>
      </c>
      <c r="BD189">
        <f>IF(AND(SUM(BD$160:BD188)=0,SUM($AY189:BC189)=0,$AX189&lt;=BC$195,$AX189&gt;0,$AW189&gt;-1),$AV189,0)</f>
        <v>0</v>
      </c>
      <c r="BE189">
        <f>IF(AND(SUM(BE$160:BE188)=0,SUM($AY189:BD189)=0,$AX189&lt;=BD$195,$AX189&gt;0,$AW189&gt;-1),$AV189,0)</f>
        <v>0</v>
      </c>
      <c r="BF189">
        <f>IF(AND(SUM(BF$160:BF188)=0,SUM($AY189:BE189)=0,$AX189&lt;=BE$195,$AX189&gt;0,$AW189&gt;-1),$AV189,0)</f>
        <v>0</v>
      </c>
      <c r="BG189">
        <f t="shared" si="102"/>
        <v>0</v>
      </c>
      <c r="BH189" s="494">
        <f t="shared" si="105"/>
        <v>0</v>
      </c>
      <c r="BI189">
        <f t="shared" si="106"/>
        <v>0</v>
      </c>
    </row>
    <row r="190" spans="1:61" x14ac:dyDescent="0.25">
      <c r="A190">
        <v>177</v>
      </c>
      <c r="C190" t="str">
        <f>_xlfn.XLOOKUP(A190,Order!R$12:R$859,Order!S$12:S$859,"")</f>
        <v/>
      </c>
      <c r="H190" t="str">
        <f>_xlfn.XLOOKUP(A190,Order!R$12:R$859,Order!B$12:B$859,"")</f>
        <v/>
      </c>
      <c r="J190" t="str">
        <f>IFERROR(RANK(F190,F$14:F$213,1)+COUNTIF(F$14:F190,F190)-1,"")</f>
        <v/>
      </c>
      <c r="L190" t="str">
        <f t="shared" si="95"/>
        <v/>
      </c>
      <c r="M190" t="str" cm="1">
        <f t="array" ref="M190">_xlfn.XLOOKUP(A190,J$14:J389,B$14:B389,"")</f>
        <v/>
      </c>
      <c r="N190" t="str" cm="1">
        <f t="array" ref="N190">_xlfn.XLOOKUP(A190,J$14:J389,C$14:C389,"")</f>
        <v/>
      </c>
      <c r="O190" t="str" cm="1">
        <f t="array" ref="O190">_xlfn.XLOOKUP(A190,J$14:J389,E$14:E389,"")</f>
        <v/>
      </c>
      <c r="P190" t="str" cm="1">
        <f t="array" ref="P190">_xlfn.XLOOKUP(A190,J$14:J389,G$14:G389,"")</f>
        <v/>
      </c>
      <c r="Q190" t="str" cm="1">
        <f t="array" ref="Q190">_xlfn.XLOOKUP(A190,J$14:J389,F$14:F389,"")</f>
        <v/>
      </c>
      <c r="R190" t="str" cm="1">
        <f t="array" ref="R190">_xlfn.XLOOKUP(A190,J$14:J389,I$14:I389,"")</f>
        <v/>
      </c>
      <c r="S190" t="str" cm="1">
        <f t="array" ref="S190">_xlfn.XLOOKUP(A190,J$14:J389,H$14:H389,"")</f>
        <v/>
      </c>
      <c r="T190" t="str" cm="1">
        <f t="array" ref="T190">VLOOKUP(ROW(177:177),L$14:S$163,8)</f>
        <v/>
      </c>
      <c r="U190" t="str" cm="1">
        <f t="array" ref="U190">VLOOKUP(ROW(177:177),L$14:M$163,2)</f>
        <v/>
      </c>
      <c r="V190" t="str" cm="1">
        <f t="array" ref="V190">VLOOKUP(ROW(177:177),L$14:O$163,4)</f>
        <v/>
      </c>
      <c r="W190" t="str" cm="1">
        <f t="array" ref="W190">VLOOKUP(ROW(177:177),L$14:Q$163,6)</f>
        <v/>
      </c>
      <c r="X190" cm="1">
        <f t="array" ref="X190">IFERROR(VLOOKUP(ROW(177:177),L$14:P$213,5)+0,0)</f>
        <v>0</v>
      </c>
      <c r="Y190" t="str" cm="1">
        <f t="array" ref="Y190">VLOOKUP(ROW(177:177),L$14:R$163,7)</f>
        <v/>
      </c>
      <c r="Z190">
        <f>IF(Y190&lt;-2,X190+MAX(Z$14:Z189),0)</f>
        <v>0</v>
      </c>
      <c r="AA190">
        <f>IFERROR(IF(AND(SUM(AA191:AA$214)+X190&lt;=Z$10,W190&lt;=Z$12,Z190=0),X190,0),0)</f>
        <v>0</v>
      </c>
      <c r="AB190">
        <f>IFERROR(IF(AND(W190&lt;=Z$12+10,AB$12-X190&gt;=0,SUM(Z190:AA190)=0,SUM(AB$14:AB189)+X190&lt;AB$12),X190,0),0)</f>
        <v>0</v>
      </c>
      <c r="AD190">
        <f>IF(AND(Y190=-2,SUM(Z190:AB190)=0),X190+MAX(AD$14:AD189),0)</f>
        <v>0</v>
      </c>
      <c r="AE190">
        <f>IFERROR(IF(AND(SUM(AE191:AE$214)+X190&lt;=AD$10,W190&lt;=AD$12,SUM(Z190:AD190)=0),X190,0),0)</f>
        <v>0</v>
      </c>
      <c r="AF190">
        <f>IFERROR(IF(AND(W190&lt;=AD$12+10,AF$12-X190&gt;=0,SUM(Z190:AE190)=0,SUM(AF$14:AF189)+X190&lt;AF$12),X190,0),0)</f>
        <v>0</v>
      </c>
      <c r="AG190">
        <f t="shared" si="107"/>
        <v>0</v>
      </c>
      <c r="AI190">
        <f t="shared" si="90"/>
        <v>0</v>
      </c>
      <c r="AJ190" s="493">
        <f t="shared" si="94"/>
        <v>0</v>
      </c>
      <c r="AK190">
        <f>IF(AJ190=0,0,IF(AJ189=0,MAX(AK$13:AK189)+1,IF(W190&lt;&gt;W189,MAX(AK$14:AK189)+1,IF(ROUNDDOWN(AJ190-0.01,0)=ROUNDDOWN(AJ189-0.01,0),AK189,AK189+1))))</f>
        <v>0</v>
      </c>
      <c r="AL190">
        <f t="shared" si="91"/>
        <v>0</v>
      </c>
      <c r="AM190">
        <f t="shared" si="92"/>
        <v>0</v>
      </c>
      <c r="AN190">
        <f>IF(AM190&gt;AN$12,IF(AK190=AK189,AN189,MAX(AN$13:AN189)+1),0)</f>
        <v>0</v>
      </c>
      <c r="AP190">
        <f t="shared" si="108"/>
        <v>0</v>
      </c>
      <c r="AQ190">
        <f>IF(AP190&gt;0,IF(MAX(AQ191:AQ$214)+AP190&gt;ROUNDUP(MAX(AQ191:AQ$214),0),ROUNDUP(MAX(AQ191:AQ$214),0)+AP190,MAX(AQ191:AQ$214)+AP190),0)</f>
        <v>0</v>
      </c>
      <c r="AR190">
        <f t="shared" si="93"/>
        <v>0</v>
      </c>
      <c r="AS190">
        <f t="shared" si="109"/>
        <v>0</v>
      </c>
      <c r="AT190">
        <f t="shared" si="110"/>
        <v>10</v>
      </c>
      <c r="AV190" s="461"/>
      <c r="AW190" s="461"/>
      <c r="AX190" s="461"/>
      <c r="AY190" s="461">
        <f t="shared" ref="AY190:BF190" si="111">SUM(AY160:AY189)</f>
        <v>0</v>
      </c>
      <c r="AZ190" s="461">
        <f t="shared" si="111"/>
        <v>0</v>
      </c>
      <c r="BA190" s="461">
        <f t="shared" si="111"/>
        <v>0</v>
      </c>
      <c r="BB190" s="461">
        <f t="shared" si="111"/>
        <v>0</v>
      </c>
      <c r="BC190" s="461">
        <f t="shared" si="111"/>
        <v>0</v>
      </c>
      <c r="BD190" s="461">
        <f t="shared" si="111"/>
        <v>0</v>
      </c>
      <c r="BE190" s="461">
        <f t="shared" si="111"/>
        <v>0</v>
      </c>
      <c r="BF190" s="461">
        <f t="shared" si="111"/>
        <v>0</v>
      </c>
      <c r="BG190" s="461"/>
      <c r="BH190" s="461"/>
    </row>
    <row r="191" spans="1:61" x14ac:dyDescent="0.25">
      <c r="A191">
        <v>178</v>
      </c>
      <c r="C191" t="str">
        <f>_xlfn.XLOOKUP(A191,Order!R$12:R$859,Order!S$12:S$859,"")</f>
        <v/>
      </c>
      <c r="H191" t="str">
        <f>_xlfn.XLOOKUP(A191,Order!R$12:R$859,Order!B$12:B$859,"")</f>
        <v/>
      </c>
      <c r="J191" t="str">
        <f>IFERROR(RANK(F191,F$14:F$213,1)+COUNTIF(F$14:F191,F191)-1,"")</f>
        <v/>
      </c>
      <c r="L191" t="str">
        <f t="shared" si="95"/>
        <v/>
      </c>
      <c r="M191" t="str" cm="1">
        <f t="array" ref="M191">_xlfn.XLOOKUP(A191,J$14:J390,B$14:B390,"")</f>
        <v/>
      </c>
      <c r="N191" t="str" cm="1">
        <f t="array" ref="N191">_xlfn.XLOOKUP(A191,J$14:J390,C$14:C390,"")</f>
        <v/>
      </c>
      <c r="O191" t="str" cm="1">
        <f t="array" ref="O191">_xlfn.XLOOKUP(A191,J$14:J390,E$14:E390,"")</f>
        <v/>
      </c>
      <c r="P191" t="str" cm="1">
        <f t="array" ref="P191">_xlfn.XLOOKUP(A191,J$14:J390,G$14:G390,"")</f>
        <v/>
      </c>
      <c r="Q191" t="str" cm="1">
        <f t="array" ref="Q191">_xlfn.XLOOKUP(A191,J$14:J390,F$14:F390,"")</f>
        <v/>
      </c>
      <c r="R191" t="str" cm="1">
        <f t="array" ref="R191">_xlfn.XLOOKUP(A191,J$14:J390,I$14:I390,"")</f>
        <v/>
      </c>
      <c r="S191" t="str" cm="1">
        <f t="array" ref="S191">_xlfn.XLOOKUP(A191,J$14:J390,H$14:H390,"")</f>
        <v/>
      </c>
      <c r="T191" t="str" cm="1">
        <f t="array" ref="T191">VLOOKUP(ROW(178:178),L$14:S$163,8)</f>
        <v/>
      </c>
      <c r="U191" t="str" cm="1">
        <f t="array" ref="U191">VLOOKUP(ROW(178:178),L$14:M$163,2)</f>
        <v/>
      </c>
      <c r="V191" t="str" cm="1">
        <f t="array" ref="V191">VLOOKUP(ROW(178:178),L$14:O$163,4)</f>
        <v/>
      </c>
      <c r="W191" t="str" cm="1">
        <f t="array" ref="W191">VLOOKUP(ROW(178:178),L$14:Q$163,6)</f>
        <v/>
      </c>
      <c r="X191" cm="1">
        <f t="array" ref="X191">IFERROR(VLOOKUP(ROW(178:178),L$14:P$213,5)+0,0)</f>
        <v>0</v>
      </c>
      <c r="Y191" t="str" cm="1">
        <f t="array" ref="Y191">VLOOKUP(ROW(178:178),L$14:R$163,7)</f>
        <v/>
      </c>
      <c r="Z191">
        <f>IF(Y191&lt;-2,X191+MAX(Z$14:Z190),0)</f>
        <v>0</v>
      </c>
      <c r="AA191">
        <f>IFERROR(IF(AND(SUM(AA192:AA$214)+X191&lt;=Z$10,W191&lt;=Z$12,Z191=0),X191,0),0)</f>
        <v>0</v>
      </c>
      <c r="AB191">
        <f>IFERROR(IF(AND(W191&lt;=Z$12+10,AB$12-X191&gt;=0,SUM(Z191:AA191)=0,SUM(AB$14:AB190)+X191&lt;AB$12),X191,0),0)</f>
        <v>0</v>
      </c>
      <c r="AD191">
        <f>IF(AND(Y191=-2,SUM(Z191:AB191)=0),X191+MAX(AD$14:AD190),0)</f>
        <v>0</v>
      </c>
      <c r="AE191">
        <f>IFERROR(IF(AND(SUM(AE192:AE$214)+X191&lt;=AD$10,W191&lt;=AD$12,SUM(Z191:AD191)=0),X191,0),0)</f>
        <v>0</v>
      </c>
      <c r="AF191">
        <f>IFERROR(IF(AND(W191&lt;=AD$12+10,AF$12-X191&gt;=0,SUM(Z191:AE191)=0,SUM(AF$14:AF190)+X191&lt;AF$12),X191,0),0)</f>
        <v>0</v>
      </c>
      <c r="AG191">
        <f t="shared" si="107"/>
        <v>0</v>
      </c>
      <c r="AI191">
        <f t="shared" si="90"/>
        <v>0</v>
      </c>
      <c r="AJ191" s="493">
        <f t="shared" si="94"/>
        <v>0</v>
      </c>
      <c r="AK191">
        <f>IF(AJ191=0,0,IF(AJ190=0,MAX(AK$13:AK190)+1,IF(W191&lt;&gt;W190,MAX(AK$14:AK190)+1,IF(ROUNDDOWN(AJ191-0.01,0)=ROUNDDOWN(AJ190-0.01,0),AK190,AK190+1))))</f>
        <v>0</v>
      </c>
      <c r="AL191">
        <f t="shared" si="91"/>
        <v>0</v>
      </c>
      <c r="AM191">
        <f t="shared" si="92"/>
        <v>0</v>
      </c>
      <c r="AN191">
        <f>IF(AM191&gt;AN$12,IF(AK191=AK190,AN190,MAX(AN$13:AN190)+1),0)</f>
        <v>0</v>
      </c>
      <c r="AP191">
        <f t="shared" si="108"/>
        <v>0</v>
      </c>
      <c r="AQ191">
        <f>IF(AP191&gt;0,IF(MAX(AQ192:AQ$214)+AP191&gt;ROUNDUP(MAX(AQ192:AQ$214),0),ROUNDUP(MAX(AQ192:AQ$214),0)+AP191,MAX(AQ192:AQ$214)+AP191),0)</f>
        <v>0</v>
      </c>
      <c r="AR191">
        <f t="shared" si="93"/>
        <v>0</v>
      </c>
      <c r="AS191">
        <f t="shared" si="109"/>
        <v>0</v>
      </c>
      <c r="AT191">
        <f t="shared" si="110"/>
        <v>10</v>
      </c>
      <c r="AX191">
        <f>LARGE(AX160:AX189,2)</f>
        <v>0</v>
      </c>
      <c r="AY191">
        <f t="shared" ref="AY191:BF191" si="112">_xlfn.SINGLE(IF(AY190&gt;0,_xlfn.XLOOKUP(AY190,AY160:AY189,$AX160:$AX189),0))</f>
        <v>0</v>
      </c>
      <c r="AZ191">
        <f t="shared" si="112"/>
        <v>0</v>
      </c>
      <c r="BA191">
        <f t="shared" si="112"/>
        <v>0</v>
      </c>
      <c r="BB191">
        <f t="shared" si="112"/>
        <v>0</v>
      </c>
      <c r="BC191">
        <f t="shared" si="112"/>
        <v>0</v>
      </c>
      <c r="BD191">
        <f t="shared" si="112"/>
        <v>0</v>
      </c>
      <c r="BE191">
        <f t="shared" si="112"/>
        <v>0</v>
      </c>
      <c r="BF191">
        <f t="shared" si="112"/>
        <v>0</v>
      </c>
      <c r="BG191">
        <f>IF(SUM(BG160:BG189)=0,0,IF(BF191&gt;0,6,IF(BE191&gt;0,5,IF(BD191&gt;0,4,IF(BC191&gt;0,3,IF(BB191&gt;0,2,IF(BA191&gt;0,1)))))))</f>
        <v>0</v>
      </c>
      <c r="BH191" s="494">
        <f>MAX(BH160:BH189)</f>
        <v>0</v>
      </c>
    </row>
    <row r="192" spans="1:61" x14ac:dyDescent="0.25">
      <c r="A192">
        <v>179</v>
      </c>
      <c r="C192" t="str">
        <f>_xlfn.XLOOKUP(A192,Order!R$12:R$859,Order!S$12:S$859,"")</f>
        <v/>
      </c>
      <c r="H192" t="str">
        <f>_xlfn.XLOOKUP(A192,Order!R$12:R$859,Order!B$12:B$859,"")</f>
        <v/>
      </c>
      <c r="J192" t="str">
        <f>IFERROR(RANK(F192,F$14:F$213,1)+COUNTIF(F$14:F192,F192)-1,"")</f>
        <v/>
      </c>
      <c r="L192" t="str">
        <f t="shared" si="95"/>
        <v/>
      </c>
      <c r="M192" t="str" cm="1">
        <f t="array" ref="M192">_xlfn.XLOOKUP(A192,J$14:J391,B$14:B391,"")</f>
        <v/>
      </c>
      <c r="N192" t="str" cm="1">
        <f t="array" ref="N192">_xlfn.XLOOKUP(A192,J$14:J391,C$14:C391,"")</f>
        <v/>
      </c>
      <c r="O192" t="str" cm="1">
        <f t="array" ref="O192">_xlfn.XLOOKUP(A192,J$14:J391,E$14:E391,"")</f>
        <v/>
      </c>
      <c r="P192" t="str" cm="1">
        <f t="array" ref="P192">_xlfn.XLOOKUP(A192,J$14:J391,G$14:G391,"")</f>
        <v/>
      </c>
      <c r="Q192" t="str" cm="1">
        <f t="array" ref="Q192">_xlfn.XLOOKUP(A192,J$14:J391,F$14:F391,"")</f>
        <v/>
      </c>
      <c r="R192" t="str" cm="1">
        <f t="array" ref="R192">_xlfn.XLOOKUP(A192,J$14:J391,I$14:I391,"")</f>
        <v/>
      </c>
      <c r="S192" t="str" cm="1">
        <f t="array" ref="S192">_xlfn.XLOOKUP(A192,J$14:J391,H$14:H391,"")</f>
        <v/>
      </c>
      <c r="T192" t="str" cm="1">
        <f t="array" ref="T192">VLOOKUP(ROW(179:179),L$14:S$163,8)</f>
        <v/>
      </c>
      <c r="U192" t="str" cm="1">
        <f t="array" ref="U192">VLOOKUP(ROW(179:179),L$14:M$163,2)</f>
        <v/>
      </c>
      <c r="V192" t="str" cm="1">
        <f t="array" ref="V192">VLOOKUP(ROW(179:179),L$14:O$163,4)</f>
        <v/>
      </c>
      <c r="W192" t="str" cm="1">
        <f t="array" ref="W192">VLOOKUP(ROW(179:179),L$14:Q$163,6)</f>
        <v/>
      </c>
      <c r="X192" cm="1">
        <f t="array" ref="X192">IFERROR(VLOOKUP(ROW(179:179),L$14:P$213,5)+0,0)</f>
        <v>0</v>
      </c>
      <c r="Y192" t="str" cm="1">
        <f t="array" ref="Y192">VLOOKUP(ROW(179:179),L$14:R$163,7)</f>
        <v/>
      </c>
      <c r="Z192">
        <f>IF(Y192&lt;-2,X192+MAX(Z$14:Z191),0)</f>
        <v>0</v>
      </c>
      <c r="AA192">
        <f>IFERROR(IF(AND(SUM(AA193:AA$214)+X192&lt;=Z$10,W192&lt;=Z$12,Z192=0),X192,0),0)</f>
        <v>0</v>
      </c>
      <c r="AB192">
        <f>IFERROR(IF(AND(W192&lt;=Z$12+10,AB$12-X192&gt;=0,SUM(Z192:AA192)=0,SUM(AB$14:AB191)+X192&lt;AB$12),X192,0),0)</f>
        <v>0</v>
      </c>
      <c r="AD192">
        <f>IF(AND(Y192=-2,SUM(Z192:AB192)=0),X192+MAX(AD$14:AD191),0)</f>
        <v>0</v>
      </c>
      <c r="AE192">
        <f>IFERROR(IF(AND(SUM(AE193:AE$214)+X192&lt;=AD$10,W192&lt;=AD$12,SUM(Z192:AD192)=0),X192,0),0)</f>
        <v>0</v>
      </c>
      <c r="AF192">
        <f>IFERROR(IF(AND(W192&lt;=AD$12+10,AF$12-X192&gt;=0,SUM(Z192:AE192)=0,SUM(AF$14:AF191)+X192&lt;AF$12),X192,0),0)</f>
        <v>0</v>
      </c>
      <c r="AG192">
        <f t="shared" si="107"/>
        <v>0</v>
      </c>
      <c r="AI192">
        <f t="shared" si="90"/>
        <v>0</v>
      </c>
      <c r="AJ192" s="493">
        <f t="shared" si="94"/>
        <v>0</v>
      </c>
      <c r="AK192">
        <f>IF(AJ192=0,0,IF(AJ191=0,MAX(AK$13:AK191)+1,IF(W192&lt;&gt;W191,MAX(AK$14:AK191)+1,IF(ROUNDDOWN(AJ192-0.01,0)=ROUNDDOWN(AJ191-0.01,0),AK191,AK191+1))))</f>
        <v>0</v>
      </c>
      <c r="AL192">
        <f t="shared" si="91"/>
        <v>0</v>
      </c>
      <c r="AM192">
        <f t="shared" si="92"/>
        <v>0</v>
      </c>
      <c r="AN192">
        <f>IF(AM192&gt;AN$12,IF(AK192=AK191,AN191,MAX(AN$13:AN191)+1),0)</f>
        <v>0</v>
      </c>
      <c r="AP192">
        <f t="shared" si="108"/>
        <v>0</v>
      </c>
      <c r="AQ192">
        <f>IF(AP192&gt;0,IF(MAX(AQ193:AQ$214)+AP192&gt;ROUNDUP(MAX(AQ193:AQ$214),0),ROUNDUP(MAX(AQ193:AQ$214),0)+AP192,MAX(AQ193:AQ$214)+AP192),0)</f>
        <v>0</v>
      </c>
      <c r="AR192">
        <f t="shared" si="93"/>
        <v>0</v>
      </c>
      <c r="AS192">
        <f t="shared" si="109"/>
        <v>0</v>
      </c>
      <c r="AT192">
        <f t="shared" si="110"/>
        <v>10</v>
      </c>
      <c r="AY192">
        <f>AY190</f>
        <v>0</v>
      </c>
      <c r="AZ192">
        <f>AZ190</f>
        <v>0</v>
      </c>
      <c r="BA192">
        <f t="shared" ref="BA192:BF192" si="113">IF(AND($BG191=BA158,$BH191&gt;0),$BH192,BA190)</f>
        <v>0</v>
      </c>
      <c r="BB192">
        <f t="shared" si="113"/>
        <v>0</v>
      </c>
      <c r="BC192">
        <f t="shared" si="113"/>
        <v>0</v>
      </c>
      <c r="BD192">
        <f t="shared" si="113"/>
        <v>0</v>
      </c>
      <c r="BE192">
        <f t="shared" si="113"/>
        <v>0</v>
      </c>
      <c r="BF192">
        <f t="shared" si="113"/>
        <v>0</v>
      </c>
      <c r="BG192" t="b">
        <f>IF(BF191&gt;0,BF191,IF(BE191&gt;0,BE191,IF(BD191&gt;0,BD191,IF(BC191&gt;0,BC191,IF(BB191&gt;0,BB191,IF(BA191&gt;0,BA191))))))</f>
        <v>0</v>
      </c>
      <c r="BH192">
        <f>_xlfn.XLOOKUP(BH191,BH160:BH189,AV160:AV189,0,0,1)</f>
        <v>1</v>
      </c>
    </row>
    <row r="193" spans="1:59" x14ac:dyDescent="0.25">
      <c r="A193">
        <v>180</v>
      </c>
      <c r="C193" t="str">
        <f>_xlfn.XLOOKUP(A193,Order!R$12:R$859,Order!S$12:S$859,"")</f>
        <v/>
      </c>
      <c r="H193" t="str">
        <f>_xlfn.XLOOKUP(A193,Order!R$12:R$859,Order!B$12:B$859,"")</f>
        <v/>
      </c>
      <c r="J193" t="str">
        <f>IFERROR(RANK(F193,F$14:F$213,1)+COUNTIF(F$14:F193,F193)-1,"")</f>
        <v/>
      </c>
      <c r="L193" t="str">
        <f t="shared" si="95"/>
        <v/>
      </c>
      <c r="M193" t="str" cm="1">
        <f t="array" ref="M193">_xlfn.XLOOKUP(A193,J$14:J392,B$14:B392,"")</f>
        <v/>
      </c>
      <c r="N193" t="str" cm="1">
        <f t="array" ref="N193">_xlfn.XLOOKUP(A193,J$14:J392,C$14:C392,"")</f>
        <v/>
      </c>
      <c r="O193" t="str" cm="1">
        <f t="array" ref="O193">_xlfn.XLOOKUP(A193,J$14:J392,E$14:E392,"")</f>
        <v/>
      </c>
      <c r="P193" t="str" cm="1">
        <f t="array" ref="P193">_xlfn.XLOOKUP(A193,J$14:J392,G$14:G392,"")</f>
        <v/>
      </c>
      <c r="Q193" t="str" cm="1">
        <f t="array" ref="Q193">_xlfn.XLOOKUP(A193,J$14:J392,F$14:F392,"")</f>
        <v/>
      </c>
      <c r="R193" t="str" cm="1">
        <f t="array" ref="R193">_xlfn.XLOOKUP(A193,J$14:J392,I$14:I392,"")</f>
        <v/>
      </c>
      <c r="S193" t="str" cm="1">
        <f t="array" ref="S193">_xlfn.XLOOKUP(A193,J$14:J392,H$14:H392,"")</f>
        <v/>
      </c>
      <c r="T193" t="str" cm="1">
        <f t="array" ref="T193">VLOOKUP(ROW(180:180),L$14:S$163,8)</f>
        <v/>
      </c>
      <c r="U193" t="str" cm="1">
        <f t="array" ref="U193">VLOOKUP(ROW(180:180),L$14:M$163,2)</f>
        <v/>
      </c>
      <c r="V193" t="str" cm="1">
        <f t="array" ref="V193">VLOOKUP(ROW(180:180),L$14:O$163,4)</f>
        <v/>
      </c>
      <c r="W193" t="str" cm="1">
        <f t="array" ref="W193">VLOOKUP(ROW(180:180),L$14:Q$163,6)</f>
        <v/>
      </c>
      <c r="X193" cm="1">
        <f t="array" ref="X193">IFERROR(VLOOKUP(ROW(180:180),L$14:P$213,5)+0,0)</f>
        <v>0</v>
      </c>
      <c r="Y193" t="str" cm="1">
        <f t="array" ref="Y193">VLOOKUP(ROW(180:180),L$14:R$163,7)</f>
        <v/>
      </c>
      <c r="Z193">
        <f>IF(Y193&lt;-2,X193+MAX(Z$14:Z192),0)</f>
        <v>0</v>
      </c>
      <c r="AA193">
        <f>IFERROR(IF(AND(SUM(AA194:AA$214)+X193&lt;=Z$10,W193&lt;=Z$12,Z193=0),X193,0),0)</f>
        <v>0</v>
      </c>
      <c r="AB193">
        <f>IFERROR(IF(AND(W193&lt;=Z$12+10,AB$12-X193&gt;=0,SUM(Z193:AA193)=0,SUM(AB$14:AB192)+X193&lt;AB$12),X193,0),0)</f>
        <v>0</v>
      </c>
      <c r="AD193">
        <f>IF(AND(Y193=-2,SUM(Z193:AB193)=0),X193+MAX(AD$14:AD192),0)</f>
        <v>0</v>
      </c>
      <c r="AE193">
        <f>IFERROR(IF(AND(SUM(AE194:AE$214)+X193&lt;=AD$10,W193&lt;=AD$12,SUM(Z193:AD193)=0),X193,0),0)</f>
        <v>0</v>
      </c>
      <c r="AF193">
        <f>IFERROR(IF(AND(W193&lt;=AD$12+10,AF$12-X193&gt;=0,SUM(Z193:AE193)=0,SUM(AF$14:AF192)+X193&lt;AF$12),X193,0),0)</f>
        <v>0</v>
      </c>
      <c r="AG193">
        <f t="shared" si="107"/>
        <v>0</v>
      </c>
      <c r="AI193">
        <f t="shared" si="90"/>
        <v>0</v>
      </c>
      <c r="AJ193" s="493">
        <f t="shared" si="94"/>
        <v>0</v>
      </c>
      <c r="AK193">
        <f>IF(AJ193=0,0,IF(AJ192=0,MAX(AK$13:AK192)+1,IF(W193&lt;&gt;W192,MAX(AK$14:AK192)+1,IF(ROUNDDOWN(AJ193-0.01,0)=ROUNDDOWN(AJ192-0.01,0),AK192,AK192+1))))</f>
        <v>0</v>
      </c>
      <c r="AL193">
        <f t="shared" si="91"/>
        <v>0</v>
      </c>
      <c r="AM193">
        <f t="shared" si="92"/>
        <v>0</v>
      </c>
      <c r="AN193">
        <f>IF(AM193&gt;AN$12,IF(AK193=AK192,AN192,MAX(AN$13:AN192)+1),0)</f>
        <v>0</v>
      </c>
      <c r="AP193">
        <f t="shared" si="108"/>
        <v>0</v>
      </c>
      <c r="AQ193">
        <f>IF(AP193&gt;0,IF(MAX(AQ194:AQ$214)+AP193&gt;ROUNDUP(MAX(AQ194:AQ$214),0),ROUNDUP(MAX(AQ194:AQ$214),0)+AP193,MAX(AQ194:AQ$214)+AP193),0)</f>
        <v>0</v>
      </c>
      <c r="AR193">
        <f t="shared" si="93"/>
        <v>0</v>
      </c>
      <c r="AS193">
        <f t="shared" si="109"/>
        <v>0</v>
      </c>
      <c r="AT193">
        <f t="shared" si="110"/>
        <v>10</v>
      </c>
      <c r="AY193">
        <f>AY191</f>
        <v>0</v>
      </c>
      <c r="AZ193">
        <f>AZ191</f>
        <v>0</v>
      </c>
      <c r="BA193">
        <f t="shared" ref="BA193:BF193" si="114">IF(AND($BG191=BA158,$BH191&gt;0),$BH191,BA191)</f>
        <v>0</v>
      </c>
      <c r="BB193">
        <f t="shared" si="114"/>
        <v>0</v>
      </c>
      <c r="BC193">
        <f t="shared" si="114"/>
        <v>0</v>
      </c>
      <c r="BD193">
        <f t="shared" si="114"/>
        <v>0</v>
      </c>
      <c r="BE193">
        <f t="shared" si="114"/>
        <v>0</v>
      </c>
      <c r="BF193">
        <f t="shared" si="114"/>
        <v>0</v>
      </c>
      <c r="BG193">
        <f>_xlfn.XLOOKUP(BG191,BA158:BF158,BA190:BF190,0)</f>
        <v>0</v>
      </c>
    </row>
    <row r="194" spans="1:59" x14ac:dyDescent="0.25">
      <c r="A194">
        <v>181</v>
      </c>
      <c r="C194" t="str">
        <f>_xlfn.XLOOKUP(A194,Order!R$12:R$859,Order!S$12:S$859,"")</f>
        <v/>
      </c>
      <c r="H194" t="str">
        <f>_xlfn.XLOOKUP(A194,Order!R$12:R$859,Order!B$12:B$859,"")</f>
        <v/>
      </c>
      <c r="J194" t="str">
        <f>IFERROR(RANK(F194,F$14:F$213,1)+COUNTIF(F$14:F194,F194)-1,"")</f>
        <v/>
      </c>
      <c r="L194" t="str">
        <f t="shared" si="95"/>
        <v/>
      </c>
      <c r="M194" t="str" cm="1">
        <f t="array" ref="M194">_xlfn.XLOOKUP(A194,J$14:J393,B$14:B393,"")</f>
        <v/>
      </c>
      <c r="N194" t="str" cm="1">
        <f t="array" ref="N194">_xlfn.XLOOKUP(A194,J$14:J393,C$14:C393,"")</f>
        <v/>
      </c>
      <c r="O194" t="str" cm="1">
        <f t="array" ref="O194">_xlfn.XLOOKUP(A194,J$14:J393,E$14:E393,"")</f>
        <v/>
      </c>
      <c r="P194" t="str" cm="1">
        <f t="array" ref="P194">_xlfn.XLOOKUP(A194,J$14:J393,G$14:G393,"")</f>
        <v/>
      </c>
      <c r="Q194" t="str" cm="1">
        <f t="array" ref="Q194">_xlfn.XLOOKUP(A194,J$14:J393,F$14:F393,"")</f>
        <v/>
      </c>
      <c r="R194" t="str" cm="1">
        <f t="array" ref="R194">_xlfn.XLOOKUP(A194,J$14:J393,I$14:I393,"")</f>
        <v/>
      </c>
      <c r="S194" t="str" cm="1">
        <f t="array" ref="S194">_xlfn.XLOOKUP(A194,J$14:J393,H$14:H393,"")</f>
        <v/>
      </c>
      <c r="T194" t="str" cm="1">
        <f t="array" ref="T194">VLOOKUP(ROW(181:181),L$14:S$163,8)</f>
        <v/>
      </c>
      <c r="U194" t="str" cm="1">
        <f t="array" ref="U194">VLOOKUP(ROW(181:181),L$14:M$163,2)</f>
        <v/>
      </c>
      <c r="V194" t="str" cm="1">
        <f t="array" ref="V194">VLOOKUP(ROW(181:181),L$14:O$163,4)</f>
        <v/>
      </c>
      <c r="W194" t="str" cm="1">
        <f t="array" ref="W194">VLOOKUP(ROW(181:181),L$14:Q$163,6)</f>
        <v/>
      </c>
      <c r="X194" cm="1">
        <f t="array" ref="X194">IFERROR(VLOOKUP(ROW(181:181),L$14:P$213,5)+0,0)</f>
        <v>0</v>
      </c>
      <c r="Y194" t="str" cm="1">
        <f t="array" ref="Y194">VLOOKUP(ROW(181:181),L$14:R$163,7)</f>
        <v/>
      </c>
      <c r="Z194">
        <f>IF(Y194&lt;-2,X194+MAX(Z$14:Z193),0)</f>
        <v>0</v>
      </c>
      <c r="AA194">
        <f>IFERROR(IF(AND(SUM(AA195:AA$214)+X194&lt;=Z$10,W194&lt;=Z$12,Z194=0),X194,0),0)</f>
        <v>0</v>
      </c>
      <c r="AB194">
        <f>IFERROR(IF(AND(W194&lt;=Z$12+10,AB$12-X194&gt;=0,SUM(Z194:AA194)=0,SUM(AB$14:AB193)+X194&lt;AB$12),X194,0),0)</f>
        <v>0</v>
      </c>
      <c r="AD194">
        <f>IF(AND(Y194=-2,SUM(Z194:AB194)=0),X194+MAX(AD$14:AD193),0)</f>
        <v>0</v>
      </c>
      <c r="AE194">
        <f>IFERROR(IF(AND(SUM(AE195:AE$214)+X194&lt;=AD$10,W194&lt;=AD$12,SUM(Z194:AD194)=0),X194,0),0)</f>
        <v>0</v>
      </c>
      <c r="AF194">
        <f>IFERROR(IF(AND(W194&lt;=AD$12+10,AF$12-X194&gt;=0,SUM(Z194:AE194)=0,SUM(AF$14:AF193)+X194&lt;AF$12),X194,0),0)</f>
        <v>0</v>
      </c>
      <c r="AG194">
        <f t="shared" si="107"/>
        <v>0</v>
      </c>
      <c r="AI194">
        <f t="shared" si="90"/>
        <v>0</v>
      </c>
      <c r="AJ194" s="493">
        <f t="shared" si="94"/>
        <v>0</v>
      </c>
      <c r="AK194">
        <f>IF(AJ194=0,0,IF(AJ193=0,MAX(AK$13:AK193)+1,IF(W194&lt;&gt;W193,MAX(AK$14:AK193)+1,IF(ROUNDDOWN(AJ194-0.01,0)=ROUNDDOWN(AJ193-0.01,0),AK193,AK193+1))))</f>
        <v>0</v>
      </c>
      <c r="AL194">
        <f t="shared" si="91"/>
        <v>0</v>
      </c>
      <c r="AM194">
        <f t="shared" si="92"/>
        <v>0</v>
      </c>
      <c r="AN194">
        <f>IF(AM194&gt;AN$12,IF(AK194=AK193,AN193,MAX(AN$13:AN193)+1),0)</f>
        <v>0</v>
      </c>
      <c r="AP194">
        <f t="shared" si="108"/>
        <v>0</v>
      </c>
      <c r="AQ194">
        <f>IF(AP194&gt;0,IF(MAX(AQ195:AQ$214)+AP194&gt;ROUNDUP(MAX(AQ195:AQ$214),0),ROUNDUP(MAX(AQ195:AQ$214),0)+AP194,MAX(AQ195:AQ$214)+AP194),0)</f>
        <v>0</v>
      </c>
      <c r="AR194">
        <f t="shared" si="93"/>
        <v>0</v>
      </c>
      <c r="AS194">
        <f t="shared" si="109"/>
        <v>0</v>
      </c>
      <c r="AT194">
        <f t="shared" si="110"/>
        <v>10</v>
      </c>
      <c r="AY194">
        <f>MAX(AZ194:BF194)+1</f>
        <v>51</v>
      </c>
      <c r="AZ194">
        <v>50</v>
      </c>
      <c r="BA194">
        <f t="shared" ref="BA194:BF194" si="115">IF(BA190&gt;0,AZ194+1,0)</f>
        <v>0</v>
      </c>
      <c r="BB194">
        <f t="shared" si="115"/>
        <v>0</v>
      </c>
      <c r="BC194">
        <f t="shared" si="115"/>
        <v>0</v>
      </c>
      <c r="BD194">
        <f t="shared" si="115"/>
        <v>0</v>
      </c>
      <c r="BE194">
        <f t="shared" si="115"/>
        <v>0</v>
      </c>
      <c r="BF194">
        <f t="shared" si="115"/>
        <v>0</v>
      </c>
    </row>
    <row r="195" spans="1:59" x14ac:dyDescent="0.25">
      <c r="A195">
        <v>182</v>
      </c>
      <c r="C195" t="str">
        <f>_xlfn.XLOOKUP(A195,Order!R$12:R$859,Order!S$12:S$859,"")</f>
        <v/>
      </c>
      <c r="H195" t="str">
        <f>_xlfn.XLOOKUP(A195,Order!R$12:R$859,Order!B$12:B$859,"")</f>
        <v/>
      </c>
      <c r="J195" t="str">
        <f>IFERROR(RANK(F195,F$14:F$213,1)+COUNTIF(F$14:F195,F195)-1,"")</f>
        <v/>
      </c>
      <c r="L195" t="str">
        <f t="shared" si="95"/>
        <v/>
      </c>
      <c r="M195" t="str" cm="1">
        <f t="array" ref="M195">_xlfn.XLOOKUP(A195,J$14:J394,B$14:B394,"")</f>
        <v/>
      </c>
      <c r="N195" t="str" cm="1">
        <f t="array" ref="N195">_xlfn.XLOOKUP(A195,J$14:J394,C$14:C394,"")</f>
        <v/>
      </c>
      <c r="O195" t="str" cm="1">
        <f t="array" ref="O195">_xlfn.XLOOKUP(A195,J$14:J394,E$14:E394,"")</f>
        <v/>
      </c>
      <c r="P195" t="str" cm="1">
        <f t="array" ref="P195">_xlfn.XLOOKUP(A195,J$14:J394,G$14:G394,"")</f>
        <v/>
      </c>
      <c r="Q195" t="str" cm="1">
        <f t="array" ref="Q195">_xlfn.XLOOKUP(A195,J$14:J394,F$14:F394,"")</f>
        <v/>
      </c>
      <c r="R195" t="str" cm="1">
        <f t="array" ref="R195">_xlfn.XLOOKUP(A195,J$14:J394,I$14:I394,"")</f>
        <v/>
      </c>
      <c r="S195" t="str" cm="1">
        <f t="array" ref="S195">_xlfn.XLOOKUP(A195,J$14:J394,H$14:H394,"")</f>
        <v/>
      </c>
      <c r="T195" t="str" cm="1">
        <f t="array" ref="T195">VLOOKUP(ROW(182:182),L$14:S$163,8)</f>
        <v/>
      </c>
      <c r="U195" t="str" cm="1">
        <f t="array" ref="U195">VLOOKUP(ROW(182:182),L$14:M$163,2)</f>
        <v/>
      </c>
      <c r="V195" t="str" cm="1">
        <f t="array" ref="V195">VLOOKUP(ROW(182:182),L$14:O$163,4)</f>
        <v/>
      </c>
      <c r="W195" t="str" cm="1">
        <f t="array" ref="W195">VLOOKUP(ROW(182:182),L$14:Q$163,6)</f>
        <v/>
      </c>
      <c r="X195" cm="1">
        <f t="array" ref="X195">IFERROR(VLOOKUP(ROW(182:182),L$14:P$213,5)+0,0)</f>
        <v>0</v>
      </c>
      <c r="Y195" t="str" cm="1">
        <f t="array" ref="Y195">VLOOKUP(ROW(182:182),L$14:R$163,7)</f>
        <v/>
      </c>
      <c r="Z195">
        <f>IF(Y195&lt;-2,X195+MAX(Z$14:Z194),0)</f>
        <v>0</v>
      </c>
      <c r="AA195">
        <f>IFERROR(IF(AND(SUM(AA196:AA$214)+X195&lt;=Z$10,W195&lt;=Z$12,Z195=0),X195,0),0)</f>
        <v>0</v>
      </c>
      <c r="AB195">
        <f>IFERROR(IF(AND(W195&lt;=Z$12+10,AB$12-X195&gt;=0,SUM(Z195:AA195)=0,SUM(AB$14:AB194)+X195&lt;AB$12),X195,0),0)</f>
        <v>0</v>
      </c>
      <c r="AD195">
        <f>IF(AND(Y195=-2,SUM(Z195:AB195)=0),X195+MAX(AD$14:AD194),0)</f>
        <v>0</v>
      </c>
      <c r="AE195">
        <f>IFERROR(IF(AND(SUM(AE196:AE$214)+X195&lt;=AD$10,W195&lt;=AD$12,SUM(Z195:AD195)=0),X195,0),0)</f>
        <v>0</v>
      </c>
      <c r="AF195">
        <f>IFERROR(IF(AND(W195&lt;=AD$12+10,AF$12-X195&gt;=0,SUM(Z195:AE195)=0,SUM(AF$14:AF194)+X195&lt;AF$12),X195,0),0)</f>
        <v>0</v>
      </c>
      <c r="AG195">
        <f t="shared" si="107"/>
        <v>0</v>
      </c>
      <c r="AI195">
        <f t="shared" si="90"/>
        <v>0</v>
      </c>
      <c r="AJ195" s="493">
        <f t="shared" si="94"/>
        <v>0</v>
      </c>
      <c r="AK195">
        <f>IF(AJ195=0,0,IF(AJ194=0,MAX(AK$13:AK194)+1,IF(W195&lt;&gt;W194,MAX(AK$14:AK194)+1,IF(ROUNDDOWN(AJ195-0.01,0)=ROUNDDOWN(AJ194-0.01,0),AK194,AK194+1))))</f>
        <v>0</v>
      </c>
      <c r="AL195">
        <f t="shared" si="91"/>
        <v>0</v>
      </c>
      <c r="AM195">
        <f t="shared" si="92"/>
        <v>0</v>
      </c>
      <c r="AN195">
        <f>IF(AM195&gt;AN$12,IF(AK195=AK194,AN194,MAX(AN$13:AN194)+1),0)</f>
        <v>0</v>
      </c>
      <c r="AP195">
        <f t="shared" si="108"/>
        <v>0</v>
      </c>
      <c r="AQ195">
        <f>IF(AP195&gt;0,IF(MAX(AQ196:AQ$214)+AP195&gt;ROUNDUP(MAX(AQ196:AQ$214),0),ROUNDUP(MAX(AQ196:AQ$214),0)+AP195,MAX(AQ196:AQ$214)+AP195),0)</f>
        <v>0</v>
      </c>
      <c r="AR195">
        <f t="shared" si="93"/>
        <v>0</v>
      </c>
      <c r="AS195">
        <f t="shared" si="109"/>
        <v>0</v>
      </c>
      <c r="AT195">
        <f t="shared" si="110"/>
        <v>10</v>
      </c>
      <c r="AY195">
        <f>AR1</f>
        <v>160</v>
      </c>
      <c r="AZ195">
        <f t="shared" ref="AZ195:BF195" si="116">AY195-AZ191</f>
        <v>160</v>
      </c>
      <c r="BA195">
        <f t="shared" si="116"/>
        <v>160</v>
      </c>
      <c r="BB195">
        <f t="shared" si="116"/>
        <v>160</v>
      </c>
      <c r="BC195">
        <f t="shared" si="116"/>
        <v>160</v>
      </c>
      <c r="BD195">
        <f t="shared" si="116"/>
        <v>160</v>
      </c>
      <c r="BE195">
        <f t="shared" si="116"/>
        <v>160</v>
      </c>
      <c r="BF195">
        <f t="shared" si="116"/>
        <v>160</v>
      </c>
    </row>
    <row r="196" spans="1:59" x14ac:dyDescent="0.25">
      <c r="A196">
        <v>183</v>
      </c>
      <c r="C196" t="str">
        <f>_xlfn.XLOOKUP(A196,Order!R$12:R$859,Order!S$12:S$859,"")</f>
        <v/>
      </c>
      <c r="H196" t="str">
        <f>_xlfn.XLOOKUP(A196,Order!R$12:R$859,Order!B$12:B$859,"")</f>
        <v/>
      </c>
      <c r="J196" t="str">
        <f>IFERROR(RANK(F196,F$14:F$213,1)+COUNTIF(F$14:F196,F196)-1,"")</f>
        <v/>
      </c>
      <c r="L196" t="str">
        <f t="shared" si="95"/>
        <v/>
      </c>
      <c r="M196" t="str" cm="1">
        <f t="array" ref="M196">_xlfn.XLOOKUP(A196,J$14:J395,B$14:B395,"")</f>
        <v/>
      </c>
      <c r="N196" t="str" cm="1">
        <f t="array" ref="N196">_xlfn.XLOOKUP(A196,J$14:J395,C$14:C395,"")</f>
        <v/>
      </c>
      <c r="O196" t="str" cm="1">
        <f t="array" ref="O196">_xlfn.XLOOKUP(A196,J$14:J395,E$14:E395,"")</f>
        <v/>
      </c>
      <c r="P196" t="str" cm="1">
        <f t="array" ref="P196">_xlfn.XLOOKUP(A196,J$14:J395,G$14:G395,"")</f>
        <v/>
      </c>
      <c r="Q196" t="str" cm="1">
        <f t="array" ref="Q196">_xlfn.XLOOKUP(A196,J$14:J395,F$14:F395,"")</f>
        <v/>
      </c>
      <c r="R196" t="str" cm="1">
        <f t="array" ref="R196">_xlfn.XLOOKUP(A196,J$14:J395,I$14:I395,"")</f>
        <v/>
      </c>
      <c r="S196" t="str" cm="1">
        <f t="array" ref="S196">_xlfn.XLOOKUP(A196,J$14:J395,H$14:H395,"")</f>
        <v/>
      </c>
      <c r="T196" t="str" cm="1">
        <f t="array" ref="T196">VLOOKUP(ROW(183:183),L$14:S$163,8)</f>
        <v/>
      </c>
      <c r="U196" t="str" cm="1">
        <f t="array" ref="U196">VLOOKUP(ROW(183:183),L$14:M$163,2)</f>
        <v/>
      </c>
      <c r="V196" t="str" cm="1">
        <f t="array" ref="V196">VLOOKUP(ROW(183:183),L$14:O$163,4)</f>
        <v/>
      </c>
      <c r="W196" t="str" cm="1">
        <f t="array" ref="W196">VLOOKUP(ROW(183:183),L$14:Q$163,6)</f>
        <v/>
      </c>
      <c r="X196" cm="1">
        <f t="array" ref="X196">IFERROR(VLOOKUP(ROW(183:183),L$14:P$213,5)+0,0)</f>
        <v>0</v>
      </c>
      <c r="Y196" t="str" cm="1">
        <f t="array" ref="Y196">VLOOKUP(ROW(183:183),L$14:R$163,7)</f>
        <v/>
      </c>
      <c r="Z196">
        <f>IF(Y196&lt;-2,X196+MAX(Z$14:Z195),0)</f>
        <v>0</v>
      </c>
      <c r="AA196">
        <f>IFERROR(IF(AND(SUM(AA197:AA$214)+X196&lt;=Z$10,W196&lt;=Z$12,Z196=0),X196,0),0)</f>
        <v>0</v>
      </c>
      <c r="AB196">
        <f>IFERROR(IF(AND(W196&lt;=Z$12+10,AB$12-X196&gt;=0,SUM(Z196:AA196)=0,SUM(AB$14:AB195)+X196&lt;AB$12),X196,0),0)</f>
        <v>0</v>
      </c>
      <c r="AD196">
        <f>IF(AND(Y196=-2,SUM(Z196:AB196)=0),X196+MAX(AD$14:AD195),0)</f>
        <v>0</v>
      </c>
      <c r="AE196">
        <f>IFERROR(IF(AND(SUM(AE197:AE$214)+X196&lt;=AD$10,W196&lt;=AD$12,SUM(Z196:AD196)=0),X196,0),0)</f>
        <v>0</v>
      </c>
      <c r="AF196">
        <f>IFERROR(IF(AND(W196&lt;=AD$12+10,AF$12-X196&gt;=0,SUM(Z196:AE196)=0,SUM(AF$14:AF195)+X196&lt;AF$12),X196,0),0)</f>
        <v>0</v>
      </c>
      <c r="AG196">
        <f t="shared" si="107"/>
        <v>0</v>
      </c>
      <c r="AI196">
        <f t="shared" si="90"/>
        <v>0</v>
      </c>
      <c r="AJ196" s="493">
        <f t="shared" si="94"/>
        <v>0</v>
      </c>
      <c r="AK196">
        <f>IF(AJ196=0,0,IF(AJ195=0,MAX(AK$13:AK195)+1,IF(W196&lt;&gt;W195,MAX(AK$14:AK195)+1,IF(ROUNDDOWN(AJ196-0.01,0)=ROUNDDOWN(AJ195-0.01,0),AK195,AK195+1))))</f>
        <v>0</v>
      </c>
      <c r="AL196">
        <f t="shared" si="91"/>
        <v>0</v>
      </c>
      <c r="AM196">
        <f t="shared" si="92"/>
        <v>0</v>
      </c>
      <c r="AN196">
        <f>IF(AM196&gt;AN$12,IF(AK196=AK195,AN195,MAX(AN$13:AN195)+1),0)</f>
        <v>0</v>
      </c>
      <c r="AP196">
        <f t="shared" si="108"/>
        <v>0</v>
      </c>
      <c r="AQ196">
        <f>IF(AP196&gt;0,IF(MAX(AQ197:AQ$214)+AP196&gt;ROUNDUP(MAX(AQ197:AQ$214),0),ROUNDUP(MAX(AQ197:AQ$214),0)+AP196,MAX(AQ197:AQ$214)+AP196),0)</f>
        <v>0</v>
      </c>
      <c r="AR196">
        <f t="shared" si="93"/>
        <v>0</v>
      </c>
      <c r="AS196">
        <f t="shared" si="109"/>
        <v>0</v>
      </c>
      <c r="AT196">
        <f t="shared" si="110"/>
        <v>10</v>
      </c>
    </row>
    <row r="197" spans="1:59" x14ac:dyDescent="0.25">
      <c r="A197">
        <v>184</v>
      </c>
      <c r="C197" t="str">
        <f>_xlfn.XLOOKUP(A197,Order!R$12:R$859,Order!S$12:S$859,"")</f>
        <v/>
      </c>
      <c r="H197" t="str">
        <f>_xlfn.XLOOKUP(A197,Order!R$12:R$859,Order!B$12:B$859,"")</f>
        <v/>
      </c>
      <c r="J197" t="str">
        <f>IFERROR(RANK(F197,F$14:F$213,1)+COUNTIF(F$14:F197,F197)-1,"")</f>
        <v/>
      </c>
      <c r="L197" t="str">
        <f t="shared" si="95"/>
        <v/>
      </c>
      <c r="M197" t="str" cm="1">
        <f t="array" ref="M197">_xlfn.XLOOKUP(A197,J$14:J396,B$14:B396,"")</f>
        <v/>
      </c>
      <c r="N197" t="str" cm="1">
        <f t="array" ref="N197">_xlfn.XLOOKUP(A197,J$14:J396,C$14:C396,"")</f>
        <v/>
      </c>
      <c r="O197" t="str" cm="1">
        <f t="array" ref="O197">_xlfn.XLOOKUP(A197,J$14:J396,E$14:E396,"")</f>
        <v/>
      </c>
      <c r="P197" t="str" cm="1">
        <f t="array" ref="P197">_xlfn.XLOOKUP(A197,J$14:J396,G$14:G396,"")</f>
        <v/>
      </c>
      <c r="Q197" t="str" cm="1">
        <f t="array" ref="Q197">_xlfn.XLOOKUP(A197,J$14:J396,F$14:F396,"")</f>
        <v/>
      </c>
      <c r="R197" t="str" cm="1">
        <f t="array" ref="R197">_xlfn.XLOOKUP(A197,J$14:J396,I$14:I396,"")</f>
        <v/>
      </c>
      <c r="S197" t="str" cm="1">
        <f t="array" ref="S197">_xlfn.XLOOKUP(A197,J$14:J396,H$14:H396,"")</f>
        <v/>
      </c>
      <c r="T197" t="str" cm="1">
        <f t="array" ref="T197">VLOOKUP(ROW(184:184),L$14:S$163,8)</f>
        <v/>
      </c>
      <c r="U197" t="str" cm="1">
        <f t="array" ref="U197">VLOOKUP(ROW(184:184),L$14:M$163,2)</f>
        <v/>
      </c>
      <c r="V197" t="str" cm="1">
        <f t="array" ref="V197">VLOOKUP(ROW(184:184),L$14:O$163,4)</f>
        <v/>
      </c>
      <c r="W197" t="str" cm="1">
        <f t="array" ref="W197">VLOOKUP(ROW(184:184),L$14:Q$163,6)</f>
        <v/>
      </c>
      <c r="X197" cm="1">
        <f t="array" ref="X197">IFERROR(VLOOKUP(ROW(184:184),L$14:P$213,5)+0,0)</f>
        <v>0</v>
      </c>
      <c r="Y197" t="str" cm="1">
        <f t="array" ref="Y197">VLOOKUP(ROW(184:184),L$14:R$163,7)</f>
        <v/>
      </c>
      <c r="Z197">
        <f>IF(Y197&lt;-2,X197+MAX(Z$14:Z196),0)</f>
        <v>0</v>
      </c>
      <c r="AA197">
        <f>IFERROR(IF(AND(SUM(AA198:AA$214)+X197&lt;=Z$10,W197&lt;=Z$12,Z197=0),X197,0),0)</f>
        <v>0</v>
      </c>
      <c r="AB197">
        <f>IFERROR(IF(AND(W197&lt;=Z$12+10,AB$12-X197&gt;=0,SUM(Z197:AA197)=0,SUM(AB$14:AB196)+X197&lt;AB$12),X197,0),0)</f>
        <v>0</v>
      </c>
      <c r="AD197">
        <f>IF(AND(Y197=-2,SUM(Z197:AB197)=0),X197+MAX(AD$14:AD196),0)</f>
        <v>0</v>
      </c>
      <c r="AE197">
        <f>IFERROR(IF(AND(SUM(AE198:AE$214)+X197&lt;=AD$10,W197&lt;=AD$12,SUM(Z197:AD197)=0),X197,0),0)</f>
        <v>0</v>
      </c>
      <c r="AF197">
        <f>IFERROR(IF(AND(W197&lt;=AD$12+10,AF$12-X197&gt;=0,SUM(Z197:AE197)=0,SUM(AF$14:AF196)+X197&lt;AF$12),X197,0),0)</f>
        <v>0</v>
      </c>
      <c r="AG197">
        <f t="shared" si="107"/>
        <v>0</v>
      </c>
      <c r="AI197">
        <f t="shared" si="90"/>
        <v>0</v>
      </c>
      <c r="AJ197" s="493">
        <f t="shared" si="94"/>
        <v>0</v>
      </c>
      <c r="AK197">
        <f>IF(AJ197=0,0,IF(AJ196=0,MAX(AK$13:AK196)+1,IF(W197&lt;&gt;W196,MAX(AK$14:AK196)+1,IF(ROUNDDOWN(AJ197-0.01,0)=ROUNDDOWN(AJ196-0.01,0),AK196,AK196+1))))</f>
        <v>0</v>
      </c>
      <c r="AL197">
        <f t="shared" si="91"/>
        <v>0</v>
      </c>
      <c r="AM197">
        <f t="shared" si="92"/>
        <v>0</v>
      </c>
      <c r="AN197">
        <f>IF(AM197&gt;AN$12,IF(AK197=AK196,AN196,MAX(AN$13:AN196)+1),0)</f>
        <v>0</v>
      </c>
      <c r="AP197">
        <f t="shared" si="108"/>
        <v>0</v>
      </c>
      <c r="AQ197">
        <f>IF(AP197&gt;0,IF(MAX(AQ198:AQ$214)+AP197&gt;ROUNDUP(MAX(AQ198:AQ$214),0),ROUNDUP(MAX(AQ198:AQ$214),0)+AP197,MAX(AQ198:AQ$214)+AP197),0)</f>
        <v>0</v>
      </c>
      <c r="AR197">
        <f t="shared" si="93"/>
        <v>0</v>
      </c>
      <c r="AS197">
        <f t="shared" si="109"/>
        <v>0</v>
      </c>
      <c r="AT197">
        <f t="shared" si="110"/>
        <v>10</v>
      </c>
    </row>
    <row r="198" spans="1:59" x14ac:dyDescent="0.25">
      <c r="A198">
        <v>185</v>
      </c>
      <c r="C198" t="str">
        <f>_xlfn.XLOOKUP(A198,Order!R$12:R$859,Order!S$12:S$859,"")</f>
        <v/>
      </c>
      <c r="H198" t="str">
        <f>_xlfn.XLOOKUP(A198,Order!R$12:R$859,Order!B$12:B$859,"")</f>
        <v/>
      </c>
      <c r="J198" t="str">
        <f>IFERROR(RANK(F198,F$14:F$213,1)+COUNTIF(F$14:F198,F198)-1,"")</f>
        <v/>
      </c>
      <c r="L198" t="str">
        <f t="shared" si="95"/>
        <v/>
      </c>
      <c r="M198" t="str" cm="1">
        <f t="array" ref="M198">_xlfn.XLOOKUP(A198,J$14:J397,B$14:B397,"")</f>
        <v/>
      </c>
      <c r="N198" t="str" cm="1">
        <f t="array" ref="N198">_xlfn.XLOOKUP(A198,J$14:J397,C$14:C397,"")</f>
        <v/>
      </c>
      <c r="O198" t="str" cm="1">
        <f t="array" ref="O198">_xlfn.XLOOKUP(A198,J$14:J397,E$14:E397,"")</f>
        <v/>
      </c>
      <c r="P198" t="str" cm="1">
        <f t="array" ref="P198">_xlfn.XLOOKUP(A198,J$14:J397,G$14:G397,"")</f>
        <v/>
      </c>
      <c r="Q198" t="str" cm="1">
        <f t="array" ref="Q198">_xlfn.XLOOKUP(A198,J$14:J397,F$14:F397,"")</f>
        <v/>
      </c>
      <c r="R198" t="str" cm="1">
        <f t="array" ref="R198">_xlfn.XLOOKUP(A198,J$14:J397,I$14:I397,"")</f>
        <v/>
      </c>
      <c r="S198" t="str" cm="1">
        <f t="array" ref="S198">_xlfn.XLOOKUP(A198,J$14:J397,H$14:H397,"")</f>
        <v/>
      </c>
      <c r="T198" t="str" cm="1">
        <f t="array" ref="T198">VLOOKUP(ROW(185:185),L$14:S$163,8)</f>
        <v/>
      </c>
      <c r="U198" t="str" cm="1">
        <f t="array" ref="U198">VLOOKUP(ROW(185:185),L$14:M$163,2)</f>
        <v/>
      </c>
      <c r="V198" t="str" cm="1">
        <f t="array" ref="V198">VLOOKUP(ROW(185:185),L$14:O$163,4)</f>
        <v/>
      </c>
      <c r="W198" t="str" cm="1">
        <f t="array" ref="W198">VLOOKUP(ROW(185:185),L$14:Q$163,6)</f>
        <v/>
      </c>
      <c r="X198" cm="1">
        <f t="array" ref="X198">IFERROR(VLOOKUP(ROW(185:185),L$14:P$213,5)+0,0)</f>
        <v>0</v>
      </c>
      <c r="Y198" t="str" cm="1">
        <f t="array" ref="Y198">VLOOKUP(ROW(185:185),L$14:R$163,7)</f>
        <v/>
      </c>
      <c r="Z198">
        <f>IF(Y198&lt;-2,X198+MAX(Z$14:Z197),0)</f>
        <v>0</v>
      </c>
      <c r="AA198">
        <f>IFERROR(IF(AND(SUM(AA199:AA$214)+X198&lt;=Z$10,W198&lt;=Z$12,Z198=0),X198,0),0)</f>
        <v>0</v>
      </c>
      <c r="AB198">
        <f>IFERROR(IF(AND(W198&lt;=Z$12+10,AB$12-X198&gt;=0,SUM(Z198:AA198)=0,SUM(AB$14:AB197)+X198&lt;AB$12),X198,0),0)</f>
        <v>0</v>
      </c>
      <c r="AD198">
        <f>IF(AND(Y198=-2,SUM(Z198:AB198)=0),X198+MAX(AD$14:AD197),0)</f>
        <v>0</v>
      </c>
      <c r="AE198">
        <f>IFERROR(IF(AND(SUM(AE199:AE$214)+X198&lt;=AD$10,W198&lt;=AD$12,SUM(Z198:AD198)=0),X198,0),0)</f>
        <v>0</v>
      </c>
      <c r="AF198">
        <f>IFERROR(IF(AND(W198&lt;=AD$12+10,AF$12-X198&gt;=0,SUM(Z198:AE198)=0,SUM(AF$14:AF197)+X198&lt;AF$12),X198,0),0)</f>
        <v>0</v>
      </c>
      <c r="AG198">
        <f t="shared" si="107"/>
        <v>0</v>
      </c>
      <c r="AI198">
        <f t="shared" si="90"/>
        <v>0</v>
      </c>
      <c r="AJ198" s="493">
        <f t="shared" si="94"/>
        <v>0</v>
      </c>
      <c r="AK198">
        <f>IF(AJ198=0,0,IF(AJ197=0,MAX(AK$13:AK197)+1,IF(W198&lt;&gt;W197,MAX(AK$14:AK197)+1,IF(ROUNDDOWN(AJ198-0.01,0)=ROUNDDOWN(AJ197-0.01,0),AK197,AK197+1))))</f>
        <v>0</v>
      </c>
      <c r="AL198">
        <f t="shared" si="91"/>
        <v>0</v>
      </c>
      <c r="AM198">
        <f t="shared" si="92"/>
        <v>0</v>
      </c>
      <c r="AN198">
        <f>IF(AM198&gt;AN$12,IF(AK198=AK197,AN197,MAX(AN$13:AN197)+1),0)</f>
        <v>0</v>
      </c>
      <c r="AP198">
        <f t="shared" si="108"/>
        <v>0</v>
      </c>
      <c r="AQ198">
        <f>IF(AP198&gt;0,IF(MAX(AQ199:AQ$214)+AP198&gt;ROUNDUP(MAX(AQ199:AQ$214),0),ROUNDUP(MAX(AQ199:AQ$214),0)+AP198,MAX(AQ199:AQ$214)+AP198),0)</f>
        <v>0</v>
      </c>
      <c r="AR198">
        <f t="shared" si="93"/>
        <v>0</v>
      </c>
      <c r="AS198">
        <f t="shared" si="109"/>
        <v>0</v>
      </c>
      <c r="AT198">
        <f t="shared" si="110"/>
        <v>10</v>
      </c>
    </row>
    <row r="199" spans="1:59" x14ac:dyDescent="0.25">
      <c r="A199">
        <v>186</v>
      </c>
      <c r="C199" t="str">
        <f>_xlfn.XLOOKUP(A199,Order!R$12:R$859,Order!S$12:S$859,"")</f>
        <v/>
      </c>
      <c r="H199" t="str">
        <f>_xlfn.XLOOKUP(A199,Order!R$12:R$859,Order!B$12:B$859,"")</f>
        <v/>
      </c>
      <c r="J199" t="str">
        <f>IFERROR(RANK(F199,F$14:F$213,1)+COUNTIF(F$14:F199,F199)-1,"")</f>
        <v/>
      </c>
      <c r="L199" t="str">
        <f t="shared" si="95"/>
        <v/>
      </c>
      <c r="M199" t="str" cm="1">
        <f t="array" ref="M199">_xlfn.XLOOKUP(A199,J$14:J398,B$14:B398,"")</f>
        <v/>
      </c>
      <c r="N199" t="str" cm="1">
        <f t="array" ref="N199">_xlfn.XLOOKUP(A199,J$14:J398,C$14:C398,"")</f>
        <v/>
      </c>
      <c r="O199" t="str" cm="1">
        <f t="array" ref="O199">_xlfn.XLOOKUP(A199,J$14:J398,E$14:E398,"")</f>
        <v/>
      </c>
      <c r="P199" t="str" cm="1">
        <f t="array" ref="P199">_xlfn.XLOOKUP(A199,J$14:J398,G$14:G398,"")</f>
        <v/>
      </c>
      <c r="Q199" t="str" cm="1">
        <f t="array" ref="Q199">_xlfn.XLOOKUP(A199,J$14:J398,F$14:F398,"")</f>
        <v/>
      </c>
      <c r="R199" t="str" cm="1">
        <f t="array" ref="R199">_xlfn.XLOOKUP(A199,J$14:J398,I$14:I398,"")</f>
        <v/>
      </c>
      <c r="S199" t="str" cm="1">
        <f t="array" ref="S199">_xlfn.XLOOKUP(A199,J$14:J398,H$14:H398,"")</f>
        <v/>
      </c>
      <c r="T199" t="str" cm="1">
        <f t="array" ref="T199">VLOOKUP(ROW(186:186),L$14:S$163,8)</f>
        <v/>
      </c>
      <c r="U199" t="str" cm="1">
        <f t="array" ref="U199">VLOOKUP(ROW(186:186),L$14:M$163,2)</f>
        <v/>
      </c>
      <c r="V199" t="str" cm="1">
        <f t="array" ref="V199">VLOOKUP(ROW(186:186),L$14:O$163,4)</f>
        <v/>
      </c>
      <c r="W199" t="str" cm="1">
        <f t="array" ref="W199">VLOOKUP(ROW(186:186),L$14:Q$163,6)</f>
        <v/>
      </c>
      <c r="X199" cm="1">
        <f t="array" ref="X199">IFERROR(VLOOKUP(ROW(186:186),L$14:P$213,5)+0,0)</f>
        <v>0</v>
      </c>
      <c r="Y199" t="str" cm="1">
        <f t="array" ref="Y199">VLOOKUP(ROW(186:186),L$14:R$163,7)</f>
        <v/>
      </c>
      <c r="Z199">
        <f>IF(Y199&lt;-2,X199+MAX(Z$14:Z198),0)</f>
        <v>0</v>
      </c>
      <c r="AA199">
        <f>IFERROR(IF(AND(SUM(AA200:AA$214)+X199&lt;=Z$10,W199&lt;=Z$12,Z199=0),X199,0),0)</f>
        <v>0</v>
      </c>
      <c r="AB199">
        <f>IFERROR(IF(AND(W199&lt;=Z$12+10,AB$12-X199&gt;=0,SUM(Z199:AA199)=0,SUM(AB$14:AB198)+X199&lt;AB$12),X199,0),0)</f>
        <v>0</v>
      </c>
      <c r="AD199">
        <f>IF(AND(Y199=-2,SUM(Z199:AB199)=0),X199+MAX(AD$14:AD198),0)</f>
        <v>0</v>
      </c>
      <c r="AE199">
        <f>IFERROR(IF(AND(SUM(AE200:AE$214)+X199&lt;=AD$10,W199&lt;=AD$12,SUM(Z199:AD199)=0),X199,0),0)</f>
        <v>0</v>
      </c>
      <c r="AF199">
        <f>IFERROR(IF(AND(W199&lt;=AD$12+10,AF$12-X199&gt;=0,SUM(Z199:AE199)=0,SUM(AF$14:AF198)+X199&lt;AF$12),X199,0),0)</f>
        <v>0</v>
      </c>
      <c r="AG199">
        <f t="shared" si="107"/>
        <v>0</v>
      </c>
      <c r="AI199">
        <f t="shared" si="90"/>
        <v>0</v>
      </c>
      <c r="AJ199" s="493">
        <f t="shared" si="94"/>
        <v>0</v>
      </c>
      <c r="AK199">
        <f>IF(AJ199=0,0,IF(AJ198=0,MAX(AK$13:AK198)+1,IF(W199&lt;&gt;W198,MAX(AK$14:AK198)+1,IF(ROUNDDOWN(AJ199-0.01,0)=ROUNDDOWN(AJ198-0.01,0),AK198,AK198+1))))</f>
        <v>0</v>
      </c>
      <c r="AL199">
        <f t="shared" si="91"/>
        <v>0</v>
      </c>
      <c r="AM199">
        <f t="shared" si="92"/>
        <v>0</v>
      </c>
      <c r="AN199">
        <f>IF(AM199&gt;AN$12,IF(AK199=AK198,AN198,MAX(AN$13:AN198)+1),0)</f>
        <v>0</v>
      </c>
      <c r="AP199">
        <f t="shared" si="108"/>
        <v>0</v>
      </c>
      <c r="AQ199">
        <f>IF(AP199&gt;0,IF(MAX(AQ200:AQ$214)+AP199&gt;ROUNDUP(MAX(AQ200:AQ$214),0),ROUNDUP(MAX(AQ200:AQ$214),0)+AP199,MAX(AQ200:AQ$214)+AP199),0)</f>
        <v>0</v>
      </c>
      <c r="AR199">
        <f t="shared" si="93"/>
        <v>0</v>
      </c>
      <c r="AS199">
        <f t="shared" si="109"/>
        <v>0</v>
      </c>
      <c r="AT199">
        <f t="shared" si="110"/>
        <v>10</v>
      </c>
    </row>
    <row r="200" spans="1:59" x14ac:dyDescent="0.25">
      <c r="A200">
        <v>187</v>
      </c>
      <c r="C200" t="str">
        <f>_xlfn.XLOOKUP(A200,Order!R$12:R$859,Order!S$12:S$859,"")</f>
        <v/>
      </c>
      <c r="H200" t="str">
        <f>_xlfn.XLOOKUP(A200,Order!R$12:R$859,Order!B$12:B$859,"")</f>
        <v/>
      </c>
      <c r="J200" t="str">
        <f>IFERROR(RANK(F200,F$14:F$213,1)+COUNTIF(F$14:F200,F200)-1,"")</f>
        <v/>
      </c>
      <c r="L200" t="str">
        <f t="shared" si="95"/>
        <v/>
      </c>
      <c r="M200" t="str" cm="1">
        <f t="array" ref="M200">_xlfn.XLOOKUP(A200,J$14:J399,B$14:B399,"")</f>
        <v/>
      </c>
      <c r="N200" t="str" cm="1">
        <f t="array" ref="N200">_xlfn.XLOOKUP(A200,J$14:J399,C$14:C399,"")</f>
        <v/>
      </c>
      <c r="O200" t="str" cm="1">
        <f t="array" ref="O200">_xlfn.XLOOKUP(A200,J$14:J399,E$14:E399,"")</f>
        <v/>
      </c>
      <c r="P200" t="str" cm="1">
        <f t="array" ref="P200">_xlfn.XLOOKUP(A200,J$14:J399,G$14:G399,"")</f>
        <v/>
      </c>
      <c r="Q200" t="str" cm="1">
        <f t="array" ref="Q200">_xlfn.XLOOKUP(A200,J$14:J399,F$14:F399,"")</f>
        <v/>
      </c>
      <c r="R200" t="str" cm="1">
        <f t="array" ref="R200">_xlfn.XLOOKUP(A200,J$14:J399,I$14:I399,"")</f>
        <v/>
      </c>
      <c r="S200" t="str" cm="1">
        <f t="array" ref="S200">_xlfn.XLOOKUP(A200,J$14:J399,H$14:H399,"")</f>
        <v/>
      </c>
      <c r="T200" t="str" cm="1">
        <f t="array" ref="T200">VLOOKUP(ROW(187:187),L$14:S$163,8)</f>
        <v/>
      </c>
      <c r="U200" t="str" cm="1">
        <f t="array" ref="U200">VLOOKUP(ROW(187:187),L$14:M$163,2)</f>
        <v/>
      </c>
      <c r="V200" t="str" cm="1">
        <f t="array" ref="V200">VLOOKUP(ROW(187:187),L$14:O$163,4)</f>
        <v/>
      </c>
      <c r="W200" t="str" cm="1">
        <f t="array" ref="W200">VLOOKUP(ROW(187:187),L$14:Q$163,6)</f>
        <v/>
      </c>
      <c r="X200" cm="1">
        <f t="array" ref="X200">IFERROR(VLOOKUP(ROW(187:187),L$14:P$213,5)+0,0)</f>
        <v>0</v>
      </c>
      <c r="Y200" t="str" cm="1">
        <f t="array" ref="Y200">VLOOKUP(ROW(187:187),L$14:R$163,7)</f>
        <v/>
      </c>
      <c r="Z200">
        <f>IF(Y200&lt;-2,X200+MAX(Z$14:Z199),0)</f>
        <v>0</v>
      </c>
      <c r="AA200">
        <f>IFERROR(IF(AND(SUM(AA201:AA$214)+X200&lt;=Z$10,W200&lt;=Z$12,Z200=0),X200,0),0)</f>
        <v>0</v>
      </c>
      <c r="AB200">
        <f>IFERROR(IF(AND(W200&lt;=Z$12+10,AB$12-X200&gt;=0,SUM(Z200:AA200)=0,SUM(AB$14:AB199)+X200&lt;AB$12),X200,0),0)</f>
        <v>0</v>
      </c>
      <c r="AD200">
        <f>IF(AND(Y200=-2,SUM(Z200:AB200)=0),X200+MAX(AD$14:AD199),0)</f>
        <v>0</v>
      </c>
      <c r="AE200">
        <f>IFERROR(IF(AND(SUM(AE201:AE$214)+X200&lt;=AD$10,W200&lt;=AD$12,SUM(Z200:AD200)=0),X200,0),0)</f>
        <v>0</v>
      </c>
      <c r="AF200">
        <f>IFERROR(IF(AND(W200&lt;=AD$12+10,AF$12-X200&gt;=0,SUM(Z200:AE200)=0,SUM(AF$14:AF199)+X200&lt;AF$12),X200,0),0)</f>
        <v>0</v>
      </c>
      <c r="AG200">
        <f t="shared" si="107"/>
        <v>0</v>
      </c>
      <c r="AI200">
        <f t="shared" si="90"/>
        <v>0</v>
      </c>
      <c r="AJ200" s="493">
        <f t="shared" si="94"/>
        <v>0</v>
      </c>
      <c r="AK200">
        <f>IF(AJ200=0,0,IF(AJ199=0,MAX(AK$13:AK199)+1,IF(W200&lt;&gt;W199,MAX(AK$14:AK199)+1,IF(ROUNDDOWN(AJ200-0.01,0)=ROUNDDOWN(AJ199-0.01,0),AK199,AK199+1))))</f>
        <v>0</v>
      </c>
      <c r="AL200">
        <f t="shared" si="91"/>
        <v>0</v>
      </c>
      <c r="AM200">
        <f t="shared" si="92"/>
        <v>0</v>
      </c>
      <c r="AN200">
        <f>IF(AM200&gt;AN$12,IF(AK200=AK199,AN199,MAX(AN$13:AN199)+1),0)</f>
        <v>0</v>
      </c>
      <c r="AP200">
        <f t="shared" si="108"/>
        <v>0</v>
      </c>
      <c r="AQ200">
        <f>IF(AP200&gt;0,IF(MAX(AQ201:AQ$214)+AP200&gt;ROUNDUP(MAX(AQ201:AQ$214),0),ROUNDUP(MAX(AQ201:AQ$214),0)+AP200,MAX(AQ201:AQ$214)+AP200),0)</f>
        <v>0</v>
      </c>
      <c r="AR200">
        <f t="shared" si="93"/>
        <v>0</v>
      </c>
      <c r="AS200">
        <f t="shared" si="109"/>
        <v>0</v>
      </c>
      <c r="AT200">
        <f t="shared" si="110"/>
        <v>10</v>
      </c>
    </row>
    <row r="201" spans="1:59" x14ac:dyDescent="0.25">
      <c r="A201">
        <v>188</v>
      </c>
      <c r="C201" t="str">
        <f>_xlfn.XLOOKUP(A201,Order!R$12:R$859,Order!S$12:S$859,"")</f>
        <v/>
      </c>
      <c r="H201" t="str">
        <f>_xlfn.XLOOKUP(A201,Order!R$12:R$859,Order!B$12:B$859,"")</f>
        <v/>
      </c>
      <c r="J201" t="str">
        <f>IFERROR(RANK(F201,F$14:F$213,1)+COUNTIF(F$14:F201,F201)-1,"")</f>
        <v/>
      </c>
      <c r="L201" t="str">
        <f t="shared" si="95"/>
        <v/>
      </c>
      <c r="M201" t="str" cm="1">
        <f t="array" ref="M201">_xlfn.XLOOKUP(A201,J$14:J400,B$14:B400,"")</f>
        <v/>
      </c>
      <c r="N201" t="str" cm="1">
        <f t="array" ref="N201">_xlfn.XLOOKUP(A201,J$14:J400,C$14:C400,"")</f>
        <v/>
      </c>
      <c r="O201" t="str" cm="1">
        <f t="array" ref="O201">_xlfn.XLOOKUP(A201,J$14:J400,E$14:E400,"")</f>
        <v/>
      </c>
      <c r="P201" t="str" cm="1">
        <f t="array" ref="P201">_xlfn.XLOOKUP(A201,J$14:J400,G$14:G400,"")</f>
        <v/>
      </c>
      <c r="Q201" t="str" cm="1">
        <f t="array" ref="Q201">_xlfn.XLOOKUP(A201,J$14:J400,F$14:F400,"")</f>
        <v/>
      </c>
      <c r="R201" t="str" cm="1">
        <f t="array" ref="R201">_xlfn.XLOOKUP(A201,J$14:J400,I$14:I400,"")</f>
        <v/>
      </c>
      <c r="S201" t="str" cm="1">
        <f t="array" ref="S201">_xlfn.XLOOKUP(A201,J$14:J400,H$14:H400,"")</f>
        <v/>
      </c>
      <c r="T201" t="str" cm="1">
        <f t="array" ref="T201">VLOOKUP(ROW(188:188),L$14:S$163,8)</f>
        <v/>
      </c>
      <c r="U201" t="str" cm="1">
        <f t="array" ref="U201">VLOOKUP(ROW(188:188),L$14:M$163,2)</f>
        <v/>
      </c>
      <c r="V201" t="str" cm="1">
        <f t="array" ref="V201">VLOOKUP(ROW(188:188),L$14:O$163,4)</f>
        <v/>
      </c>
      <c r="W201" t="str" cm="1">
        <f t="array" ref="W201">VLOOKUP(ROW(188:188),L$14:Q$163,6)</f>
        <v/>
      </c>
      <c r="X201" cm="1">
        <f t="array" ref="X201">IFERROR(VLOOKUP(ROW(188:188),L$14:P$213,5)+0,0)</f>
        <v>0</v>
      </c>
      <c r="Y201" t="str" cm="1">
        <f t="array" ref="Y201">VLOOKUP(ROW(188:188),L$14:R$163,7)</f>
        <v/>
      </c>
      <c r="Z201">
        <f>IF(Y201&lt;-2,X201+MAX(Z$14:Z200),0)</f>
        <v>0</v>
      </c>
      <c r="AA201">
        <f>IFERROR(IF(AND(SUM(AA202:AA$214)+X201&lt;=Z$10,W201&lt;=Z$12,Z201=0),X201,0),0)</f>
        <v>0</v>
      </c>
      <c r="AB201">
        <f>IFERROR(IF(AND(W201&lt;=Z$12+10,AB$12-X201&gt;=0,SUM(Z201:AA201)=0,SUM(AB$14:AB200)+X201&lt;AB$12),X201,0),0)</f>
        <v>0</v>
      </c>
      <c r="AD201">
        <f>IF(AND(Y201=-2,SUM(Z201:AB201)=0),X201+MAX(AD$14:AD200),0)</f>
        <v>0</v>
      </c>
      <c r="AE201">
        <f>IFERROR(IF(AND(SUM(AE202:AE$214)+X201&lt;=AD$10,W201&lt;=AD$12,SUM(Z201:AD201)=0),X201,0),0)</f>
        <v>0</v>
      </c>
      <c r="AF201">
        <f>IFERROR(IF(AND(W201&lt;=AD$12+10,AF$12-X201&gt;=0,SUM(Z201:AE201)=0,SUM(AF$14:AF200)+X201&lt;AF$12),X201,0),0)</f>
        <v>0</v>
      </c>
      <c r="AG201">
        <f t="shared" si="107"/>
        <v>0</v>
      </c>
      <c r="AI201">
        <f t="shared" si="90"/>
        <v>0</v>
      </c>
      <c r="AJ201" s="493">
        <f t="shared" si="94"/>
        <v>0</v>
      </c>
      <c r="AK201">
        <f>IF(AJ201=0,0,IF(AJ200=0,MAX(AK$13:AK200)+1,IF(W201&lt;&gt;W200,MAX(AK$14:AK200)+1,IF(ROUNDDOWN(AJ201-0.01,0)=ROUNDDOWN(AJ200-0.01,0),AK200,AK200+1))))</f>
        <v>0</v>
      </c>
      <c r="AL201">
        <f t="shared" si="91"/>
        <v>0</v>
      </c>
      <c r="AM201">
        <f t="shared" si="92"/>
        <v>0</v>
      </c>
      <c r="AN201">
        <f>IF(AM201&gt;AN$12,IF(AK201=AK200,AN200,MAX(AN$13:AN200)+1),0)</f>
        <v>0</v>
      </c>
      <c r="AP201">
        <f t="shared" si="108"/>
        <v>0</v>
      </c>
      <c r="AQ201">
        <f>IF(AP201&gt;0,IF(MAX(AQ202:AQ$214)+AP201&gt;ROUNDUP(MAX(AQ202:AQ$214),0),ROUNDUP(MAX(AQ202:AQ$214),0)+AP201,MAX(AQ202:AQ$214)+AP201),0)</f>
        <v>0</v>
      </c>
      <c r="AR201">
        <f t="shared" si="93"/>
        <v>0</v>
      </c>
      <c r="AS201">
        <f t="shared" si="109"/>
        <v>0</v>
      </c>
      <c r="AT201">
        <f t="shared" si="110"/>
        <v>10</v>
      </c>
    </row>
    <row r="202" spans="1:59" x14ac:dyDescent="0.25">
      <c r="A202">
        <v>189</v>
      </c>
      <c r="C202" t="str">
        <f>_xlfn.XLOOKUP(A202,Order!R$12:R$859,Order!S$12:S$859,"")</f>
        <v/>
      </c>
      <c r="H202" t="str">
        <f>_xlfn.XLOOKUP(A202,Order!R$12:R$859,Order!B$12:B$859,"")</f>
        <v/>
      </c>
      <c r="J202" t="str">
        <f>IFERROR(RANK(F202,F$14:F$213,1)+COUNTIF(F$14:F202,F202)-1,"")</f>
        <v/>
      </c>
      <c r="L202" t="str">
        <f t="shared" si="95"/>
        <v/>
      </c>
      <c r="M202" t="str" cm="1">
        <f t="array" ref="M202">_xlfn.XLOOKUP(A202,J$14:J401,B$14:B401,"")</f>
        <v/>
      </c>
      <c r="N202" t="str" cm="1">
        <f t="array" ref="N202">_xlfn.XLOOKUP(A202,J$14:J401,C$14:C401,"")</f>
        <v/>
      </c>
      <c r="O202" t="str" cm="1">
        <f t="array" ref="O202">_xlfn.XLOOKUP(A202,J$14:J401,E$14:E401,"")</f>
        <v/>
      </c>
      <c r="P202" t="str" cm="1">
        <f t="array" ref="P202">_xlfn.XLOOKUP(A202,J$14:J401,G$14:G401,"")</f>
        <v/>
      </c>
      <c r="Q202" t="str" cm="1">
        <f t="array" ref="Q202">_xlfn.XLOOKUP(A202,J$14:J401,F$14:F401,"")</f>
        <v/>
      </c>
      <c r="R202" t="str" cm="1">
        <f t="array" ref="R202">_xlfn.XLOOKUP(A202,J$14:J401,I$14:I401,"")</f>
        <v/>
      </c>
      <c r="S202" t="str" cm="1">
        <f t="array" ref="S202">_xlfn.XLOOKUP(A202,J$14:J401,H$14:H401,"")</f>
        <v/>
      </c>
      <c r="T202" t="str" cm="1">
        <f t="array" ref="T202">VLOOKUP(ROW(189:189),L$14:S$163,8)</f>
        <v/>
      </c>
      <c r="U202" t="str" cm="1">
        <f t="array" ref="U202">VLOOKUP(ROW(189:189),L$14:M$163,2)</f>
        <v/>
      </c>
      <c r="V202" t="str" cm="1">
        <f t="array" ref="V202">VLOOKUP(ROW(189:189),L$14:O$163,4)</f>
        <v/>
      </c>
      <c r="W202" t="str" cm="1">
        <f t="array" ref="W202">VLOOKUP(ROW(189:189),L$14:Q$163,6)</f>
        <v/>
      </c>
      <c r="X202" cm="1">
        <f t="array" ref="X202">IFERROR(VLOOKUP(ROW(189:189),L$14:P$213,5)+0,0)</f>
        <v>0</v>
      </c>
      <c r="Y202" t="str" cm="1">
        <f t="array" ref="Y202">VLOOKUP(ROW(189:189),L$14:R$163,7)</f>
        <v/>
      </c>
      <c r="Z202">
        <f>IF(Y202&lt;-2,X202+MAX(Z$14:Z201),0)</f>
        <v>0</v>
      </c>
      <c r="AA202">
        <f>IFERROR(IF(AND(SUM(AA203:AA$214)+X202&lt;=Z$10,W202&lt;=Z$12,Z202=0),X202,0),0)</f>
        <v>0</v>
      </c>
      <c r="AB202">
        <f>IFERROR(IF(AND(W202&lt;=Z$12+10,AB$12-X202&gt;=0,SUM(Z202:AA202)=0,SUM(AB$14:AB201)+X202&lt;AB$12),X202,0),0)</f>
        <v>0</v>
      </c>
      <c r="AD202">
        <f>IF(AND(Y202=-2,SUM(Z202:AB202)=0),X202+MAX(AD$14:AD201),0)</f>
        <v>0</v>
      </c>
      <c r="AE202">
        <f>IFERROR(IF(AND(SUM(AE203:AE$214)+X202&lt;=AD$10,W202&lt;=AD$12,SUM(Z202:AD202)=0),X202,0),0)</f>
        <v>0</v>
      </c>
      <c r="AF202">
        <f>IFERROR(IF(AND(W202&lt;=AD$12+10,AF$12-X202&gt;=0,SUM(Z202:AE202)=0,SUM(AF$14:AF201)+X202&lt;AF$12),X202,0),0)</f>
        <v>0</v>
      </c>
      <c r="AG202">
        <f t="shared" si="107"/>
        <v>0</v>
      </c>
      <c r="AI202">
        <f t="shared" si="90"/>
        <v>0</v>
      </c>
      <c r="AJ202" s="493">
        <f t="shared" si="94"/>
        <v>0</v>
      </c>
      <c r="AK202">
        <f>IF(AJ202=0,0,IF(AJ201=0,MAX(AK$13:AK201)+1,IF(W202&lt;&gt;W201,MAX(AK$14:AK201)+1,IF(ROUNDDOWN(AJ202-0.01,0)=ROUNDDOWN(AJ201-0.01,0),AK201,AK201+1))))</f>
        <v>0</v>
      </c>
      <c r="AL202">
        <f t="shared" si="91"/>
        <v>0</v>
      </c>
      <c r="AM202">
        <f t="shared" si="92"/>
        <v>0</v>
      </c>
      <c r="AN202">
        <f>IF(AM202&gt;AN$12,IF(AK202=AK201,AN201,MAX(AN$13:AN201)+1),0)</f>
        <v>0</v>
      </c>
      <c r="AP202">
        <f t="shared" si="108"/>
        <v>0</v>
      </c>
      <c r="AQ202">
        <f>IF(AP202&gt;0,IF(MAX(AQ203:AQ$214)+AP202&gt;ROUNDUP(MAX(AQ203:AQ$214),0),ROUNDUP(MAX(AQ203:AQ$214),0)+AP202,MAX(AQ203:AQ$214)+AP202),0)</f>
        <v>0</v>
      </c>
      <c r="AR202">
        <f t="shared" si="93"/>
        <v>0</v>
      </c>
      <c r="AS202">
        <f t="shared" si="109"/>
        <v>0</v>
      </c>
      <c r="AT202">
        <f t="shared" si="110"/>
        <v>10</v>
      </c>
    </row>
    <row r="203" spans="1:59" x14ac:dyDescent="0.25">
      <c r="A203">
        <v>190</v>
      </c>
      <c r="C203" t="str">
        <f>_xlfn.XLOOKUP(A203,Order!R$12:R$859,Order!S$12:S$859,"")</f>
        <v/>
      </c>
      <c r="H203" t="str">
        <f>_xlfn.XLOOKUP(A203,Order!R$12:R$859,Order!B$12:B$859,"")</f>
        <v/>
      </c>
      <c r="J203" t="str">
        <f>IFERROR(RANK(F203,F$14:F$213,1)+COUNTIF(F$14:F203,F203)-1,"")</f>
        <v/>
      </c>
      <c r="L203" t="str">
        <f t="shared" si="95"/>
        <v/>
      </c>
      <c r="M203" t="str" cm="1">
        <f t="array" ref="M203">_xlfn.XLOOKUP(A203,J$14:J402,B$14:B402,"")</f>
        <v/>
      </c>
      <c r="N203" t="str" cm="1">
        <f t="array" ref="N203">_xlfn.XLOOKUP(A203,J$14:J402,C$14:C402,"")</f>
        <v/>
      </c>
      <c r="O203" t="str" cm="1">
        <f t="array" ref="O203">_xlfn.XLOOKUP(A203,J$14:J402,E$14:E402,"")</f>
        <v/>
      </c>
      <c r="P203" t="str" cm="1">
        <f t="array" ref="P203">_xlfn.XLOOKUP(A203,J$14:J402,G$14:G402,"")</f>
        <v/>
      </c>
      <c r="Q203" t="str" cm="1">
        <f t="array" ref="Q203">_xlfn.XLOOKUP(A203,J$14:J402,F$14:F402,"")</f>
        <v/>
      </c>
      <c r="R203" t="str" cm="1">
        <f t="array" ref="R203">_xlfn.XLOOKUP(A203,J$14:J402,I$14:I402,"")</f>
        <v/>
      </c>
      <c r="S203" t="str" cm="1">
        <f t="array" ref="S203">_xlfn.XLOOKUP(A203,J$14:J402,H$14:H402,"")</f>
        <v/>
      </c>
      <c r="T203" t="str" cm="1">
        <f t="array" ref="T203">VLOOKUP(ROW(190:190),L$14:S$163,8)</f>
        <v/>
      </c>
      <c r="U203" t="str" cm="1">
        <f t="array" ref="U203">VLOOKUP(ROW(190:190),L$14:M$163,2)</f>
        <v/>
      </c>
      <c r="V203" t="str" cm="1">
        <f t="array" ref="V203">VLOOKUP(ROW(190:190),L$14:O$163,4)</f>
        <v/>
      </c>
      <c r="W203" t="str" cm="1">
        <f t="array" ref="W203">VLOOKUP(ROW(190:190),L$14:Q$163,6)</f>
        <v/>
      </c>
      <c r="X203" cm="1">
        <f t="array" ref="X203">IFERROR(VLOOKUP(ROW(190:190),L$14:P$213,5)+0,0)</f>
        <v>0</v>
      </c>
      <c r="Y203" t="str" cm="1">
        <f t="array" ref="Y203">VLOOKUP(ROW(190:190),L$14:R$163,7)</f>
        <v/>
      </c>
      <c r="Z203">
        <f>IF(Y203&lt;-2,X203+MAX(Z$14:Z202),0)</f>
        <v>0</v>
      </c>
      <c r="AA203">
        <f>IFERROR(IF(AND(SUM(AA204:AA$214)+X203&lt;=Z$10,W203&lt;=Z$12,Z203=0),X203,0),0)</f>
        <v>0</v>
      </c>
      <c r="AB203">
        <f>IFERROR(IF(AND(W203&lt;=Z$12+10,AB$12-X203&gt;=0,SUM(Z203:AA203)=0,SUM(AB$14:AB202)+X203&lt;AB$12),X203,0),0)</f>
        <v>0</v>
      </c>
      <c r="AD203">
        <f>IF(AND(Y203=-2,SUM(Z203:AB203)=0),X203+MAX(AD$14:AD202),0)</f>
        <v>0</v>
      </c>
      <c r="AE203">
        <f>IFERROR(IF(AND(SUM(AE204:AE$214)+X203&lt;=AD$10,W203&lt;=AD$12,SUM(Z203:AD203)=0),X203,0),0)</f>
        <v>0</v>
      </c>
      <c r="AF203">
        <f>IFERROR(IF(AND(W203&lt;=AD$12+10,AF$12-X203&gt;=0,SUM(Z203:AE203)=0,SUM(AF$14:AF202)+X203&lt;AF$12),X203,0),0)</f>
        <v>0</v>
      </c>
      <c r="AG203">
        <f t="shared" si="107"/>
        <v>0</v>
      </c>
      <c r="AI203">
        <f t="shared" si="90"/>
        <v>0</v>
      </c>
      <c r="AJ203" s="493">
        <f t="shared" si="94"/>
        <v>0</v>
      </c>
      <c r="AK203">
        <f>IF(AJ203=0,0,IF(AJ202=0,MAX(AK$13:AK202)+1,IF(W203&lt;&gt;W202,MAX(AK$14:AK202)+1,IF(ROUNDDOWN(AJ203-0.01,0)=ROUNDDOWN(AJ202-0.01,0),AK202,AK202+1))))</f>
        <v>0</v>
      </c>
      <c r="AL203">
        <f t="shared" si="91"/>
        <v>0</v>
      </c>
      <c r="AM203">
        <f t="shared" si="92"/>
        <v>0</v>
      </c>
      <c r="AN203">
        <f>IF(AM203&gt;AN$12,IF(AK203=AK202,AN202,MAX(AN$13:AN202)+1),0)</f>
        <v>0</v>
      </c>
      <c r="AP203">
        <f t="shared" si="108"/>
        <v>0</v>
      </c>
      <c r="AQ203">
        <f>IF(AP203&gt;0,IF(MAX(AQ204:AQ$214)+AP203&gt;ROUNDUP(MAX(AQ204:AQ$214),0),ROUNDUP(MAX(AQ204:AQ$214),0)+AP203,MAX(AQ204:AQ$214)+AP203),0)</f>
        <v>0</v>
      </c>
      <c r="AR203">
        <f t="shared" si="93"/>
        <v>0</v>
      </c>
      <c r="AS203">
        <f t="shared" si="109"/>
        <v>0</v>
      </c>
      <c r="AT203">
        <f t="shared" si="110"/>
        <v>10</v>
      </c>
    </row>
    <row r="204" spans="1:59" x14ac:dyDescent="0.25">
      <c r="A204">
        <v>191</v>
      </c>
      <c r="C204" t="str">
        <f>_xlfn.XLOOKUP(A204,Order!R$12:R$859,Order!S$12:S$859,"")</f>
        <v/>
      </c>
      <c r="H204" t="str">
        <f>_xlfn.XLOOKUP(A204,Order!R$12:R$859,Order!B$12:B$859,"")</f>
        <v/>
      </c>
      <c r="J204" t="str">
        <f>IFERROR(RANK(F204,F$14:F$213,1)+COUNTIF(F$14:F204,F204)-1,"")</f>
        <v/>
      </c>
      <c r="L204" t="str">
        <f t="shared" si="95"/>
        <v/>
      </c>
      <c r="M204" t="str" cm="1">
        <f t="array" ref="M204">_xlfn.XLOOKUP(A204,J$14:J403,B$14:B403,"")</f>
        <v/>
      </c>
      <c r="N204" t="str" cm="1">
        <f t="array" ref="N204">_xlfn.XLOOKUP(A204,J$14:J403,C$14:C403,"")</f>
        <v/>
      </c>
      <c r="O204" t="str" cm="1">
        <f t="array" ref="O204">_xlfn.XLOOKUP(A204,J$14:J403,E$14:E403,"")</f>
        <v/>
      </c>
      <c r="P204" t="str" cm="1">
        <f t="array" ref="P204">_xlfn.XLOOKUP(A204,J$14:J403,G$14:G403,"")</f>
        <v/>
      </c>
      <c r="Q204" t="str" cm="1">
        <f t="array" ref="Q204">_xlfn.XLOOKUP(A204,J$14:J403,F$14:F403,"")</f>
        <v/>
      </c>
      <c r="R204" t="str" cm="1">
        <f t="array" ref="R204">_xlfn.XLOOKUP(A204,J$14:J403,I$14:I403,"")</f>
        <v/>
      </c>
      <c r="S204" t="str" cm="1">
        <f t="array" ref="S204">_xlfn.XLOOKUP(A204,J$14:J403,H$14:H403,"")</f>
        <v/>
      </c>
      <c r="T204" t="str" cm="1">
        <f t="array" ref="T204">VLOOKUP(ROW(191:191),L$14:S$163,8)</f>
        <v/>
      </c>
      <c r="U204" t="str" cm="1">
        <f t="array" ref="U204">VLOOKUP(ROW(191:191),L$14:M$163,2)</f>
        <v/>
      </c>
      <c r="V204" t="str" cm="1">
        <f t="array" ref="V204">VLOOKUP(ROW(191:191),L$14:O$163,4)</f>
        <v/>
      </c>
      <c r="W204" t="str" cm="1">
        <f t="array" ref="W204">VLOOKUP(ROW(191:191),L$14:Q$163,6)</f>
        <v/>
      </c>
      <c r="X204" cm="1">
        <f t="array" ref="X204">IFERROR(VLOOKUP(ROW(191:191),L$14:P$213,5)+0,0)</f>
        <v>0</v>
      </c>
      <c r="Y204" t="str" cm="1">
        <f t="array" ref="Y204">VLOOKUP(ROW(191:191),L$14:R$163,7)</f>
        <v/>
      </c>
      <c r="Z204">
        <f>IF(Y204&lt;-2,X204+MAX(Z$14:Z203),0)</f>
        <v>0</v>
      </c>
      <c r="AA204">
        <f>IFERROR(IF(AND(SUM(AA205:AA$214)+X204&lt;=Z$10,W204&lt;=Z$12,Z204=0),X204,0),0)</f>
        <v>0</v>
      </c>
      <c r="AB204">
        <f>IFERROR(IF(AND(W204&lt;=Z$12+10,AB$12-X204&gt;=0,SUM(Z204:AA204)=0,SUM(AB$14:AB203)+X204&lt;AB$12),X204,0),0)</f>
        <v>0</v>
      </c>
      <c r="AD204">
        <f>IF(AND(Y204=-2,SUM(Z204:AB204)=0),X204+MAX(AD$14:AD203),0)</f>
        <v>0</v>
      </c>
      <c r="AE204">
        <f>IFERROR(IF(AND(SUM(AE205:AE$214)+X204&lt;=AD$10,W204&lt;=AD$12,SUM(Z204:AD204)=0),X204,0),0)</f>
        <v>0</v>
      </c>
      <c r="AF204">
        <f>IFERROR(IF(AND(W204&lt;=AD$12+10,AF$12-X204&gt;=0,SUM(Z204:AE204)=0,SUM(AF$14:AF203)+X204&lt;AF$12),X204,0),0)</f>
        <v>0</v>
      </c>
      <c r="AG204">
        <f t="shared" si="107"/>
        <v>0</v>
      </c>
      <c r="AI204">
        <f t="shared" si="90"/>
        <v>0</v>
      </c>
      <c r="AJ204" s="493">
        <f t="shared" si="94"/>
        <v>0</v>
      </c>
      <c r="AK204">
        <f>IF(AJ204=0,0,IF(AJ203=0,MAX(AK$13:AK203)+1,IF(W204&lt;&gt;W203,MAX(AK$14:AK203)+1,IF(ROUNDDOWN(AJ204-0.01,0)=ROUNDDOWN(AJ203-0.01,0),AK203,AK203+1))))</f>
        <v>0</v>
      </c>
      <c r="AL204">
        <f t="shared" si="91"/>
        <v>0</v>
      </c>
      <c r="AM204">
        <f t="shared" si="92"/>
        <v>0</v>
      </c>
      <c r="AN204">
        <f>IF(AM204&gt;AN$12,IF(AK204=AK203,AN203,MAX(AN$13:AN203)+1),0)</f>
        <v>0</v>
      </c>
      <c r="AP204">
        <f t="shared" si="108"/>
        <v>0</v>
      </c>
      <c r="AQ204">
        <f>IF(AP204&gt;0,IF(MAX(AQ205:AQ$214)+AP204&gt;ROUNDUP(MAX(AQ205:AQ$214),0),ROUNDUP(MAX(AQ205:AQ$214),0)+AP204,MAX(AQ205:AQ$214)+AP204),0)</f>
        <v>0</v>
      </c>
      <c r="AR204">
        <f t="shared" si="93"/>
        <v>0</v>
      </c>
      <c r="AS204">
        <f t="shared" si="109"/>
        <v>0</v>
      </c>
      <c r="AT204">
        <f t="shared" si="110"/>
        <v>10</v>
      </c>
    </row>
    <row r="205" spans="1:59" x14ac:dyDescent="0.25">
      <c r="A205">
        <v>192</v>
      </c>
      <c r="C205" t="str">
        <f>_xlfn.XLOOKUP(A205,Order!R$12:R$859,Order!S$12:S$859,"")</f>
        <v/>
      </c>
      <c r="H205" t="str">
        <f>_xlfn.XLOOKUP(A205,Order!R$12:R$859,Order!B$12:B$859,"")</f>
        <v/>
      </c>
      <c r="J205" t="str">
        <f>IFERROR(RANK(F205,F$14:F$213,1)+COUNTIF(F$14:F205,F205)-1,"")</f>
        <v/>
      </c>
      <c r="L205" t="str">
        <f t="shared" si="95"/>
        <v/>
      </c>
      <c r="M205" t="str" cm="1">
        <f t="array" ref="M205">_xlfn.XLOOKUP(A205,J$14:J404,B$14:B404,"")</f>
        <v/>
      </c>
      <c r="N205" t="str" cm="1">
        <f t="array" ref="N205">_xlfn.XLOOKUP(A205,J$14:J404,C$14:C404,"")</f>
        <v/>
      </c>
      <c r="O205" t="str" cm="1">
        <f t="array" ref="O205">_xlfn.XLOOKUP(A205,J$14:J404,E$14:E404,"")</f>
        <v/>
      </c>
      <c r="P205" t="str" cm="1">
        <f t="array" ref="P205">_xlfn.XLOOKUP(A205,J$14:J404,G$14:G404,"")</f>
        <v/>
      </c>
      <c r="Q205" t="str" cm="1">
        <f t="array" ref="Q205">_xlfn.XLOOKUP(A205,J$14:J404,F$14:F404,"")</f>
        <v/>
      </c>
      <c r="R205" t="str" cm="1">
        <f t="array" ref="R205">_xlfn.XLOOKUP(A205,J$14:J404,I$14:I404,"")</f>
        <v/>
      </c>
      <c r="S205" t="str" cm="1">
        <f t="array" ref="S205">_xlfn.XLOOKUP(A205,J$14:J404,H$14:H404,"")</f>
        <v/>
      </c>
      <c r="T205" t="str" cm="1">
        <f t="array" ref="T205">VLOOKUP(ROW(192:192),L$14:S$163,8)</f>
        <v/>
      </c>
      <c r="U205" t="str" cm="1">
        <f t="array" ref="U205">VLOOKUP(ROW(192:192),L$14:M$163,2)</f>
        <v/>
      </c>
      <c r="V205" t="str" cm="1">
        <f t="array" ref="V205">VLOOKUP(ROW(192:192),L$14:O$163,4)</f>
        <v/>
      </c>
      <c r="W205" t="str" cm="1">
        <f t="array" ref="W205">VLOOKUP(ROW(192:192),L$14:Q$163,6)</f>
        <v/>
      </c>
      <c r="X205" cm="1">
        <f t="array" ref="X205">IFERROR(VLOOKUP(ROW(192:192),L$14:P$213,5)+0,0)</f>
        <v>0</v>
      </c>
      <c r="Y205" t="str" cm="1">
        <f t="array" ref="Y205">VLOOKUP(ROW(192:192),L$14:R$163,7)</f>
        <v/>
      </c>
      <c r="Z205">
        <f>IF(Y205&lt;-2,X205+MAX(Z$14:Z204),0)</f>
        <v>0</v>
      </c>
      <c r="AA205">
        <f>IFERROR(IF(AND(SUM(AA206:AA$214)+X205&lt;=Z$10,W205&lt;=Z$12,Z205=0),X205,0),0)</f>
        <v>0</v>
      </c>
      <c r="AB205">
        <f>IFERROR(IF(AND(W205&lt;=Z$12+10,AB$12-X205&gt;=0,SUM(Z205:AA205)=0,SUM(AB$14:AB204)+X205&lt;AB$12),X205,0),0)</f>
        <v>0</v>
      </c>
      <c r="AD205">
        <f>IF(AND(Y205=-2,SUM(Z205:AB205)=0),X205+MAX(AD$14:AD204),0)</f>
        <v>0</v>
      </c>
      <c r="AE205">
        <f>IFERROR(IF(AND(SUM(AE206:AE$214)+X205&lt;=AD$10,W205&lt;=AD$12,SUM(Z205:AD205)=0),X205,0),0)</f>
        <v>0</v>
      </c>
      <c r="AF205">
        <f>IFERROR(IF(AND(W205&lt;=AD$12+10,AF$12-X205&gt;=0,SUM(Z205:AE205)=0,SUM(AF$14:AF204)+X205&lt;AF$12),X205,0),0)</f>
        <v>0</v>
      </c>
      <c r="AG205">
        <f t="shared" si="107"/>
        <v>0</v>
      </c>
      <c r="AI205">
        <f t="shared" si="90"/>
        <v>0</v>
      </c>
      <c r="AJ205" s="493">
        <f t="shared" si="94"/>
        <v>0</v>
      </c>
      <c r="AK205">
        <f>IF(AJ205=0,0,IF(AJ204=0,MAX(AK$13:AK204)+1,IF(W205&lt;&gt;W204,MAX(AK$14:AK204)+1,IF(ROUNDDOWN(AJ205-0.01,0)=ROUNDDOWN(AJ204-0.01,0),AK204,AK204+1))))</f>
        <v>0</v>
      </c>
      <c r="AL205">
        <f t="shared" si="91"/>
        <v>0</v>
      </c>
      <c r="AM205">
        <f t="shared" si="92"/>
        <v>0</v>
      </c>
      <c r="AN205">
        <f>IF(AM205&gt;AN$12,IF(AK205=AK204,AN204,MAX(AN$13:AN204)+1),0)</f>
        <v>0</v>
      </c>
      <c r="AP205">
        <f t="shared" si="108"/>
        <v>0</v>
      </c>
      <c r="AQ205">
        <f>IF(AP205&gt;0,IF(MAX(AQ206:AQ$214)+AP205&gt;ROUNDUP(MAX(AQ206:AQ$214),0),ROUNDUP(MAX(AQ206:AQ$214),0)+AP205,MAX(AQ206:AQ$214)+AP205),0)</f>
        <v>0</v>
      </c>
      <c r="AR205">
        <f t="shared" si="93"/>
        <v>0</v>
      </c>
      <c r="AS205">
        <f t="shared" si="109"/>
        <v>0</v>
      </c>
      <c r="AT205">
        <f t="shared" si="110"/>
        <v>10</v>
      </c>
    </row>
    <row r="206" spans="1:59" x14ac:dyDescent="0.25">
      <c r="A206">
        <v>193</v>
      </c>
      <c r="C206" t="str">
        <f>_xlfn.XLOOKUP(A206,Order!R$12:R$859,Order!S$12:S$859,"")</f>
        <v/>
      </c>
      <c r="H206" t="str">
        <f>_xlfn.XLOOKUP(A206,Order!R$12:R$859,Order!B$12:B$859,"")</f>
        <v/>
      </c>
      <c r="J206" t="str">
        <f>IFERROR(RANK(F206,F$14:F$213,1)+COUNTIF(F$14:F206,F206)-1,"")</f>
        <v/>
      </c>
      <c r="L206" t="str">
        <f t="shared" si="95"/>
        <v/>
      </c>
      <c r="M206" t="str" cm="1">
        <f t="array" ref="M206">_xlfn.XLOOKUP(A206,J$14:J405,B$14:B405,"")</f>
        <v/>
      </c>
      <c r="N206" t="str" cm="1">
        <f t="array" ref="N206">_xlfn.XLOOKUP(A206,J$14:J405,C$14:C405,"")</f>
        <v/>
      </c>
      <c r="O206" t="str" cm="1">
        <f t="array" ref="O206">_xlfn.XLOOKUP(A206,J$14:J405,E$14:E405,"")</f>
        <v/>
      </c>
      <c r="P206" t="str" cm="1">
        <f t="array" ref="P206">_xlfn.XLOOKUP(A206,J$14:J405,G$14:G405,"")</f>
        <v/>
      </c>
      <c r="Q206" t="str" cm="1">
        <f t="array" ref="Q206">_xlfn.XLOOKUP(A206,J$14:J405,F$14:F405,"")</f>
        <v/>
      </c>
      <c r="R206" t="str" cm="1">
        <f t="array" ref="R206">_xlfn.XLOOKUP(A206,J$14:J405,I$14:I405,"")</f>
        <v/>
      </c>
      <c r="S206" t="str" cm="1">
        <f t="array" ref="S206">_xlfn.XLOOKUP(A206,J$14:J405,H$14:H405,"")</f>
        <v/>
      </c>
      <c r="T206" t="str" cm="1">
        <f t="array" ref="T206">VLOOKUP(ROW(193:193),L$14:S$163,8)</f>
        <v/>
      </c>
      <c r="U206" t="str" cm="1">
        <f t="array" ref="U206">VLOOKUP(ROW(193:193),L$14:M$163,2)</f>
        <v/>
      </c>
      <c r="V206" t="str" cm="1">
        <f t="array" ref="V206">VLOOKUP(ROW(193:193),L$14:O$163,4)</f>
        <v/>
      </c>
      <c r="W206" t="str" cm="1">
        <f t="array" ref="W206">VLOOKUP(ROW(193:193),L$14:Q$163,6)</f>
        <v/>
      </c>
      <c r="X206" cm="1">
        <f t="array" ref="X206">IFERROR(VLOOKUP(ROW(193:193),L$14:P$213,5)+0,0)</f>
        <v>0</v>
      </c>
      <c r="Y206" t="str" cm="1">
        <f t="array" ref="Y206">VLOOKUP(ROW(193:193),L$14:R$163,7)</f>
        <v/>
      </c>
      <c r="Z206">
        <f>IF(Y206&lt;-2,X206+MAX(Z$14:Z205),0)</f>
        <v>0</v>
      </c>
      <c r="AA206">
        <f>IFERROR(IF(AND(SUM(AA207:AA$214)+X206&lt;=Z$10,W206&lt;=Z$12,Z206=0),X206,0),0)</f>
        <v>0</v>
      </c>
      <c r="AB206">
        <f>IFERROR(IF(AND(W206&lt;=Z$12+10,AB$12-X206&gt;=0,SUM(Z206:AA206)=0,SUM(AB$14:AB205)+X206&lt;AB$12),X206,0),0)</f>
        <v>0</v>
      </c>
      <c r="AD206">
        <f>IF(AND(Y206=-2,SUM(Z206:AB206)=0),X206+MAX(AD$14:AD205),0)</f>
        <v>0</v>
      </c>
      <c r="AE206">
        <f>IFERROR(IF(AND(SUM(AE207:AE$214)+X206&lt;=AD$10,W206&lt;=AD$12,SUM(Z206:AD206)=0),X206,0),0)</f>
        <v>0</v>
      </c>
      <c r="AF206">
        <f>IFERROR(IF(AND(W206&lt;=AD$12+10,AF$12-X206&gt;=0,SUM(Z206:AE206)=0,SUM(AF$14:AF205)+X206&lt;AF$12),X206,0),0)</f>
        <v>0</v>
      </c>
      <c r="AG206">
        <f t="shared" ref="AG206:AG213" si="117">IF(SUM(Z206:AF206)&gt;0,0,X206)</f>
        <v>0</v>
      </c>
      <c r="AI206">
        <f t="shared" si="90"/>
        <v>0</v>
      </c>
      <c r="AJ206" s="493">
        <f t="shared" si="94"/>
        <v>0</v>
      </c>
      <c r="AK206">
        <f>IF(AJ206=0,0,IF(AJ205=0,MAX(AK$13:AK205)+1,IF(W206&lt;&gt;W205,MAX(AK$14:AK205)+1,IF(ROUNDDOWN(AJ206-0.01,0)=ROUNDDOWN(AJ205-0.01,0),AK205,AK205+1))))</f>
        <v>0</v>
      </c>
      <c r="AL206">
        <f t="shared" si="91"/>
        <v>0</v>
      </c>
      <c r="AM206">
        <f t="shared" si="92"/>
        <v>0</v>
      </c>
      <c r="AN206">
        <f>IF(AM206&gt;AN$12,IF(AK206=AK205,AN205,MAX(AN$13:AN205)+1),0)</f>
        <v>0</v>
      </c>
      <c r="AP206">
        <f t="shared" ref="AP206:AP213" si="118">IF(AN206+AI206&gt;0,0,X206)</f>
        <v>0</v>
      </c>
      <c r="AQ206">
        <f>IF(AP206&gt;0,IF(MAX(AQ207:AQ$214)+AP206&gt;ROUNDUP(MAX(AQ207:AQ$214),0),ROUNDUP(MAX(AQ207:AQ$214),0)+AP206,MAX(AQ207:AQ$214)+AP206),0)</f>
        <v>0</v>
      </c>
      <c r="AR206">
        <f t="shared" si="93"/>
        <v>0</v>
      </c>
      <c r="AS206">
        <f t="shared" ref="AS206:AS213" si="119">_xlfn.MAXIFS(W206:W405,AR206:AR405,AR206)</f>
        <v>0</v>
      </c>
      <c r="AT206">
        <f t="shared" ref="AT206:AT213" si="120">_xlfn.SINGLE(_xlfn.XLOOKUP(AR206,BK$4:BK$48,BJ$4:BJ$48,0))</f>
        <v>10</v>
      </c>
    </row>
    <row r="207" spans="1:59" x14ac:dyDescent="0.25">
      <c r="A207">
        <v>194</v>
      </c>
      <c r="C207" t="str">
        <f>_xlfn.XLOOKUP(A207,Order!R$12:R$859,Order!S$12:S$859,"")</f>
        <v/>
      </c>
      <c r="H207" t="str">
        <f>_xlfn.XLOOKUP(A207,Order!R$12:R$859,Order!B$12:B$859,"")</f>
        <v/>
      </c>
      <c r="J207" t="str">
        <f>IFERROR(RANK(F207,F$14:F$213,1)+COUNTIF(F$14:F207,F207)-1,"")</f>
        <v/>
      </c>
      <c r="L207" t="str">
        <f t="shared" si="95"/>
        <v/>
      </c>
      <c r="M207" t="str" cm="1">
        <f t="array" ref="M207">_xlfn.XLOOKUP(A207,J$14:J406,B$14:B406,"")</f>
        <v/>
      </c>
      <c r="N207" t="str" cm="1">
        <f t="array" ref="N207">_xlfn.XLOOKUP(A207,J$14:J406,C$14:C406,"")</f>
        <v/>
      </c>
      <c r="O207" t="str" cm="1">
        <f t="array" ref="O207">_xlfn.XLOOKUP(A207,J$14:J406,E$14:E406,"")</f>
        <v/>
      </c>
      <c r="P207" t="str" cm="1">
        <f t="array" ref="P207">_xlfn.XLOOKUP(A207,J$14:J406,G$14:G406,"")</f>
        <v/>
      </c>
      <c r="Q207" t="str" cm="1">
        <f t="array" ref="Q207">_xlfn.XLOOKUP(A207,J$14:J406,F$14:F406,"")</f>
        <v/>
      </c>
      <c r="R207" t="str" cm="1">
        <f t="array" ref="R207">_xlfn.XLOOKUP(A207,J$14:J406,I$14:I406,"")</f>
        <v/>
      </c>
      <c r="S207" t="str" cm="1">
        <f t="array" ref="S207">_xlfn.XLOOKUP(A207,J$14:J406,H$14:H406,"")</f>
        <v/>
      </c>
      <c r="T207" t="str" cm="1">
        <f t="array" ref="T207">VLOOKUP(ROW(194:194),L$14:S$163,8)</f>
        <v/>
      </c>
      <c r="U207" t="str" cm="1">
        <f t="array" ref="U207">VLOOKUP(ROW(194:194),L$14:M$163,2)</f>
        <v/>
      </c>
      <c r="V207" t="str" cm="1">
        <f t="array" ref="V207">VLOOKUP(ROW(194:194),L$14:O$163,4)</f>
        <v/>
      </c>
      <c r="W207" t="str" cm="1">
        <f t="array" ref="W207">VLOOKUP(ROW(194:194),L$14:Q$163,6)</f>
        <v/>
      </c>
      <c r="X207" cm="1">
        <f t="array" ref="X207">IFERROR(VLOOKUP(ROW(194:194),L$14:P$213,5)+0,0)</f>
        <v>0</v>
      </c>
      <c r="Y207" t="str" cm="1">
        <f t="array" ref="Y207">VLOOKUP(ROW(194:194),L$14:R$163,7)</f>
        <v/>
      </c>
      <c r="Z207">
        <f>IF(Y207&lt;-2,X207+MAX(Z$14:Z206),0)</f>
        <v>0</v>
      </c>
      <c r="AA207">
        <f>IFERROR(IF(AND(SUM(AA208:AA$214)+X207&lt;=Z$10,W207&lt;=Z$12,Z207=0),X207,0),0)</f>
        <v>0</v>
      </c>
      <c r="AB207">
        <f>IFERROR(IF(AND(W207&lt;=Z$12+10,AB$12-X207&gt;=0,SUM(Z207:AA207)=0,SUM(AB$14:AB206)+X207&lt;AB$12),X207,0),0)</f>
        <v>0</v>
      </c>
      <c r="AD207">
        <f>IF(AND(Y207=-2,SUM(Z207:AB207)=0),X207+MAX(AD$14:AD206),0)</f>
        <v>0</v>
      </c>
      <c r="AE207">
        <f>IFERROR(IF(AND(SUM(AE208:AE$214)+X207&lt;=AD$10,W207&lt;=AD$12,SUM(Z207:AD207)=0),X207,0),0)</f>
        <v>0</v>
      </c>
      <c r="AF207">
        <f>IFERROR(IF(AND(W207&lt;=AD$12+10,AF$12-X207&gt;=0,SUM(Z207:AE207)=0,SUM(AF$14:AF206)+X207&lt;AF$12),X207,0),0)</f>
        <v>0</v>
      </c>
      <c r="AG207">
        <f t="shared" si="117"/>
        <v>0</v>
      </c>
      <c r="AI207">
        <f t="shared" ref="AI207:AI213" si="121">ROUNDUP(Z207,0)+IF(SUM(AA207:AB207)&gt;0,AB$10,0)+IF(AD207&gt;0,ROUNDUP(AD207+AB$10,0),0)+IF(SUM(AE207:AF207)&gt;0,AE$10,0)</f>
        <v>0</v>
      </c>
      <c r="AJ207" s="493">
        <f t="shared" si="94"/>
        <v>0</v>
      </c>
      <c r="AK207">
        <f>IF(AJ207=0,0,IF(AJ206=0,MAX(AK$13:AK206)+1,IF(W207&lt;&gt;W206,MAX(AK$14:AK206)+1,IF(ROUNDDOWN(AJ207-0.01,0)=ROUNDDOWN(AJ206-0.01,0),AK206,AK206+1))))</f>
        <v>0</v>
      </c>
      <c r="AL207">
        <f t="shared" ref="AL207:AL213" si="122">_xlfn.MAXIFS(AJ$14:AJ$213,AK$14:AK$213,AK207)</f>
        <v>0</v>
      </c>
      <c r="AM207">
        <f t="shared" ref="AM207:AM213" si="123">IF(AL207&gt;1,AL207-ROUNDDOWN(AL207,0),AL207)</f>
        <v>0</v>
      </c>
      <c r="AN207">
        <f>IF(AM207&gt;AN$12,IF(AK207=AK206,AN206,MAX(AN$13:AN206)+1),0)</f>
        <v>0</v>
      </c>
      <c r="AP207">
        <f t="shared" si="118"/>
        <v>0</v>
      </c>
      <c r="AQ207">
        <f>IF(AP207&gt;0,IF(MAX(AQ208:AQ$214)+AP207&gt;ROUNDUP(MAX(AQ208:AQ$214),0),ROUNDUP(MAX(AQ208:AQ$214),0)+AP207,MAX(AQ208:AQ$214)+AP207),0)</f>
        <v>0</v>
      </c>
      <c r="AR207">
        <f t="shared" ref="AR207:AR213" si="124">IF(AP207&gt;0,ROUNDUP(AQ207,0)+AR$12,IF(AN207&gt;0,AN207,0)+AI207)</f>
        <v>0</v>
      </c>
      <c r="AS207">
        <f t="shared" si="119"/>
        <v>0</v>
      </c>
      <c r="AT207">
        <f t="shared" si="120"/>
        <v>10</v>
      </c>
    </row>
    <row r="208" spans="1:59" x14ac:dyDescent="0.25">
      <c r="A208">
        <v>195</v>
      </c>
      <c r="C208" t="str">
        <f>_xlfn.XLOOKUP(A208,Order!R$12:R$859,Order!S$12:S$859,"")</f>
        <v/>
      </c>
      <c r="H208" t="str">
        <f>_xlfn.XLOOKUP(A208,Order!R$12:R$859,Order!B$12:B$859,"")</f>
        <v/>
      </c>
      <c r="J208" t="str">
        <f>IFERROR(RANK(F208,F$14:F$213,1)+COUNTIF(F$14:F208,F208)-1,"")</f>
        <v/>
      </c>
      <c r="L208" t="str">
        <f t="shared" si="95"/>
        <v/>
      </c>
      <c r="M208" t="str" cm="1">
        <f t="array" ref="M208">_xlfn.XLOOKUP(A208,J$14:J407,B$14:B407,"")</f>
        <v/>
      </c>
      <c r="N208" t="str" cm="1">
        <f t="array" ref="N208">_xlfn.XLOOKUP(A208,J$14:J407,C$14:C407,"")</f>
        <v/>
      </c>
      <c r="O208" t="str" cm="1">
        <f t="array" ref="O208">_xlfn.XLOOKUP(A208,J$14:J407,E$14:E407,"")</f>
        <v/>
      </c>
      <c r="P208" t="str" cm="1">
        <f t="array" ref="P208">_xlfn.XLOOKUP(A208,J$14:J407,G$14:G407,"")</f>
        <v/>
      </c>
      <c r="Q208" t="str" cm="1">
        <f t="array" ref="Q208">_xlfn.XLOOKUP(A208,J$14:J407,F$14:F407,"")</f>
        <v/>
      </c>
      <c r="R208" t="str" cm="1">
        <f t="array" ref="R208">_xlfn.XLOOKUP(A208,J$14:J407,I$14:I407,"")</f>
        <v/>
      </c>
      <c r="S208" t="str" cm="1">
        <f t="array" ref="S208">_xlfn.XLOOKUP(A208,J$14:J407,H$14:H407,"")</f>
        <v/>
      </c>
      <c r="T208" t="str" cm="1">
        <f t="array" ref="T208">VLOOKUP(ROW(195:195),L$14:S$163,8)</f>
        <v/>
      </c>
      <c r="U208" t="str" cm="1">
        <f t="array" ref="U208">VLOOKUP(ROW(195:195),L$14:M$163,2)</f>
        <v/>
      </c>
      <c r="V208" t="str" cm="1">
        <f t="array" ref="V208">VLOOKUP(ROW(195:195),L$14:O$163,4)</f>
        <v/>
      </c>
      <c r="W208" t="str" cm="1">
        <f t="array" ref="W208">VLOOKUP(ROW(195:195),L$14:Q$163,6)</f>
        <v/>
      </c>
      <c r="X208" cm="1">
        <f t="array" ref="X208">IFERROR(VLOOKUP(ROW(195:195),L$14:P$213,5)+0,0)</f>
        <v>0</v>
      </c>
      <c r="Y208" t="str" cm="1">
        <f t="array" ref="Y208">VLOOKUP(ROW(195:195),L$14:R$163,7)</f>
        <v/>
      </c>
      <c r="Z208">
        <f>IF(Y208&lt;-2,X208+MAX(Z$14:Z207),0)</f>
        <v>0</v>
      </c>
      <c r="AA208">
        <f>IFERROR(IF(AND(SUM(AA209:AA$214)+X208&lt;=Z$10,W208&lt;=Z$12,Z208=0),X208,0),0)</f>
        <v>0</v>
      </c>
      <c r="AB208">
        <f>IFERROR(IF(AND(W208&lt;=Z$12+10,AB$12-X208&gt;=0,SUM(Z208:AA208)=0,SUM(AB$14:AB207)+X208&lt;AB$12),X208,0),0)</f>
        <v>0</v>
      </c>
      <c r="AD208">
        <f>IF(AND(Y208=-2,SUM(Z208:AB208)=0),X208+MAX(AD$14:AD207),0)</f>
        <v>0</v>
      </c>
      <c r="AE208">
        <f>IFERROR(IF(AND(SUM(AE209:AE$214)+X208&lt;=AD$10,W208&lt;=AD$12,SUM(Z208:AD208)=0),X208,0),0)</f>
        <v>0</v>
      </c>
      <c r="AF208">
        <f>IFERROR(IF(AND(W208&lt;=AD$12+10,AF$12-X208&gt;=0,SUM(Z208:AE208)=0,SUM(AF$14:AF207)+X208&lt;AF$12),X208,0),0)</f>
        <v>0</v>
      </c>
      <c r="AG208">
        <f t="shared" si="117"/>
        <v>0</v>
      </c>
      <c r="AI208">
        <f t="shared" si="121"/>
        <v>0</v>
      </c>
      <c r="AJ208" s="493">
        <f t="shared" ref="AJ208:AJ213" si="125">IF(AG208=0,0,IF(W208&lt;&gt;W207,AG208,IF(AG208+AJ207&gt;ROUNDUP(AJ207,0),ROUNDUP(AJ207,0)+AG208,AJ207+AG208)))</f>
        <v>0</v>
      </c>
      <c r="AK208">
        <f>IF(AJ208=0,0,IF(AJ207=0,MAX(AK$13:AK207)+1,IF(W208&lt;&gt;W207,MAX(AK$14:AK207)+1,IF(ROUNDDOWN(AJ208-0.01,0)=ROUNDDOWN(AJ207-0.01,0),AK207,AK207+1))))</f>
        <v>0</v>
      </c>
      <c r="AL208">
        <f t="shared" si="122"/>
        <v>0</v>
      </c>
      <c r="AM208">
        <f t="shared" si="123"/>
        <v>0</v>
      </c>
      <c r="AN208">
        <f>IF(AM208&gt;AN$12,IF(AK208=AK207,AN207,MAX(AN$13:AN207)+1),0)</f>
        <v>0</v>
      </c>
      <c r="AP208">
        <f t="shared" si="118"/>
        <v>0</v>
      </c>
      <c r="AQ208">
        <f>IF(AP208&gt;0,IF(MAX(AQ209:AQ$214)+AP208&gt;ROUNDUP(MAX(AQ209:AQ$214),0),ROUNDUP(MAX(AQ209:AQ$214),0)+AP208,MAX(AQ209:AQ$214)+AP208),0)</f>
        <v>0</v>
      </c>
      <c r="AR208">
        <f t="shared" si="124"/>
        <v>0</v>
      </c>
      <c r="AS208">
        <f t="shared" si="119"/>
        <v>0</v>
      </c>
      <c r="AT208">
        <f t="shared" si="120"/>
        <v>10</v>
      </c>
    </row>
    <row r="209" spans="1:47" x14ac:dyDescent="0.25">
      <c r="A209">
        <v>196</v>
      </c>
      <c r="C209" t="str">
        <f>_xlfn.XLOOKUP(A209,Order!R$12:R$859,Order!S$12:S$859,"")</f>
        <v/>
      </c>
      <c r="H209" t="str">
        <f>_xlfn.XLOOKUP(A209,Order!R$12:R$859,Order!B$12:B$859,"")</f>
        <v/>
      </c>
      <c r="J209" t="str">
        <f>IFERROR(RANK(F209,F$14:F$213,1)+COUNTIF(F$14:F209,F209)-1,"")</f>
        <v/>
      </c>
      <c r="L209" t="str">
        <f t="shared" si="95"/>
        <v/>
      </c>
      <c r="M209" t="str" cm="1">
        <f t="array" ref="M209">_xlfn.XLOOKUP(A209,J$14:J408,B$14:B408,"")</f>
        <v/>
      </c>
      <c r="N209" t="str" cm="1">
        <f t="array" ref="N209">_xlfn.XLOOKUP(A209,J$14:J408,C$14:C408,"")</f>
        <v/>
      </c>
      <c r="O209" t="str" cm="1">
        <f t="array" ref="O209">_xlfn.XLOOKUP(A209,J$14:J408,E$14:E408,"")</f>
        <v/>
      </c>
      <c r="P209" t="str" cm="1">
        <f t="array" ref="P209">_xlfn.XLOOKUP(A209,J$14:J408,G$14:G408,"")</f>
        <v/>
      </c>
      <c r="Q209" t="str" cm="1">
        <f t="array" ref="Q209">_xlfn.XLOOKUP(A209,J$14:J408,F$14:F408,"")</f>
        <v/>
      </c>
      <c r="R209" t="str" cm="1">
        <f t="array" ref="R209">_xlfn.XLOOKUP(A209,J$14:J408,I$14:I408,"")</f>
        <v/>
      </c>
      <c r="S209" t="str" cm="1">
        <f t="array" ref="S209">_xlfn.XLOOKUP(A209,J$14:J408,H$14:H408,"")</f>
        <v/>
      </c>
      <c r="T209" t="str" cm="1">
        <f t="array" ref="T209">VLOOKUP(ROW(196:196),L$14:S$163,8)</f>
        <v/>
      </c>
      <c r="U209" t="str" cm="1">
        <f t="array" ref="U209">VLOOKUP(ROW(196:196),L$14:M$163,2)</f>
        <v/>
      </c>
      <c r="V209" t="str" cm="1">
        <f t="array" ref="V209">VLOOKUP(ROW(196:196),L$14:O$163,4)</f>
        <v/>
      </c>
      <c r="W209" t="str" cm="1">
        <f t="array" ref="W209">VLOOKUP(ROW(196:196),L$14:Q$163,6)</f>
        <v/>
      </c>
      <c r="X209" cm="1">
        <f t="array" ref="X209">IFERROR(VLOOKUP(ROW(196:196),L$14:P$213,5)+0,0)</f>
        <v>0</v>
      </c>
      <c r="Y209" t="str" cm="1">
        <f t="array" ref="Y209">VLOOKUP(ROW(196:196),L$14:R$163,7)</f>
        <v/>
      </c>
      <c r="Z209">
        <f>IF(Y209&lt;-2,X209+MAX(Z$14:Z208),0)</f>
        <v>0</v>
      </c>
      <c r="AA209">
        <f>IFERROR(IF(AND(SUM(AA210:AA$214)+X209&lt;=Z$10,W209&lt;=Z$12,Z209=0),X209,0),0)</f>
        <v>0</v>
      </c>
      <c r="AB209">
        <f>IFERROR(IF(AND(W209&lt;=Z$12+10,AB$12-X209&gt;=0,SUM(Z209:AA209)=0,SUM(AB$14:AB208)+X209&lt;AB$12),X209,0),0)</f>
        <v>0</v>
      </c>
      <c r="AD209">
        <f>IF(AND(Y209=-2,SUM(Z209:AB209)=0),X209+MAX(AD$14:AD208),0)</f>
        <v>0</v>
      </c>
      <c r="AE209">
        <f>IFERROR(IF(AND(SUM(AE210:AE$214)+X209&lt;=AD$10,W209&lt;=AD$12,SUM(Z209:AD209)=0),X209,0),0)</f>
        <v>0</v>
      </c>
      <c r="AF209">
        <f>IFERROR(IF(AND(W209&lt;=AD$12+10,AF$12-X209&gt;=0,SUM(Z209:AE209)=0,SUM(AF$14:AF208)+X209&lt;AF$12),X209,0),0)</f>
        <v>0</v>
      </c>
      <c r="AG209">
        <f t="shared" si="117"/>
        <v>0</v>
      </c>
      <c r="AI209">
        <f t="shared" si="121"/>
        <v>0</v>
      </c>
      <c r="AJ209" s="493">
        <f t="shared" si="125"/>
        <v>0</v>
      </c>
      <c r="AK209">
        <f>IF(AJ209=0,0,IF(AJ208=0,MAX(AK$13:AK208)+1,IF(W209&lt;&gt;W208,MAX(AK$14:AK208)+1,IF(ROUNDDOWN(AJ209-0.01,0)=ROUNDDOWN(AJ208-0.01,0),AK208,AK208+1))))</f>
        <v>0</v>
      </c>
      <c r="AL209">
        <f t="shared" si="122"/>
        <v>0</v>
      </c>
      <c r="AM209">
        <f t="shared" si="123"/>
        <v>0</v>
      </c>
      <c r="AN209">
        <f>IF(AM209&gt;AN$12,IF(AK209=AK208,AN208,MAX(AN$13:AN208)+1),0)</f>
        <v>0</v>
      </c>
      <c r="AP209">
        <f t="shared" si="118"/>
        <v>0</v>
      </c>
      <c r="AQ209">
        <f>IF(AP209&gt;0,IF(MAX(AQ210:AQ$214)+AP209&gt;ROUNDUP(MAX(AQ210:AQ$214),0),ROUNDUP(MAX(AQ210:AQ$214),0)+AP209,MAX(AQ210:AQ$214)+AP209),0)</f>
        <v>0</v>
      </c>
      <c r="AR209">
        <f t="shared" si="124"/>
        <v>0</v>
      </c>
      <c r="AS209">
        <f t="shared" si="119"/>
        <v>0</v>
      </c>
      <c r="AT209">
        <f t="shared" si="120"/>
        <v>10</v>
      </c>
    </row>
    <row r="210" spans="1:47" x14ac:dyDescent="0.25">
      <c r="A210">
        <v>197</v>
      </c>
      <c r="C210" t="str">
        <f>_xlfn.XLOOKUP(A210,Order!R$12:R$859,Order!S$12:S$859,"")</f>
        <v/>
      </c>
      <c r="H210" t="str">
        <f>_xlfn.XLOOKUP(A210,Order!R$12:R$859,Order!B$12:B$859,"")</f>
        <v/>
      </c>
      <c r="J210" t="str">
        <f>IFERROR(RANK(F210,F$14:F$213,1)+COUNTIF(F$14:F210,F210)-1,"")</f>
        <v/>
      </c>
      <c r="L210" t="str">
        <f t="shared" si="95"/>
        <v/>
      </c>
      <c r="M210" t="str" cm="1">
        <f t="array" ref="M210">_xlfn.XLOOKUP(A210,J$14:J409,B$14:B409,"")</f>
        <v/>
      </c>
      <c r="N210" t="str" cm="1">
        <f t="array" ref="N210">_xlfn.XLOOKUP(A210,J$14:J409,C$14:C409,"")</f>
        <v/>
      </c>
      <c r="O210" t="str" cm="1">
        <f t="array" ref="O210">_xlfn.XLOOKUP(A210,J$14:J409,E$14:E409,"")</f>
        <v/>
      </c>
      <c r="P210" t="str" cm="1">
        <f t="array" ref="P210">_xlfn.XLOOKUP(A210,J$14:J409,G$14:G409,"")</f>
        <v/>
      </c>
      <c r="Q210" t="str" cm="1">
        <f t="array" ref="Q210">_xlfn.XLOOKUP(A210,J$14:J409,F$14:F409,"")</f>
        <v/>
      </c>
      <c r="R210" t="str" cm="1">
        <f t="array" ref="R210">_xlfn.XLOOKUP(A210,J$14:J409,I$14:I409,"")</f>
        <v/>
      </c>
      <c r="S210" t="str" cm="1">
        <f t="array" ref="S210">_xlfn.XLOOKUP(A210,J$14:J409,H$14:H409,"")</f>
        <v/>
      </c>
      <c r="T210" t="str" cm="1">
        <f t="array" ref="T210">VLOOKUP(ROW(197:197),L$14:S$163,8)</f>
        <v/>
      </c>
      <c r="U210" t="str" cm="1">
        <f t="array" ref="U210">VLOOKUP(ROW(197:197),L$14:M$163,2)</f>
        <v/>
      </c>
      <c r="V210" t="str" cm="1">
        <f t="array" ref="V210">VLOOKUP(ROW(197:197),L$14:O$163,4)</f>
        <v/>
      </c>
      <c r="W210" t="str" cm="1">
        <f t="array" ref="W210">VLOOKUP(ROW(197:197),L$14:Q$163,6)</f>
        <v/>
      </c>
      <c r="X210" cm="1">
        <f t="array" ref="X210">IFERROR(VLOOKUP(ROW(197:197),L$14:P$213,5)+0,0)</f>
        <v>0</v>
      </c>
      <c r="Y210" t="str" cm="1">
        <f t="array" ref="Y210">VLOOKUP(ROW(197:197),L$14:R$163,7)</f>
        <v/>
      </c>
      <c r="Z210">
        <f>IF(Y210&lt;-2,X210+MAX(Z$14:Z209),0)</f>
        <v>0</v>
      </c>
      <c r="AA210">
        <f>IFERROR(IF(AND(SUM(AA211:AA$214)+X210&lt;=Z$10,W210&lt;=Z$12,Z210=0),X210,0),0)</f>
        <v>0</v>
      </c>
      <c r="AB210">
        <f>IFERROR(IF(AND(W210&lt;=Z$12+10,AB$12-X210&gt;=0,SUM(Z210:AA210)=0,SUM(AB$14:AB209)+X210&lt;AB$12),X210,0),0)</f>
        <v>0</v>
      </c>
      <c r="AD210">
        <f>IF(AND(Y210=-2,SUM(Z210:AB210)=0),X210+MAX(AD$14:AD209),0)</f>
        <v>0</v>
      </c>
      <c r="AE210">
        <f>IFERROR(IF(AND(SUM(AE211:AE$214)+X210&lt;=AD$10,W210&lt;=AD$12,SUM(Z210:AD210)=0),X210,0),0)</f>
        <v>0</v>
      </c>
      <c r="AF210">
        <f>IFERROR(IF(AND(W210&lt;=AD$12+10,AF$12-X210&gt;=0,SUM(Z210:AE210)=0,SUM(AF$14:AF209)+X210&lt;AF$12),X210,0),0)</f>
        <v>0</v>
      </c>
      <c r="AG210">
        <f t="shared" si="117"/>
        <v>0</v>
      </c>
      <c r="AI210">
        <f t="shared" si="121"/>
        <v>0</v>
      </c>
      <c r="AJ210" s="493">
        <f t="shared" si="125"/>
        <v>0</v>
      </c>
      <c r="AK210">
        <f>IF(AJ210=0,0,IF(AJ209=0,MAX(AK$13:AK209)+1,IF(W210&lt;&gt;W209,MAX(AK$14:AK209)+1,IF(ROUNDDOWN(AJ210-0.01,0)=ROUNDDOWN(AJ209-0.01,0),AK209,AK209+1))))</f>
        <v>0</v>
      </c>
      <c r="AL210">
        <f t="shared" si="122"/>
        <v>0</v>
      </c>
      <c r="AM210">
        <f t="shared" si="123"/>
        <v>0</v>
      </c>
      <c r="AN210">
        <f>IF(AM210&gt;AN$12,IF(AK210=AK209,AN209,MAX(AN$13:AN209)+1),0)</f>
        <v>0</v>
      </c>
      <c r="AP210">
        <f t="shared" si="118"/>
        <v>0</v>
      </c>
      <c r="AQ210">
        <f>IF(AP210&gt;0,IF(MAX(AQ211:AQ$214)+AP210&gt;ROUNDUP(MAX(AQ211:AQ$214),0),ROUNDUP(MAX(AQ211:AQ$214),0)+AP210,MAX(AQ211:AQ$214)+AP210),0)</f>
        <v>0</v>
      </c>
      <c r="AR210">
        <f t="shared" si="124"/>
        <v>0</v>
      </c>
      <c r="AS210">
        <f t="shared" si="119"/>
        <v>0</v>
      </c>
      <c r="AT210">
        <f t="shared" si="120"/>
        <v>10</v>
      </c>
    </row>
    <row r="211" spans="1:47" x14ac:dyDescent="0.25">
      <c r="A211">
        <v>198</v>
      </c>
      <c r="C211" t="str">
        <f>_xlfn.XLOOKUP(A211,Order!R$12:R$859,Order!S$12:S$859,"")</f>
        <v/>
      </c>
      <c r="H211" t="str">
        <f>_xlfn.XLOOKUP(A211,Order!R$12:R$859,Order!B$12:B$859,"")</f>
        <v/>
      </c>
      <c r="J211" t="str">
        <f>IFERROR(RANK(F211,F$14:F$213,1)+COUNTIF(F$14:F211,F211)-1,"")</f>
        <v/>
      </c>
      <c r="L211" t="str">
        <f>IFERROR(L210+N210,"")</f>
        <v/>
      </c>
      <c r="M211" t="str" cm="1">
        <f t="array" ref="M211">_xlfn.XLOOKUP(A211,J$14:J410,B$14:B410,"")</f>
        <v/>
      </c>
      <c r="N211" t="str" cm="1">
        <f t="array" ref="N211">_xlfn.XLOOKUP(A211,J$14:J410,C$14:C410,"")</f>
        <v/>
      </c>
      <c r="O211" t="str" cm="1">
        <f t="array" ref="O211">_xlfn.XLOOKUP(A211,J$14:J410,E$14:E410,"")</f>
        <v/>
      </c>
      <c r="P211" t="str" cm="1">
        <f t="array" ref="P211">_xlfn.XLOOKUP(A211,J$14:J410,G$14:G410,"")</f>
        <v/>
      </c>
      <c r="Q211" t="str" cm="1">
        <f t="array" ref="Q211">_xlfn.XLOOKUP(A211,J$14:J410,F$14:F410,"")</f>
        <v/>
      </c>
      <c r="R211" t="str" cm="1">
        <f t="array" ref="R211">_xlfn.XLOOKUP(A211,J$14:J410,I$14:I410,"")</f>
        <v/>
      </c>
      <c r="S211" t="str" cm="1">
        <f t="array" ref="S211">_xlfn.XLOOKUP(A211,J$14:J410,H$14:H410,"")</f>
        <v/>
      </c>
      <c r="T211" t="str" cm="1">
        <f t="array" ref="T211">VLOOKUP(ROW(198:198),L$14:S$163,8)</f>
        <v/>
      </c>
      <c r="U211" t="str" cm="1">
        <f t="array" ref="U211">VLOOKUP(ROW(198:198),L$14:M$163,2)</f>
        <v/>
      </c>
      <c r="V211" t="str" cm="1">
        <f t="array" ref="V211">VLOOKUP(ROW(198:198),L$14:O$163,4)</f>
        <v/>
      </c>
      <c r="W211" t="str" cm="1">
        <f t="array" ref="W211">VLOOKUP(ROW(198:198),L$14:Q$163,6)</f>
        <v/>
      </c>
      <c r="X211" cm="1">
        <f t="array" ref="X211">IFERROR(VLOOKUP(ROW(198:198),L$14:P$213,5)+0,0)</f>
        <v>0</v>
      </c>
      <c r="Y211" t="str" cm="1">
        <f t="array" ref="Y211">VLOOKUP(ROW(198:198),L$14:R$163,7)</f>
        <v/>
      </c>
      <c r="Z211">
        <f>IF(Y211&lt;-2,X211+MAX(Z$14:Z210),0)</f>
        <v>0</v>
      </c>
      <c r="AA211">
        <f>IFERROR(IF(AND(SUM(AA212:AA$214)+X211&lt;=Z$10,W211&lt;=Z$12,Z211=0),X211,0),0)</f>
        <v>0</v>
      </c>
      <c r="AB211">
        <f>IFERROR(IF(AND(W211&lt;=Z$12+10,AB$12-X211&gt;=0,SUM(Z211:AA211)=0,SUM(AB$14:AB210)+X211&lt;AB$12),X211,0),0)</f>
        <v>0</v>
      </c>
      <c r="AD211">
        <f>IF(AND(Y211=-2,SUM(Z211:AB211)=0),X211+MAX(AD$14:AD210),0)</f>
        <v>0</v>
      </c>
      <c r="AE211">
        <f>IFERROR(IF(AND(SUM(AE212:AE$214)+X211&lt;=AD$10,W211&lt;=AD$12,SUM(Z211:AD211)=0),X211,0),0)</f>
        <v>0</v>
      </c>
      <c r="AF211">
        <f>IFERROR(IF(AND(W211&lt;=AD$12+10,AF$12-X211&gt;=0,SUM(Z211:AE211)=0,SUM(AF$14:AF210)+X211&lt;AF$12),X211,0),0)</f>
        <v>0</v>
      </c>
      <c r="AG211">
        <f t="shared" si="117"/>
        <v>0</v>
      </c>
      <c r="AI211">
        <f t="shared" si="121"/>
        <v>0</v>
      </c>
      <c r="AJ211" s="493">
        <f t="shared" si="125"/>
        <v>0</v>
      </c>
      <c r="AK211">
        <f>IF(AJ211=0,0,IF(AJ210=0,MAX(AK$13:AK210)+1,IF(W211&lt;&gt;W210,MAX(AK$14:AK210)+1,IF(ROUNDDOWN(AJ211-0.01,0)=ROUNDDOWN(AJ210-0.01,0),AK210,AK210+1))))</f>
        <v>0</v>
      </c>
      <c r="AL211">
        <f t="shared" si="122"/>
        <v>0</v>
      </c>
      <c r="AM211">
        <f t="shared" si="123"/>
        <v>0</v>
      </c>
      <c r="AN211">
        <f>IF(AM211&gt;AN$12,IF(AK211=AK210,AN210,MAX(AN$13:AN210)+1),0)</f>
        <v>0</v>
      </c>
      <c r="AP211">
        <f t="shared" si="118"/>
        <v>0</v>
      </c>
      <c r="AQ211">
        <f>IF(AP211&gt;0,IF(MAX(AQ212:AQ$214)+AP211&gt;ROUNDUP(MAX(AQ212:AQ$214),0),ROUNDUP(MAX(AQ212:AQ$214),0)+AP211,MAX(AQ212:AQ$214)+AP211),0)</f>
        <v>0</v>
      </c>
      <c r="AR211">
        <f t="shared" si="124"/>
        <v>0</v>
      </c>
      <c r="AS211">
        <f t="shared" si="119"/>
        <v>0</v>
      </c>
      <c r="AT211">
        <f t="shared" si="120"/>
        <v>10</v>
      </c>
    </row>
    <row r="212" spans="1:47" x14ac:dyDescent="0.25">
      <c r="A212">
        <v>199</v>
      </c>
      <c r="C212" t="str">
        <f>_xlfn.XLOOKUP(A212,Order!R$12:R$859,Order!S$12:S$859,"")</f>
        <v/>
      </c>
      <c r="H212" t="str">
        <f>_xlfn.XLOOKUP(A212,Order!R$12:R$859,Order!B$12:B$859,"")</f>
        <v/>
      </c>
      <c r="J212" t="str">
        <f>IFERROR(RANK(F212,F$14:F$213,1)+COUNTIF(F$14:F212,F212)-1,"")</f>
        <v/>
      </c>
      <c r="L212" t="str">
        <f>IFERROR(L211+N211,"")</f>
        <v/>
      </c>
      <c r="M212" t="str" cm="1">
        <f t="array" ref="M212">_xlfn.XLOOKUP(A212,J$14:J411,B$14:B411,"")</f>
        <v/>
      </c>
      <c r="N212" t="str" cm="1">
        <f t="array" ref="N212">_xlfn.XLOOKUP(A212,J$14:J411,C$14:C411,"")</f>
        <v/>
      </c>
      <c r="O212" t="str" cm="1">
        <f t="array" ref="O212">_xlfn.XLOOKUP(A212,J$14:J411,E$14:E411,"")</f>
        <v/>
      </c>
      <c r="P212" t="str" cm="1">
        <f t="array" ref="P212">_xlfn.XLOOKUP(A212,J$14:J411,G$14:G411,"")</f>
        <v/>
      </c>
      <c r="Q212" t="str" cm="1">
        <f t="array" ref="Q212">_xlfn.XLOOKUP(A212,J$14:J411,F$14:F411,"")</f>
        <v/>
      </c>
      <c r="R212" t="str" cm="1">
        <f t="array" ref="R212">_xlfn.XLOOKUP(A212,J$14:J411,I$14:I411,"")</f>
        <v/>
      </c>
      <c r="S212" t="str" cm="1">
        <f t="array" ref="S212">_xlfn.XLOOKUP(A212,J$14:J411,H$14:H411,"")</f>
        <v/>
      </c>
      <c r="T212" t="str" cm="1">
        <f t="array" ref="T212">VLOOKUP(ROW(199:199),L$14:S$163,8)</f>
        <v/>
      </c>
      <c r="U212" t="str" cm="1">
        <f t="array" ref="U212">VLOOKUP(ROW(199:199),L$14:M$163,2)</f>
        <v/>
      </c>
      <c r="V212" t="str" cm="1">
        <f t="array" ref="V212">VLOOKUP(ROW(199:199),L$14:O$163,4)</f>
        <v/>
      </c>
      <c r="W212" t="str" cm="1">
        <f t="array" ref="W212">VLOOKUP(ROW(199:199),L$14:Q$163,6)</f>
        <v/>
      </c>
      <c r="X212" cm="1">
        <f t="array" ref="X212">IFERROR(VLOOKUP(ROW(199:199),L$14:P$213,5)+0,0)</f>
        <v>0</v>
      </c>
      <c r="Y212" t="str" cm="1">
        <f t="array" ref="Y212">VLOOKUP(ROW(199:199),L$14:R$163,7)</f>
        <v/>
      </c>
      <c r="Z212">
        <f>IF(Y212&lt;-2,X212+MAX(Z$14:Z211),0)</f>
        <v>0</v>
      </c>
      <c r="AA212">
        <f>IFERROR(IF(AND(SUM(AA213:AA$214)+X212&lt;=Z$10,W212&lt;=Z$12,Z212=0),X212,0),0)</f>
        <v>0</v>
      </c>
      <c r="AB212">
        <f>IFERROR(IF(AND(W212&lt;=Z$12+10,AB$12-X212&gt;=0,SUM(Z212:AA212)=0,SUM(AB$14:AB211)+X212&lt;AB$12),X212,0),0)</f>
        <v>0</v>
      </c>
      <c r="AD212">
        <f>IF(AND(Y212=-2,SUM(Z212:AB212)=0),X212+MAX(AD$14:AD211),0)</f>
        <v>0</v>
      </c>
      <c r="AE212">
        <f>IFERROR(IF(AND(SUM(AE213:AE$214)+X212&lt;=AD$10,W212&lt;=AD$12,SUM(Z212:AD212)=0),X212,0),0)</f>
        <v>0</v>
      </c>
      <c r="AF212">
        <f>IFERROR(IF(AND(W212&lt;=AD$12+10,AF$12-X212&gt;=0,SUM(Z212:AE212)=0,SUM(AF$14:AF211)+X212&lt;AF$12),X212,0),0)</f>
        <v>0</v>
      </c>
      <c r="AG212">
        <f t="shared" si="117"/>
        <v>0</v>
      </c>
      <c r="AI212">
        <f t="shared" si="121"/>
        <v>0</v>
      </c>
      <c r="AJ212" s="493">
        <f t="shared" si="125"/>
        <v>0</v>
      </c>
      <c r="AK212">
        <f>IF(AJ212=0,0,IF(AJ211=0,MAX(AK$13:AK211)+1,IF(W212&lt;&gt;W211,MAX(AK$14:AK211)+1,IF(ROUNDDOWN(AJ212-0.01,0)=ROUNDDOWN(AJ211-0.01,0),AK211,AK211+1))))</f>
        <v>0</v>
      </c>
      <c r="AL212">
        <f t="shared" si="122"/>
        <v>0</v>
      </c>
      <c r="AM212">
        <f t="shared" si="123"/>
        <v>0</v>
      </c>
      <c r="AN212">
        <f>IF(AM212&gt;AN$12,IF(AK212=AK211,AN211,MAX(AN$13:AN211)+1),0)</f>
        <v>0</v>
      </c>
      <c r="AP212">
        <f t="shared" si="118"/>
        <v>0</v>
      </c>
      <c r="AQ212">
        <f>IF(AP212&gt;0,IF(MAX(AQ213:AQ$214)+AP212&gt;ROUNDUP(MAX(AQ213:AQ$214),0),ROUNDUP(MAX(AQ213:AQ$214),0)+AP212,MAX(AQ213:AQ$214)+AP212),0)</f>
        <v>0</v>
      </c>
      <c r="AR212">
        <f t="shared" si="124"/>
        <v>0</v>
      </c>
      <c r="AS212">
        <f t="shared" si="119"/>
        <v>0</v>
      </c>
      <c r="AT212">
        <f t="shared" si="120"/>
        <v>10</v>
      </c>
    </row>
    <row r="213" spans="1:47" x14ac:dyDescent="0.25">
      <c r="A213">
        <v>200</v>
      </c>
      <c r="C213" t="str">
        <f>_xlfn.XLOOKUP(A213,Order!R$12:R$859,Order!S$12:S$859,"")</f>
        <v/>
      </c>
      <c r="H213" t="str">
        <f>_xlfn.XLOOKUP(A213,Order!R$12:R$859,Order!B$12:B$859,"")</f>
        <v/>
      </c>
      <c r="J213" t="str">
        <f>IFERROR(RANK(F213,F$14:F$213,1)+COUNTIF(F$14:F213,F213)-1,"")</f>
        <v/>
      </c>
      <c r="L213" t="str">
        <f>IFERROR(L212+N212,"")</f>
        <v/>
      </c>
      <c r="M213" t="str" cm="1">
        <f t="array" ref="M213">_xlfn.XLOOKUP(A213,J$14:J412,B$14:B412,"")</f>
        <v/>
      </c>
      <c r="N213" t="str" cm="1">
        <f t="array" ref="N213">_xlfn.XLOOKUP(A213,J$14:J412,C$14:C412,"")</f>
        <v/>
      </c>
      <c r="O213" t="str" cm="1">
        <f t="array" ref="O213">_xlfn.XLOOKUP(A213,J$14:J412,E$14:E412,"")</f>
        <v/>
      </c>
      <c r="P213" t="str" cm="1">
        <f t="array" ref="P213">_xlfn.XLOOKUP(A213,J$14:J412,G$14:G412,"")</f>
        <v/>
      </c>
      <c r="Q213" t="str" cm="1">
        <f t="array" ref="Q213">_xlfn.XLOOKUP(A213,J$14:J412,F$14:F412,"")</f>
        <v/>
      </c>
      <c r="R213" t="str" cm="1">
        <f t="array" ref="R213">_xlfn.XLOOKUP(A213,J$14:J412,I$14:I412,"")</f>
        <v/>
      </c>
      <c r="S213" t="str" cm="1">
        <f t="array" ref="S213">_xlfn.XLOOKUP(A213,J$14:J412,H$14:H412,"")</f>
        <v/>
      </c>
      <c r="T213" t="str" cm="1">
        <f t="array" ref="T213">VLOOKUP(ROW(200:200),L$14:S$163,8)</f>
        <v/>
      </c>
      <c r="U213" t="str" cm="1">
        <f t="array" ref="U213">VLOOKUP(ROW(200:200),L$14:M$163,2)</f>
        <v/>
      </c>
      <c r="V213" t="str" cm="1">
        <f t="array" ref="V213">VLOOKUP(ROW(200:200),L$14:O$163,4)</f>
        <v/>
      </c>
      <c r="W213" t="str" cm="1">
        <f t="array" ref="W213">VLOOKUP(ROW(200:200),L$14:Q$163,6)</f>
        <v/>
      </c>
      <c r="X213" cm="1">
        <f t="array" ref="X213">IFERROR(VLOOKUP(ROW(200:200),L$14:P$213,5)+0,0)</f>
        <v>0</v>
      </c>
      <c r="Y213" t="str" cm="1">
        <f t="array" ref="Y213">VLOOKUP(ROW(200:200),L$14:R$163,7)</f>
        <v/>
      </c>
      <c r="Z213">
        <f>IF(Y213&lt;-2,X213+MAX(Z$14:Z212),0)</f>
        <v>0</v>
      </c>
      <c r="AA213">
        <f>IFERROR(IF(AND(SUM(AA214:AA$214)+X213&lt;=Z$10,W213&lt;=Z$12,Z213=0),X213,0),0)</f>
        <v>0</v>
      </c>
      <c r="AB213">
        <f>IFERROR(IF(AND(W213&lt;=Z$12+10,AB$12-X213&gt;=0,SUM(Z213:AA213)=0,SUM(AB$14:AB212)+X213&lt;AB$12),X213,0),0)</f>
        <v>0</v>
      </c>
      <c r="AD213">
        <f>IF(AND(Y213=-2,SUM(Z213:AB213)=0),X213+MAX(AD$14:AD212),0)</f>
        <v>0</v>
      </c>
      <c r="AE213">
        <f>IFERROR(IF(AND(SUM(AE214:AE$214)+X213&lt;=AD$10,W213&lt;=AD$12,SUM(Z213:AD213)=0),X213,0),0)</f>
        <v>0</v>
      </c>
      <c r="AF213">
        <f>IFERROR(IF(AND(W213&lt;=AD$12+10,AF$12-X213&gt;=0,SUM(Z213:AE213)=0,SUM(AF$14:AF212)+X213&lt;AF$12),X213,0),0)</f>
        <v>0</v>
      </c>
      <c r="AG213">
        <f t="shared" si="117"/>
        <v>0</v>
      </c>
      <c r="AI213">
        <f t="shared" si="121"/>
        <v>0</v>
      </c>
      <c r="AJ213" s="493">
        <f t="shared" si="125"/>
        <v>0</v>
      </c>
      <c r="AK213">
        <f>IF(AJ213=0,0,IF(AJ212=0,MAX(AK$13:AK212)+1,IF(W213&lt;&gt;W212,MAX(AK$14:AK212)+1,IF(ROUNDDOWN(AJ213-0.01,0)=ROUNDDOWN(AJ212-0.01,0),AK212,AK212+1))))</f>
        <v>0</v>
      </c>
      <c r="AL213">
        <f t="shared" si="122"/>
        <v>0</v>
      </c>
      <c r="AM213">
        <f t="shared" si="123"/>
        <v>0</v>
      </c>
      <c r="AN213">
        <f>IF(AM213&gt;AN$12,IF(AK213=AK212,AN212,MAX(AN$13:AN212)+1),0)</f>
        <v>0</v>
      </c>
      <c r="AP213">
        <f t="shared" si="118"/>
        <v>0</v>
      </c>
      <c r="AQ213">
        <f>IF(AP213&gt;0,IF(MAX(AQ214:AQ$214)+AP213&gt;ROUNDUP(MAX(AQ214:AQ$214),0),ROUNDUP(MAX(AQ214:AQ$214),0)+AP213,MAX(AQ214:AQ$214)+AP213),0)</f>
        <v>0</v>
      </c>
      <c r="AR213">
        <f t="shared" si="124"/>
        <v>0</v>
      </c>
      <c r="AS213">
        <f t="shared" si="119"/>
        <v>0</v>
      </c>
      <c r="AT213">
        <f t="shared" si="120"/>
        <v>10</v>
      </c>
    </row>
    <row r="214" spans="1:47" x14ac:dyDescent="0.25">
      <c r="A214" s="459"/>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v>0</v>
      </c>
      <c r="AB214" s="459"/>
      <c r="AC214" s="459"/>
      <c r="AD214" s="459"/>
      <c r="AE214" s="459"/>
      <c r="AF214" s="459"/>
      <c r="AG214" s="459"/>
      <c r="AH214" s="459"/>
      <c r="AI214" s="459"/>
      <c r="AJ214" s="459"/>
      <c r="AK214" s="459"/>
      <c r="AL214" s="459"/>
      <c r="AM214" s="459"/>
      <c r="AN214" s="459"/>
      <c r="AO214" s="459"/>
      <c r="AP214" s="459"/>
      <c r="AQ214" s="459"/>
      <c r="AR214" s="459"/>
      <c r="AS214" s="459"/>
      <c r="AT214" s="459"/>
      <c r="AU214" s="4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6F80-7317-45AF-A388-C9B7789720A9}">
  <dimension ref="A1:AM212"/>
  <sheetViews>
    <sheetView topLeftCell="N1" workbookViewId="0">
      <selection activeCell="AN85" sqref="AN85"/>
    </sheetView>
  </sheetViews>
  <sheetFormatPr defaultRowHeight="15" x14ac:dyDescent="0.25"/>
  <cols>
    <col min="1" max="1" width="26.7109375" bestFit="1" customWidth="1"/>
    <col min="2" max="2" width="20.85546875" bestFit="1" customWidth="1"/>
    <col min="3" max="3" width="5.5703125" bestFit="1" customWidth="1"/>
    <col min="9" max="9" width="3.7109375" customWidth="1"/>
    <col min="11" max="12" width="47.140625" bestFit="1" customWidth="1"/>
    <col min="16" max="16" width="4.140625" bestFit="1" customWidth="1"/>
    <col min="27" max="27" width="20.85546875" bestFit="1" customWidth="1"/>
    <col min="28" max="28" width="9.5703125" bestFit="1" customWidth="1"/>
    <col min="29" max="29" width="26.7109375" bestFit="1" customWidth="1"/>
    <col min="30" max="31" width="6.85546875" customWidth="1"/>
    <col min="32" max="32" width="7.140625" bestFit="1" customWidth="1"/>
    <col min="33" max="33" width="5.5703125" bestFit="1" customWidth="1"/>
    <col min="34" max="35" width="5.140625" customWidth="1"/>
  </cols>
  <sheetData>
    <row r="1" spans="1:39" ht="15" customHeight="1" x14ac:dyDescent="0.25">
      <c r="Z1">
        <v>160</v>
      </c>
      <c r="AA1" s="1268" t="s">
        <v>1126</v>
      </c>
      <c r="AB1" s="1266">
        <f>Order!D4</f>
        <v>0</v>
      </c>
      <c r="AC1" s="1267"/>
      <c r="AD1" s="531" t="s">
        <v>10</v>
      </c>
      <c r="AE1" s="456">
        <v>1</v>
      </c>
      <c r="AF1" s="456">
        <v>2</v>
      </c>
      <c r="AG1" s="456">
        <v>3</v>
      </c>
      <c r="AH1" s="516">
        <v>4</v>
      </c>
      <c r="AI1" s="532">
        <v>5</v>
      </c>
    </row>
    <row r="2" spans="1:39" ht="13.5" customHeight="1" x14ac:dyDescent="0.25">
      <c r="AA2" s="1268"/>
      <c r="AB2" s="1266"/>
      <c r="AC2" s="1267"/>
      <c r="AD2" s="474" t="s">
        <v>2</v>
      </c>
      <c r="AE2" s="475" t="str">
        <f>COUNT(AE3:AE9)&amp;IF(MAX(AE3:AE9)&gt;29," EXT","")</f>
        <v>0</v>
      </c>
      <c r="AF2" s="475" t="str">
        <f>IF(COUNTIF(AF12:AF211,2)&gt;0,COUNT(AF3:AF9),"")&amp;IF(MAX(AF3:AF9)&gt;29," EXT","")</f>
        <v/>
      </c>
      <c r="AG2" s="475" t="str">
        <f>IF(COUNTIF(AF12:AF211,3)&gt;0,COUNT(AG3:AG9),"")&amp;IF(MAX(AG3:AG9)&gt;29," EXT","")</f>
        <v/>
      </c>
      <c r="AH2" s="492" t="str">
        <f>IF(COUNTIF(AF12:AF211,4)&gt;0,COUNT(AH3:AH9),"")&amp;IF(MAX(AH3:AH9)&gt;29," EXT","")</f>
        <v/>
      </c>
      <c r="AI2" s="476" t="str">
        <f>IF(COUNTIF(AF12:AF211,5)&gt;0,COUNT(AI3:AI9),"")&amp;IF(MAX(AI3:AI9)&gt;29," EXT","")</f>
        <v/>
      </c>
    </row>
    <row r="3" spans="1:39" ht="12.75" customHeight="1" x14ac:dyDescent="0.25">
      <c r="AA3" s="500" t="s">
        <v>1140</v>
      </c>
      <c r="AB3" t="str">
        <f>Order!F6</f>
        <v>18.03.2024</v>
      </c>
      <c r="AD3" s="425">
        <v>1</v>
      </c>
      <c r="AE3" s="465" t="str">
        <f>IF('New order'!BM5&gt;0,'New order'!BM5,"")</f>
        <v/>
      </c>
      <c r="AF3" s="465" t="str">
        <f>IF('New order'!BM15&gt;0,'New order'!BM15,"")</f>
        <v/>
      </c>
      <c r="AG3" s="465" t="str">
        <f>IF('New order'!BM24&gt;0,'New order'!BM24,"")</f>
        <v/>
      </c>
      <c r="AH3" s="465" t="str">
        <f>IF('New order'!BM33&gt;0,'New order'!BM33,"")</f>
        <v/>
      </c>
      <c r="AI3" s="466" t="str">
        <f>IF('New order'!BM42&gt;0,'New order'!BM42,"")</f>
        <v/>
      </c>
    </row>
    <row r="4" spans="1:39" ht="12.75" customHeight="1" x14ac:dyDescent="0.25">
      <c r="AD4" s="463">
        <v>2</v>
      </c>
      <c r="AE4" s="457" t="str">
        <f>IF('New order'!BM6&gt;0,'New order'!BM6,"")</f>
        <v/>
      </c>
      <c r="AF4" s="457" t="str">
        <f>IF('New order'!BM16&gt;0,'New order'!BM16,"")</f>
        <v/>
      </c>
      <c r="AG4" s="457" t="str">
        <f>IF('New order'!BM25&gt;0,'New order'!BM25,"")</f>
        <v/>
      </c>
      <c r="AH4" s="457" t="str">
        <f>IF('New order'!BM34&gt;0,'New order'!BM34,"")</f>
        <v/>
      </c>
      <c r="AI4" s="462" t="str">
        <f>IF('New order'!BM43&gt;0,'New order'!BM43,"")</f>
        <v/>
      </c>
    </row>
    <row r="5" spans="1:39" ht="12.75" customHeight="1" x14ac:dyDescent="0.25">
      <c r="AA5" s="460"/>
      <c r="AD5" s="463">
        <v>3</v>
      </c>
      <c r="AE5" s="457" t="str">
        <f>IF('New order'!BM7&gt;0,'New order'!BM7,"")</f>
        <v/>
      </c>
      <c r="AF5" s="457" t="str">
        <f>IF('New order'!BM17&gt;0,'New order'!BM17,"")</f>
        <v/>
      </c>
      <c r="AG5" s="457" t="str">
        <f>IF('New order'!BM26&gt;0,'New order'!BM26,"")</f>
        <v/>
      </c>
      <c r="AH5" s="457" t="str">
        <f>IF('New order'!BM35&gt;0,'New order'!BM35,"")</f>
        <v/>
      </c>
      <c r="AI5" s="462" t="str">
        <f>IF('New order'!BM44&gt;0,'New order'!BM44,"")</f>
        <v/>
      </c>
    </row>
    <row r="6" spans="1:39" ht="12.75" customHeight="1" x14ac:dyDescent="0.25">
      <c r="AA6" s="460" t="s">
        <v>1127</v>
      </c>
      <c r="AD6" s="463">
        <v>4</v>
      </c>
      <c r="AE6" s="457" t="str">
        <f>IF('New order'!BM8&gt;0,'New order'!BM8,"")</f>
        <v/>
      </c>
      <c r="AF6" s="457" t="str">
        <f>IF('New order'!BM18&gt;0,'New order'!BM18,"")</f>
        <v/>
      </c>
      <c r="AG6" s="457" t="str">
        <f>IF('New order'!BM27&gt;0,'New order'!BM27,"")</f>
        <v/>
      </c>
      <c r="AH6" s="457" t="str">
        <f>IF('New order'!BM36&gt;0,'New order'!BM36,"")</f>
        <v/>
      </c>
      <c r="AI6" s="462" t="str">
        <f>IF('New order'!BM45&gt;0,'New order'!BM45,"")</f>
        <v/>
      </c>
    </row>
    <row r="7" spans="1:39" ht="12.75" customHeight="1" x14ac:dyDescent="0.25">
      <c r="AD7" s="463">
        <v>5</v>
      </c>
      <c r="AE7" s="457" t="str">
        <f>IF('New order'!BM9&gt;0,'New order'!BM9,"")</f>
        <v/>
      </c>
      <c r="AF7" s="457" t="str">
        <f>IF('New order'!BM19&gt;0,'New order'!BM19,"")</f>
        <v/>
      </c>
      <c r="AG7" s="457" t="str">
        <f>IF('New order'!BM28&gt;0,'New order'!BM28,"")</f>
        <v/>
      </c>
      <c r="AH7" s="457" t="str">
        <f>IF('New order'!BM37&gt;0,'New order'!BM37,"")</f>
        <v/>
      </c>
      <c r="AI7" s="462" t="str">
        <f>IF('New order'!BM46&gt;0,'New order'!BM46,"")</f>
        <v/>
      </c>
    </row>
    <row r="8" spans="1:39" ht="12.75" customHeight="1" x14ac:dyDescent="0.25">
      <c r="AD8" s="463">
        <v>6</v>
      </c>
      <c r="AE8" s="457" t="str">
        <f>IF('New order'!BM10&gt;0,'New order'!BM10,"")</f>
        <v/>
      </c>
      <c r="AF8" s="457" t="str">
        <f>IF('New order'!BM20&gt;0,'New order'!BM20,"")</f>
        <v/>
      </c>
      <c r="AG8" s="457" t="str">
        <f>IF('New order'!BM29&gt;0,'New order'!BM29,"")</f>
        <v/>
      </c>
      <c r="AH8" s="457" t="str">
        <f>IF('New order'!BM38&gt;0,'New order'!BM38,"")</f>
        <v/>
      </c>
      <c r="AI8" s="462" t="str">
        <f>IF('New order'!BM47&gt;0,'New order'!BM47,"")</f>
        <v/>
      </c>
    </row>
    <row r="9" spans="1:39" ht="12.75" customHeight="1" x14ac:dyDescent="0.25">
      <c r="AD9" s="464">
        <v>7</v>
      </c>
      <c r="AE9" s="458" t="str">
        <f>IF('New order'!BM11&gt;0,'New order'!BM11,"")</f>
        <v/>
      </c>
      <c r="AF9" s="458" t="str">
        <f>IF('New order'!BM21&gt;0,'New order'!BM21,"")</f>
        <v/>
      </c>
      <c r="AG9" s="458" t="str">
        <f>IF('New order'!BM30&gt;0,'New order'!BM30,"")</f>
        <v/>
      </c>
      <c r="AH9" s="458" t="str">
        <f>IF('New order'!BM39&gt;0,'New order'!BM39,"")</f>
        <v/>
      </c>
      <c r="AI9" s="467" t="str">
        <f>IF('New order'!BM48&gt;0,'New order'!BM48,"")</f>
        <v/>
      </c>
    </row>
    <row r="10" spans="1:39" ht="7.5" customHeight="1" x14ac:dyDescent="0.25"/>
    <row r="11" spans="1:39" x14ac:dyDescent="0.25">
      <c r="A11" t="s">
        <v>919</v>
      </c>
      <c r="B11" t="s">
        <v>1120</v>
      </c>
      <c r="C11" t="s">
        <v>1087</v>
      </c>
      <c r="D11" t="s">
        <v>1104</v>
      </c>
      <c r="E11" t="s">
        <v>10</v>
      </c>
      <c r="F11" t="s">
        <v>1121</v>
      </c>
      <c r="G11" t="s">
        <v>1107</v>
      </c>
      <c r="N11" t="s">
        <v>919</v>
      </c>
      <c r="O11" t="s">
        <v>1120</v>
      </c>
      <c r="P11" t="s">
        <v>1123</v>
      </c>
      <c r="Q11" t="s">
        <v>1122</v>
      </c>
      <c r="R11" t="s">
        <v>10</v>
      </c>
      <c r="S11" t="s">
        <v>1087</v>
      </c>
      <c r="T11" t="s">
        <v>1111</v>
      </c>
      <c r="U11" t="s">
        <v>1857</v>
      </c>
      <c r="Z11" t="s">
        <v>1124</v>
      </c>
      <c r="AA11" s="518" t="s">
        <v>918</v>
      </c>
      <c r="AB11" s="519" t="s">
        <v>1111</v>
      </c>
      <c r="AC11" s="520" t="s">
        <v>919</v>
      </c>
      <c r="AD11" s="1264" t="s">
        <v>1125</v>
      </c>
      <c r="AE11" s="1265"/>
      <c r="AF11" s="520" t="s">
        <v>10</v>
      </c>
      <c r="AG11" s="521" t="s">
        <v>1087</v>
      </c>
      <c r="AH11" s="1269" t="s">
        <v>1128</v>
      </c>
      <c r="AI11" s="1270"/>
    </row>
    <row r="12" spans="1:39" x14ac:dyDescent="0.25">
      <c r="A12" t="str">
        <f>'New order'!U14</f>
        <v/>
      </c>
      <c r="B12" t="str">
        <f>'New order'!V14</f>
        <v/>
      </c>
      <c r="C12">
        <f>'New order'!AT14</f>
        <v>10</v>
      </c>
      <c r="D12" t="str">
        <f>'New order'!Y14</f>
        <v/>
      </c>
      <c r="E12">
        <f>ROUNDDOWN(C12/10,0)</f>
        <v>1</v>
      </c>
      <c r="F12">
        <f>C12-E12*10</f>
        <v>0</v>
      </c>
      <c r="G12" t="str">
        <f>'New order'!T14</f>
        <v/>
      </c>
      <c r="H12">
        <f>COUNTIF(C$12:C12,C12)</f>
        <v>1</v>
      </c>
      <c r="I12">
        <v>1</v>
      </c>
      <c r="J12">
        <f>SUMIFS(I$12:I$211,A$12:A$211,A12,B$12:B$211,B12,C$12:C$211,C12)</f>
        <v>200</v>
      </c>
      <c r="K12" t="str">
        <f t="shared" ref="K12:K75" si="0">IF(A12&lt;&gt;"",A12&amp;B12&amp;C12,"")</f>
        <v/>
      </c>
      <c r="L12" t="str">
        <f>K12</f>
        <v/>
      </c>
      <c r="M12" t="str">
        <f>IF(L12&lt;&gt;"",1,"")</f>
        <v/>
      </c>
      <c r="N12" t="str">
        <f>IF(M12&lt;&gt;"",A12,"")</f>
        <v/>
      </c>
      <c r="O12" t="str">
        <f>IF(M12&lt;&gt;"",B12,"")</f>
        <v/>
      </c>
      <c r="P12" t="str">
        <f>IF(M12&lt;&gt;"",J12,"")</f>
        <v/>
      </c>
      <c r="Q12" t="str">
        <f>IF(M12&lt;&gt;"",G12,"")</f>
        <v/>
      </c>
      <c r="R12" t="str">
        <f>IF(M12&lt;&gt;"",E12,"")</f>
        <v/>
      </c>
      <c r="S12" t="str">
        <f>IF(M12&lt;&gt;"",F12,"")</f>
        <v/>
      </c>
      <c r="T12" t="str">
        <f>IF(M12&lt;&gt;"",D12,"")</f>
        <v/>
      </c>
      <c r="U12">
        <f>_xlfn.XLOOKUP(T12,AL$12:AL$122,AM$12:AM$122,0)</f>
        <v>0</v>
      </c>
      <c r="V12" t="str">
        <f>IFERROR(R12*1000+U12+IF(U12=100,10000,0),"")</f>
        <v/>
      </c>
      <c r="W12" t="str">
        <f>IFERROR(RANK(V12,V$12:V$211,1)+COUNTIF(V$12:V12,V12)-1,"")</f>
        <v/>
      </c>
      <c r="Z12">
        <v>1</v>
      </c>
      <c r="AA12" s="422" t="str">
        <f t="shared" ref="AA12:AA43" si="1">_xlfn.SINGLE(_xlfn.XLOOKUP(Z12,W$12:W$211,O$12:O$211,""))</f>
        <v/>
      </c>
      <c r="AB12" s="498" t="str">
        <f t="shared" ref="AB12:AB43" si="2">_xlfn.SINGLE(_xlfn.XLOOKUP(Z12,W$12:W$211,T$12:T$211,""))</f>
        <v/>
      </c>
      <c r="AC12" s="423" t="str">
        <f>_xlfn.XLOOKUP(Z12,W$12:W$211,N$12:N$211,"")</f>
        <v/>
      </c>
      <c r="AD12" s="470" t="str">
        <f>_xlfn.XLOOKUP(Z12,W$12:W$211,P$12:P$211,"")</f>
        <v/>
      </c>
      <c r="AE12" s="468" t="str">
        <f>_xlfn.XLOOKUP(Z12,W$12:W$211,Q$12:Q$211,"")</f>
        <v/>
      </c>
      <c r="AF12" s="457" t="str">
        <f>_xlfn.XLOOKUP(Z12,W$12:W$211,R$12:R$211,"")</f>
        <v/>
      </c>
      <c r="AG12" s="472" t="str">
        <f>_xlfn.XLOOKUP(Z12,W$12:W$211,S$12:S$211,"")</f>
        <v/>
      </c>
      <c r="AH12" s="490"/>
      <c r="AI12" s="488"/>
      <c r="AL12">
        <v>1</v>
      </c>
      <c r="AM12">
        <v>1</v>
      </c>
    </row>
    <row r="13" spans="1:39" x14ac:dyDescent="0.25">
      <c r="A13" t="str">
        <f>'New order'!U15</f>
        <v/>
      </c>
      <c r="B13" t="str">
        <f>'New order'!V15</f>
        <v/>
      </c>
      <c r="C13">
        <f>'New order'!AT15</f>
        <v>10</v>
      </c>
      <c r="D13" t="str">
        <f>'New order'!Y15</f>
        <v/>
      </c>
      <c r="E13">
        <f t="shared" ref="E13:E76" si="3">ROUNDDOWN(C13/10,0)</f>
        <v>1</v>
      </c>
      <c r="F13">
        <f t="shared" ref="F13:F76" si="4">C13-E13*10</f>
        <v>0</v>
      </c>
      <c r="G13" t="str">
        <f>'New order'!T15</f>
        <v/>
      </c>
      <c r="H13">
        <f>COUNTIF(C$12:C13,C13)</f>
        <v>2</v>
      </c>
      <c r="I13">
        <v>1</v>
      </c>
      <c r="J13">
        <f t="shared" ref="J13:J76" si="5">SUMIFS(I$12:I$211,A$12:A$211,A13,B$12:B$211,B13,C$12:C$211,C13)</f>
        <v>200</v>
      </c>
      <c r="K13" t="str">
        <f t="shared" si="0"/>
        <v/>
      </c>
      <c r="L13" t="str">
        <f>IF(K13=K12,"",K13)</f>
        <v/>
      </c>
      <c r="M13" t="str">
        <f>IF(L13&lt;&gt;"",1+COUNT(M$12:M12),"")</f>
        <v/>
      </c>
      <c r="N13" t="str">
        <f t="shared" ref="N13:N76" si="6">IF(M13&lt;&gt;"",A13,"")</f>
        <v/>
      </c>
      <c r="O13" t="str">
        <f t="shared" ref="O13:O76" si="7">IF(M13&lt;&gt;"",B13,"")</f>
        <v/>
      </c>
      <c r="P13" t="str">
        <f t="shared" ref="P13:P76" si="8">IF(M13&lt;&gt;"",J13,"")</f>
        <v/>
      </c>
      <c r="Q13" t="str">
        <f t="shared" ref="Q13:Q76" si="9">IF(M13&lt;&gt;"",G13,"")</f>
        <v/>
      </c>
      <c r="R13" t="str">
        <f t="shared" ref="R13:R76" si="10">IF(M13&lt;&gt;"",E13,"")</f>
        <v/>
      </c>
      <c r="S13" t="str">
        <f t="shared" ref="S13:S76" si="11">IF(M13&lt;&gt;"",F13,"")</f>
        <v/>
      </c>
      <c r="T13" t="str">
        <f t="shared" ref="T13:T76" si="12">IF(M13&lt;&gt;"",D13,"")</f>
        <v/>
      </c>
      <c r="U13">
        <f t="shared" ref="U13:U76" si="13">_xlfn.XLOOKUP(T13,AL$12:AL$122,AM$12:AM$122,0)</f>
        <v>0</v>
      </c>
      <c r="V13" t="str">
        <f t="shared" ref="V13:V76" si="14">IFERROR(R13*1000+U13+IF(U13=100,10000,0),"")</f>
        <v/>
      </c>
      <c r="W13" t="str">
        <f>IFERROR(RANK(V13,V$12:V$211,1)+COUNTIF(V$12:V13,V13)-1,"")</f>
        <v/>
      </c>
      <c r="Z13">
        <v>2</v>
      </c>
      <c r="AA13" s="522" t="str">
        <f t="shared" si="1"/>
        <v/>
      </c>
      <c r="AB13" s="523" t="str">
        <f t="shared" si="2"/>
        <v/>
      </c>
      <c r="AC13" s="524" t="str">
        <f t="shared" ref="AC13:AC76" si="15">_xlfn.SINGLE(_xlfn.XLOOKUP(Z13,W$12:W$211,N$12:N$211,""))</f>
        <v/>
      </c>
      <c r="AD13" s="525" t="str">
        <f t="shared" ref="AD13:AD76" si="16">_xlfn.SINGLE(_xlfn.XLOOKUP(Z13,W$12:W$211,P$12:P$211,""))</f>
        <v/>
      </c>
      <c r="AE13" s="526" t="str">
        <f t="shared" ref="AE13:AE76" si="17">_xlfn.SINGLE(_xlfn.XLOOKUP(Z13,W$12:W$211,Q$12:Q$211,""))</f>
        <v/>
      </c>
      <c r="AF13" s="527" t="str">
        <f t="shared" ref="AF13:AF76" si="18">_xlfn.SINGLE(_xlfn.XLOOKUP(Z13,W$12:W$211,R$12:R$211,""))</f>
        <v/>
      </c>
      <c r="AG13" s="528" t="str">
        <f t="shared" ref="AG13:AG76" si="19">_xlfn.SINGLE(_xlfn.XLOOKUP(Z13,W$12:W$211,S$12:S$211,""))</f>
        <v/>
      </c>
      <c r="AH13" s="529"/>
      <c r="AI13" s="530"/>
      <c r="AL13">
        <v>2</v>
      </c>
      <c r="AM13">
        <v>3</v>
      </c>
    </row>
    <row r="14" spans="1:39" x14ac:dyDescent="0.25">
      <c r="A14" t="str">
        <f>'New order'!U16</f>
        <v/>
      </c>
      <c r="B14" t="str">
        <f>'New order'!V16</f>
        <v/>
      </c>
      <c r="C14">
        <f>'New order'!AT16</f>
        <v>10</v>
      </c>
      <c r="D14" t="str">
        <f>'New order'!Y16</f>
        <v/>
      </c>
      <c r="E14">
        <f>ROUNDDOWN(C14/10,0)</f>
        <v>1</v>
      </c>
      <c r="F14">
        <f>C14-E14*10</f>
        <v>0</v>
      </c>
      <c r="G14" t="str">
        <f>'New order'!T16</f>
        <v/>
      </c>
      <c r="H14">
        <f>COUNTIF(C$12:C14,C14)</f>
        <v>3</v>
      </c>
      <c r="I14">
        <v>1</v>
      </c>
      <c r="J14">
        <f t="shared" si="5"/>
        <v>200</v>
      </c>
      <c r="K14" t="str">
        <f t="shared" si="0"/>
        <v/>
      </c>
      <c r="L14" t="str">
        <f t="shared" ref="L14:L77" si="20">IF(K14=K13,"",K14)</f>
        <v/>
      </c>
      <c r="M14" t="str">
        <f>IF(L14&lt;&gt;"",1+COUNT(M$12:M13),"")</f>
        <v/>
      </c>
      <c r="N14" t="str">
        <f t="shared" si="6"/>
        <v/>
      </c>
      <c r="O14" t="str">
        <f t="shared" si="7"/>
        <v/>
      </c>
      <c r="P14" t="str">
        <f t="shared" si="8"/>
        <v/>
      </c>
      <c r="Q14" t="str">
        <f t="shared" si="9"/>
        <v/>
      </c>
      <c r="R14" t="str">
        <f t="shared" si="10"/>
        <v/>
      </c>
      <c r="S14" t="str">
        <f t="shared" si="11"/>
        <v/>
      </c>
      <c r="T14" t="str">
        <f t="shared" si="12"/>
        <v/>
      </c>
      <c r="U14">
        <f t="shared" si="13"/>
        <v>0</v>
      </c>
      <c r="V14" t="str">
        <f t="shared" si="14"/>
        <v/>
      </c>
      <c r="W14" t="str">
        <f>IFERROR(RANK(V14,V$12:V$211,1)+COUNTIF(V$12:V14,V14)-1,"")</f>
        <v/>
      </c>
      <c r="Z14">
        <v>3</v>
      </c>
      <c r="AA14" s="422" t="str">
        <f t="shared" si="1"/>
        <v/>
      </c>
      <c r="AB14" s="498" t="str">
        <f t="shared" si="2"/>
        <v/>
      </c>
      <c r="AC14" s="423" t="str">
        <f t="shared" si="15"/>
        <v/>
      </c>
      <c r="AD14" s="470" t="str">
        <f t="shared" si="16"/>
        <v/>
      </c>
      <c r="AE14" s="468" t="str">
        <f t="shared" si="17"/>
        <v/>
      </c>
      <c r="AF14" s="457" t="str">
        <f t="shared" si="18"/>
        <v/>
      </c>
      <c r="AG14" s="472" t="str">
        <f t="shared" si="19"/>
        <v/>
      </c>
      <c r="AH14" s="490"/>
      <c r="AI14" s="488"/>
      <c r="AL14">
        <v>3</v>
      </c>
      <c r="AM14">
        <v>5</v>
      </c>
    </row>
    <row r="15" spans="1:39" x14ac:dyDescent="0.25">
      <c r="A15" t="str">
        <f>'New order'!U17</f>
        <v/>
      </c>
      <c r="B15" t="str">
        <f>'New order'!V17</f>
        <v/>
      </c>
      <c r="C15">
        <f>'New order'!AT17</f>
        <v>10</v>
      </c>
      <c r="D15" t="str">
        <f>'New order'!Y17</f>
        <v/>
      </c>
      <c r="E15">
        <f t="shared" si="3"/>
        <v>1</v>
      </c>
      <c r="F15">
        <f t="shared" si="4"/>
        <v>0</v>
      </c>
      <c r="G15" t="str">
        <f>'New order'!T17</f>
        <v/>
      </c>
      <c r="H15">
        <f>COUNTIF(C$12:C15,C15)</f>
        <v>4</v>
      </c>
      <c r="I15">
        <v>1</v>
      </c>
      <c r="J15">
        <f>SUMIFS(I$12:I$211,A$12:A$211,A15,B$12:B$211,B15,C$12:C$211,C15)</f>
        <v>200</v>
      </c>
      <c r="K15" t="str">
        <f t="shared" si="0"/>
        <v/>
      </c>
      <c r="L15" t="str">
        <f t="shared" si="20"/>
        <v/>
      </c>
      <c r="M15" t="str">
        <f>IF(L15&lt;&gt;"",1+COUNT(M$12:M14),"")</f>
        <v/>
      </c>
      <c r="N15" t="str">
        <f t="shared" si="6"/>
        <v/>
      </c>
      <c r="O15" t="str">
        <f t="shared" si="7"/>
        <v/>
      </c>
      <c r="P15" t="str">
        <f t="shared" si="8"/>
        <v/>
      </c>
      <c r="Q15" t="str">
        <f t="shared" si="9"/>
        <v/>
      </c>
      <c r="R15" t="str">
        <f t="shared" si="10"/>
        <v/>
      </c>
      <c r="S15" t="str">
        <f t="shared" si="11"/>
        <v/>
      </c>
      <c r="T15" t="str">
        <f t="shared" si="12"/>
        <v/>
      </c>
      <c r="U15">
        <f t="shared" si="13"/>
        <v>0</v>
      </c>
      <c r="V15" t="str">
        <f t="shared" si="14"/>
        <v/>
      </c>
      <c r="W15" t="str">
        <f>IFERROR(RANK(V15,V$12:V$211,1)+COUNTIF(V$12:V15,V15)-1,"")</f>
        <v/>
      </c>
      <c r="Z15">
        <v>4</v>
      </c>
      <c r="AA15" s="522" t="str">
        <f t="shared" si="1"/>
        <v/>
      </c>
      <c r="AB15" s="523" t="str">
        <f t="shared" si="2"/>
        <v/>
      </c>
      <c r="AC15" s="524" t="str">
        <f t="shared" si="15"/>
        <v/>
      </c>
      <c r="AD15" s="525" t="str">
        <f t="shared" si="16"/>
        <v/>
      </c>
      <c r="AE15" s="526" t="str">
        <f t="shared" si="17"/>
        <v/>
      </c>
      <c r="AF15" s="527" t="str">
        <f t="shared" si="18"/>
        <v/>
      </c>
      <c r="AG15" s="528" t="str">
        <f t="shared" si="19"/>
        <v/>
      </c>
      <c r="AH15" s="529"/>
      <c r="AI15" s="530"/>
      <c r="AL15">
        <v>4</v>
      </c>
      <c r="AM15">
        <v>7</v>
      </c>
    </row>
    <row r="16" spans="1:39" x14ac:dyDescent="0.25">
      <c r="A16" t="str">
        <f>'New order'!U18</f>
        <v/>
      </c>
      <c r="B16" t="str">
        <f>'New order'!V18</f>
        <v/>
      </c>
      <c r="C16">
        <f>'New order'!AT18</f>
        <v>10</v>
      </c>
      <c r="D16" t="str">
        <f>'New order'!Y18</f>
        <v/>
      </c>
      <c r="E16">
        <f t="shared" si="3"/>
        <v>1</v>
      </c>
      <c r="F16">
        <f t="shared" si="4"/>
        <v>0</v>
      </c>
      <c r="G16" t="str">
        <f>'New order'!T18</f>
        <v/>
      </c>
      <c r="H16">
        <f>COUNTIF(C$12:C16,C16)</f>
        <v>5</v>
      </c>
      <c r="I16">
        <v>1</v>
      </c>
      <c r="J16">
        <f>SUMIFS(I$12:I$211,A$12:A$211,A16,B$12:B$211,B16,C$12:C$211,C16)</f>
        <v>200</v>
      </c>
      <c r="K16" t="str">
        <f t="shared" si="0"/>
        <v/>
      </c>
      <c r="L16" t="str">
        <f t="shared" si="20"/>
        <v/>
      </c>
      <c r="M16" t="str">
        <f>IF(L16&lt;&gt;"",1+COUNT(M$12:M15),"")</f>
        <v/>
      </c>
      <c r="N16" t="str">
        <f t="shared" si="6"/>
        <v/>
      </c>
      <c r="O16" t="str">
        <f t="shared" si="7"/>
        <v/>
      </c>
      <c r="P16" t="str">
        <f t="shared" si="8"/>
        <v/>
      </c>
      <c r="Q16" t="str">
        <f t="shared" si="9"/>
        <v/>
      </c>
      <c r="R16" t="str">
        <f t="shared" si="10"/>
        <v/>
      </c>
      <c r="S16" t="str">
        <f t="shared" si="11"/>
        <v/>
      </c>
      <c r="T16" t="str">
        <f t="shared" si="12"/>
        <v/>
      </c>
      <c r="U16">
        <f t="shared" si="13"/>
        <v>0</v>
      </c>
      <c r="V16" t="str">
        <f t="shared" si="14"/>
        <v/>
      </c>
      <c r="W16" t="str">
        <f>IFERROR(RANK(V16,V$12:V$211,1)+COUNTIF(V$12:V16,V16)-1,"")</f>
        <v/>
      </c>
      <c r="Z16">
        <v>5</v>
      </c>
      <c r="AA16" s="422" t="str">
        <f t="shared" si="1"/>
        <v/>
      </c>
      <c r="AB16" s="498" t="str">
        <f t="shared" si="2"/>
        <v/>
      </c>
      <c r="AC16" s="423" t="str">
        <f t="shared" si="15"/>
        <v/>
      </c>
      <c r="AD16" s="470" t="str">
        <f t="shared" si="16"/>
        <v/>
      </c>
      <c r="AE16" s="468" t="str">
        <f t="shared" si="17"/>
        <v/>
      </c>
      <c r="AF16" s="457" t="str">
        <f t="shared" si="18"/>
        <v/>
      </c>
      <c r="AG16" s="472" t="str">
        <f t="shared" si="19"/>
        <v/>
      </c>
      <c r="AH16" s="490"/>
      <c r="AI16" s="488"/>
      <c r="AL16">
        <v>5</v>
      </c>
      <c r="AM16">
        <v>9</v>
      </c>
    </row>
    <row r="17" spans="1:39" x14ac:dyDescent="0.25">
      <c r="A17" t="str">
        <f>'New order'!U19</f>
        <v/>
      </c>
      <c r="B17" t="str">
        <f>'New order'!V19</f>
        <v/>
      </c>
      <c r="C17">
        <f>'New order'!AT19</f>
        <v>10</v>
      </c>
      <c r="D17" t="str">
        <f>'New order'!Y19</f>
        <v/>
      </c>
      <c r="E17">
        <f t="shared" si="3"/>
        <v>1</v>
      </c>
      <c r="F17">
        <f t="shared" si="4"/>
        <v>0</v>
      </c>
      <c r="G17" t="str">
        <f>'New order'!T19</f>
        <v/>
      </c>
      <c r="H17">
        <f>COUNTIF(C$12:C17,C17)</f>
        <v>6</v>
      </c>
      <c r="I17">
        <v>1</v>
      </c>
      <c r="J17">
        <f t="shared" si="5"/>
        <v>200</v>
      </c>
      <c r="K17" t="str">
        <f t="shared" si="0"/>
        <v/>
      </c>
      <c r="L17" t="str">
        <f t="shared" si="20"/>
        <v/>
      </c>
      <c r="M17" t="str">
        <f>IF(L17&lt;&gt;"",1+COUNT(M$12:M16),"")</f>
        <v/>
      </c>
      <c r="N17" t="str">
        <f t="shared" si="6"/>
        <v/>
      </c>
      <c r="O17" t="str">
        <f t="shared" si="7"/>
        <v/>
      </c>
      <c r="P17" t="str">
        <f t="shared" si="8"/>
        <v/>
      </c>
      <c r="Q17" t="str">
        <f t="shared" si="9"/>
        <v/>
      </c>
      <c r="R17" t="str">
        <f t="shared" si="10"/>
        <v/>
      </c>
      <c r="S17" t="str">
        <f t="shared" si="11"/>
        <v/>
      </c>
      <c r="T17" t="str">
        <f t="shared" si="12"/>
        <v/>
      </c>
      <c r="U17">
        <f t="shared" si="13"/>
        <v>0</v>
      </c>
      <c r="V17" t="str">
        <f t="shared" si="14"/>
        <v/>
      </c>
      <c r="W17" t="str">
        <f>IFERROR(RANK(V17,V$12:V$211,1)+COUNTIF(V$12:V17,V17)-1,"")</f>
        <v/>
      </c>
      <c r="Z17">
        <v>6</v>
      </c>
      <c r="AA17" s="522" t="str">
        <f t="shared" si="1"/>
        <v/>
      </c>
      <c r="AB17" s="523" t="str">
        <f t="shared" si="2"/>
        <v/>
      </c>
      <c r="AC17" s="524" t="str">
        <f t="shared" si="15"/>
        <v/>
      </c>
      <c r="AD17" s="525" t="str">
        <f t="shared" si="16"/>
        <v/>
      </c>
      <c r="AE17" s="526" t="str">
        <f t="shared" si="17"/>
        <v/>
      </c>
      <c r="AF17" s="527" t="str">
        <f t="shared" si="18"/>
        <v/>
      </c>
      <c r="AG17" s="528" t="str">
        <f t="shared" si="19"/>
        <v/>
      </c>
      <c r="AH17" s="529"/>
      <c r="AI17" s="530"/>
      <c r="AL17">
        <v>6</v>
      </c>
      <c r="AM17">
        <v>11</v>
      </c>
    </row>
    <row r="18" spans="1:39" x14ac:dyDescent="0.25">
      <c r="A18" t="str">
        <f>'New order'!U20</f>
        <v/>
      </c>
      <c r="B18" t="str">
        <f>'New order'!V20</f>
        <v/>
      </c>
      <c r="C18">
        <f>'New order'!AT20</f>
        <v>10</v>
      </c>
      <c r="D18" t="str">
        <f>'New order'!Y20</f>
        <v/>
      </c>
      <c r="E18">
        <f t="shared" si="3"/>
        <v>1</v>
      </c>
      <c r="F18">
        <f t="shared" si="4"/>
        <v>0</v>
      </c>
      <c r="G18" t="str">
        <f>'New order'!T20</f>
        <v/>
      </c>
      <c r="H18">
        <f>COUNTIF(C$12:C18,C18)</f>
        <v>7</v>
      </c>
      <c r="I18">
        <v>1</v>
      </c>
      <c r="J18">
        <f t="shared" si="5"/>
        <v>200</v>
      </c>
      <c r="K18" t="str">
        <f t="shared" si="0"/>
        <v/>
      </c>
      <c r="L18" t="str">
        <f t="shared" si="20"/>
        <v/>
      </c>
      <c r="M18" t="str">
        <f>IF(L18&lt;&gt;"",1+COUNT(M$12:M17),"")</f>
        <v/>
      </c>
      <c r="N18" t="str">
        <f t="shared" si="6"/>
        <v/>
      </c>
      <c r="O18" t="str">
        <f t="shared" si="7"/>
        <v/>
      </c>
      <c r="P18" t="str">
        <f t="shared" si="8"/>
        <v/>
      </c>
      <c r="Q18" t="str">
        <f t="shared" si="9"/>
        <v/>
      </c>
      <c r="R18" t="str">
        <f t="shared" si="10"/>
        <v/>
      </c>
      <c r="S18" t="str">
        <f t="shared" si="11"/>
        <v/>
      </c>
      <c r="T18" t="str">
        <f t="shared" si="12"/>
        <v/>
      </c>
      <c r="U18">
        <f t="shared" si="13"/>
        <v>0</v>
      </c>
      <c r="V18" t="str">
        <f t="shared" si="14"/>
        <v/>
      </c>
      <c r="W18" t="str">
        <f>IFERROR(RANK(V18,V$12:V$211,1)+COUNTIF(V$12:V18,V18)-1,"")</f>
        <v/>
      </c>
      <c r="Z18">
        <v>7</v>
      </c>
      <c r="AA18" s="422" t="str">
        <f t="shared" si="1"/>
        <v/>
      </c>
      <c r="AB18" s="498" t="str">
        <f t="shared" si="2"/>
        <v/>
      </c>
      <c r="AC18" s="423" t="str">
        <f t="shared" si="15"/>
        <v/>
      </c>
      <c r="AD18" s="470" t="str">
        <f t="shared" si="16"/>
        <v/>
      </c>
      <c r="AE18" s="468" t="str">
        <f t="shared" si="17"/>
        <v/>
      </c>
      <c r="AF18" s="457" t="str">
        <f t="shared" si="18"/>
        <v/>
      </c>
      <c r="AG18" s="472" t="str">
        <f t="shared" si="19"/>
        <v/>
      </c>
      <c r="AH18" s="490"/>
      <c r="AI18" s="488"/>
      <c r="AL18">
        <v>7</v>
      </c>
      <c r="AM18">
        <v>13</v>
      </c>
    </row>
    <row r="19" spans="1:39" x14ac:dyDescent="0.25">
      <c r="A19" t="str">
        <f>'New order'!U21</f>
        <v/>
      </c>
      <c r="B19" t="str">
        <f>'New order'!V21</f>
        <v/>
      </c>
      <c r="C19">
        <f>'New order'!AT21</f>
        <v>10</v>
      </c>
      <c r="D19" t="str">
        <f>'New order'!Y21</f>
        <v/>
      </c>
      <c r="E19">
        <f t="shared" si="3"/>
        <v>1</v>
      </c>
      <c r="F19">
        <f t="shared" si="4"/>
        <v>0</v>
      </c>
      <c r="G19" t="str">
        <f>'New order'!T21</f>
        <v/>
      </c>
      <c r="H19">
        <f>COUNTIF(C$12:C19,C19)</f>
        <v>8</v>
      </c>
      <c r="I19">
        <v>1</v>
      </c>
      <c r="J19">
        <f t="shared" si="5"/>
        <v>200</v>
      </c>
      <c r="K19" t="str">
        <f t="shared" si="0"/>
        <v/>
      </c>
      <c r="L19" t="str">
        <f t="shared" si="20"/>
        <v/>
      </c>
      <c r="M19" t="str">
        <f>IF(L19&lt;&gt;"",1+COUNT(M$12:M18),"")</f>
        <v/>
      </c>
      <c r="N19" t="str">
        <f t="shared" si="6"/>
        <v/>
      </c>
      <c r="O19" t="str">
        <f t="shared" si="7"/>
        <v/>
      </c>
      <c r="P19" t="str">
        <f t="shared" si="8"/>
        <v/>
      </c>
      <c r="Q19" t="str">
        <f t="shared" si="9"/>
        <v/>
      </c>
      <c r="R19" t="str">
        <f t="shared" si="10"/>
        <v/>
      </c>
      <c r="S19" t="str">
        <f t="shared" si="11"/>
        <v/>
      </c>
      <c r="T19" t="str">
        <f t="shared" si="12"/>
        <v/>
      </c>
      <c r="U19">
        <f t="shared" si="13"/>
        <v>0</v>
      </c>
      <c r="V19" t="str">
        <f t="shared" si="14"/>
        <v/>
      </c>
      <c r="W19" t="str">
        <f>IFERROR(RANK(V19,V$12:V$211,1)+COUNTIF(V$12:V19,V19)-1,"")</f>
        <v/>
      </c>
      <c r="Z19">
        <v>8</v>
      </c>
      <c r="AA19" s="522" t="str">
        <f t="shared" si="1"/>
        <v/>
      </c>
      <c r="AB19" s="523" t="str">
        <f t="shared" si="2"/>
        <v/>
      </c>
      <c r="AC19" s="524" t="str">
        <f>_xlfn.XLOOKUP(Z19,W$12:W$211,N$12:N$211,"")</f>
        <v/>
      </c>
      <c r="AD19" s="525" t="str">
        <f t="shared" si="16"/>
        <v/>
      </c>
      <c r="AE19" s="526" t="str">
        <f t="shared" si="17"/>
        <v/>
      </c>
      <c r="AF19" s="527" t="str">
        <f t="shared" si="18"/>
        <v/>
      </c>
      <c r="AG19" s="528" t="str">
        <f t="shared" si="19"/>
        <v/>
      </c>
      <c r="AH19" s="529"/>
      <c r="AI19" s="530"/>
      <c r="AL19">
        <v>8</v>
      </c>
      <c r="AM19">
        <v>15</v>
      </c>
    </row>
    <row r="20" spans="1:39" x14ac:dyDescent="0.25">
      <c r="A20" t="str">
        <f>'New order'!U22</f>
        <v/>
      </c>
      <c r="B20" t="str">
        <f>'New order'!V22</f>
        <v/>
      </c>
      <c r="C20">
        <f>'New order'!AT22</f>
        <v>10</v>
      </c>
      <c r="D20" t="str">
        <f>'New order'!Y22</f>
        <v/>
      </c>
      <c r="E20">
        <f t="shared" si="3"/>
        <v>1</v>
      </c>
      <c r="F20">
        <f t="shared" si="4"/>
        <v>0</v>
      </c>
      <c r="G20" t="str">
        <f>'New order'!T22</f>
        <v/>
      </c>
      <c r="H20">
        <f>COUNTIF(C$12:C20,C20)</f>
        <v>9</v>
      </c>
      <c r="I20">
        <v>1</v>
      </c>
      <c r="J20">
        <f t="shared" si="5"/>
        <v>200</v>
      </c>
      <c r="K20" t="str">
        <f t="shared" si="0"/>
        <v/>
      </c>
      <c r="L20" t="str">
        <f t="shared" si="20"/>
        <v/>
      </c>
      <c r="M20" t="str">
        <f>IF(L20&lt;&gt;"",1+COUNT(M$12:M19),"")</f>
        <v/>
      </c>
      <c r="N20" t="str">
        <f t="shared" si="6"/>
        <v/>
      </c>
      <c r="O20" t="str">
        <f t="shared" si="7"/>
        <v/>
      </c>
      <c r="P20" t="str">
        <f t="shared" si="8"/>
        <v/>
      </c>
      <c r="Q20" t="str">
        <f t="shared" si="9"/>
        <v/>
      </c>
      <c r="R20" t="str">
        <f t="shared" si="10"/>
        <v/>
      </c>
      <c r="S20" t="str">
        <f t="shared" si="11"/>
        <v/>
      </c>
      <c r="T20" t="str">
        <f t="shared" si="12"/>
        <v/>
      </c>
      <c r="U20">
        <f t="shared" si="13"/>
        <v>0</v>
      </c>
      <c r="V20" t="str">
        <f t="shared" si="14"/>
        <v/>
      </c>
      <c r="W20" t="str">
        <f>IFERROR(RANK(V20,V$12:V$211,1)+COUNTIF(V$12:V20,V20)-1,"")</f>
        <v/>
      </c>
      <c r="Z20">
        <v>9</v>
      </c>
      <c r="AA20" s="422" t="str">
        <f t="shared" si="1"/>
        <v/>
      </c>
      <c r="AB20" s="498" t="str">
        <f t="shared" si="2"/>
        <v/>
      </c>
      <c r="AC20" s="423" t="str">
        <f t="shared" si="15"/>
        <v/>
      </c>
      <c r="AD20" s="470" t="str">
        <f t="shared" si="16"/>
        <v/>
      </c>
      <c r="AE20" s="468" t="str">
        <f t="shared" si="17"/>
        <v/>
      </c>
      <c r="AF20" s="457" t="str">
        <f t="shared" si="18"/>
        <v/>
      </c>
      <c r="AG20" s="472" t="str">
        <f t="shared" si="19"/>
        <v/>
      </c>
      <c r="AH20" s="490"/>
      <c r="AI20" s="488"/>
      <c r="AL20">
        <v>9</v>
      </c>
      <c r="AM20">
        <v>17</v>
      </c>
    </row>
    <row r="21" spans="1:39" x14ac:dyDescent="0.25">
      <c r="A21" t="str">
        <f>'New order'!U23</f>
        <v/>
      </c>
      <c r="B21" t="str">
        <f>'New order'!V23</f>
        <v/>
      </c>
      <c r="C21">
        <f>'New order'!AT23</f>
        <v>10</v>
      </c>
      <c r="D21" t="str">
        <f>'New order'!Y23</f>
        <v/>
      </c>
      <c r="E21">
        <f t="shared" si="3"/>
        <v>1</v>
      </c>
      <c r="F21">
        <f t="shared" si="4"/>
        <v>0</v>
      </c>
      <c r="G21" t="str">
        <f>'New order'!T23</f>
        <v/>
      </c>
      <c r="H21">
        <f>COUNTIF(C$12:C21,C21)</f>
        <v>10</v>
      </c>
      <c r="I21">
        <v>1</v>
      </c>
      <c r="J21">
        <f t="shared" si="5"/>
        <v>200</v>
      </c>
      <c r="K21" t="str">
        <f t="shared" si="0"/>
        <v/>
      </c>
      <c r="L21" t="str">
        <f t="shared" si="20"/>
        <v/>
      </c>
      <c r="M21" t="str">
        <f>IF(L21&lt;&gt;"",1+COUNT(M$12:M20),"")</f>
        <v/>
      </c>
      <c r="N21" t="str">
        <f t="shared" si="6"/>
        <v/>
      </c>
      <c r="O21" t="str">
        <f t="shared" si="7"/>
        <v/>
      </c>
      <c r="P21" t="str">
        <f t="shared" si="8"/>
        <v/>
      </c>
      <c r="Q21" t="str">
        <f t="shared" si="9"/>
        <v/>
      </c>
      <c r="R21" t="str">
        <f t="shared" si="10"/>
        <v/>
      </c>
      <c r="S21" t="str">
        <f t="shared" si="11"/>
        <v/>
      </c>
      <c r="T21" t="str">
        <f t="shared" si="12"/>
        <v/>
      </c>
      <c r="U21">
        <f t="shared" si="13"/>
        <v>0</v>
      </c>
      <c r="V21" t="str">
        <f t="shared" si="14"/>
        <v/>
      </c>
      <c r="W21" t="str">
        <f>IFERROR(RANK(V21,V$12:V$211,1)+COUNTIF(V$12:V21,V21)-1,"")</f>
        <v/>
      </c>
      <c r="Z21">
        <v>10</v>
      </c>
      <c r="AA21" s="522" t="str">
        <f t="shared" si="1"/>
        <v/>
      </c>
      <c r="AB21" s="523" t="str">
        <f t="shared" si="2"/>
        <v/>
      </c>
      <c r="AC21" s="524" t="str">
        <f t="shared" si="15"/>
        <v/>
      </c>
      <c r="AD21" s="525" t="str">
        <f t="shared" si="16"/>
        <v/>
      </c>
      <c r="AE21" s="526" t="str">
        <f t="shared" si="17"/>
        <v/>
      </c>
      <c r="AF21" s="527" t="str">
        <f t="shared" si="18"/>
        <v/>
      </c>
      <c r="AG21" s="528" t="str">
        <f t="shared" si="19"/>
        <v/>
      </c>
      <c r="AH21" s="529"/>
      <c r="AI21" s="530"/>
      <c r="AL21">
        <v>10</v>
      </c>
      <c r="AM21">
        <v>19</v>
      </c>
    </row>
    <row r="22" spans="1:39" x14ac:dyDescent="0.25">
      <c r="A22" t="str">
        <f>'New order'!U24</f>
        <v/>
      </c>
      <c r="B22" t="str">
        <f>'New order'!V24</f>
        <v/>
      </c>
      <c r="C22">
        <f>'New order'!AT24</f>
        <v>10</v>
      </c>
      <c r="D22" t="str">
        <f>'New order'!Y24</f>
        <v/>
      </c>
      <c r="E22">
        <f t="shared" si="3"/>
        <v>1</v>
      </c>
      <c r="F22">
        <f t="shared" si="4"/>
        <v>0</v>
      </c>
      <c r="G22" t="str">
        <f>'New order'!T24</f>
        <v/>
      </c>
      <c r="H22">
        <f>COUNTIF(C$12:C22,C22)</f>
        <v>11</v>
      </c>
      <c r="I22">
        <v>1</v>
      </c>
      <c r="J22">
        <f t="shared" si="5"/>
        <v>200</v>
      </c>
      <c r="K22" t="str">
        <f t="shared" si="0"/>
        <v/>
      </c>
      <c r="L22" t="str">
        <f t="shared" si="20"/>
        <v/>
      </c>
      <c r="M22" t="str">
        <f>IF(L22&lt;&gt;"",1+COUNT(M$12:M21),"")</f>
        <v/>
      </c>
      <c r="N22" t="str">
        <f t="shared" si="6"/>
        <v/>
      </c>
      <c r="O22" t="str">
        <f t="shared" si="7"/>
        <v/>
      </c>
      <c r="P22" t="str">
        <f t="shared" si="8"/>
        <v/>
      </c>
      <c r="Q22" t="str">
        <f t="shared" si="9"/>
        <v/>
      </c>
      <c r="R22" t="str">
        <f t="shared" si="10"/>
        <v/>
      </c>
      <c r="S22" t="str">
        <f t="shared" si="11"/>
        <v/>
      </c>
      <c r="T22" t="str">
        <f t="shared" si="12"/>
        <v/>
      </c>
      <c r="U22">
        <f t="shared" si="13"/>
        <v>0</v>
      </c>
      <c r="V22" t="str">
        <f t="shared" si="14"/>
        <v/>
      </c>
      <c r="W22" t="str">
        <f>IFERROR(RANK(V22,V$12:V$211,1)+COUNTIF(V$12:V22,V22)-1,"")</f>
        <v/>
      </c>
      <c r="Z22">
        <v>11</v>
      </c>
      <c r="AA22" s="422" t="str">
        <f t="shared" si="1"/>
        <v/>
      </c>
      <c r="AB22" s="498" t="str">
        <f t="shared" si="2"/>
        <v/>
      </c>
      <c r="AC22" s="423" t="str">
        <f t="shared" si="15"/>
        <v/>
      </c>
      <c r="AD22" s="470" t="str">
        <f t="shared" si="16"/>
        <v/>
      </c>
      <c r="AE22" s="468" t="str">
        <f t="shared" si="17"/>
        <v/>
      </c>
      <c r="AF22" s="457" t="str">
        <f t="shared" si="18"/>
        <v/>
      </c>
      <c r="AG22" s="472" t="str">
        <f t="shared" si="19"/>
        <v/>
      </c>
      <c r="AH22" s="490"/>
      <c r="AI22" s="488"/>
      <c r="AL22">
        <v>11</v>
      </c>
      <c r="AM22">
        <v>21</v>
      </c>
    </row>
    <row r="23" spans="1:39" x14ac:dyDescent="0.25">
      <c r="A23" t="str">
        <f>'New order'!U25</f>
        <v/>
      </c>
      <c r="B23" t="str">
        <f>'New order'!V25</f>
        <v/>
      </c>
      <c r="C23">
        <f>'New order'!AT25</f>
        <v>10</v>
      </c>
      <c r="D23" t="str">
        <f>'New order'!Y25</f>
        <v/>
      </c>
      <c r="E23">
        <f t="shared" si="3"/>
        <v>1</v>
      </c>
      <c r="F23">
        <f t="shared" si="4"/>
        <v>0</v>
      </c>
      <c r="G23" t="str">
        <f>'New order'!T25</f>
        <v/>
      </c>
      <c r="H23">
        <f>COUNTIF(C$12:C23,C23)</f>
        <v>12</v>
      </c>
      <c r="I23">
        <v>1</v>
      </c>
      <c r="J23">
        <f t="shared" si="5"/>
        <v>200</v>
      </c>
      <c r="K23" t="str">
        <f t="shared" si="0"/>
        <v/>
      </c>
      <c r="L23" t="str">
        <f t="shared" si="20"/>
        <v/>
      </c>
      <c r="M23" t="str">
        <f>IF(L23&lt;&gt;"",1+COUNT(M$12:M22),"")</f>
        <v/>
      </c>
      <c r="N23" t="str">
        <f t="shared" si="6"/>
        <v/>
      </c>
      <c r="O23" t="str">
        <f t="shared" si="7"/>
        <v/>
      </c>
      <c r="P23" t="str">
        <f t="shared" si="8"/>
        <v/>
      </c>
      <c r="Q23" t="str">
        <f t="shared" si="9"/>
        <v/>
      </c>
      <c r="R23" t="str">
        <f t="shared" si="10"/>
        <v/>
      </c>
      <c r="S23" t="str">
        <f t="shared" si="11"/>
        <v/>
      </c>
      <c r="T23" t="str">
        <f t="shared" si="12"/>
        <v/>
      </c>
      <c r="U23">
        <f t="shared" si="13"/>
        <v>0</v>
      </c>
      <c r="V23" t="str">
        <f t="shared" si="14"/>
        <v/>
      </c>
      <c r="W23" t="str">
        <f>IFERROR(RANK(V23,V$12:V$211,1)+COUNTIF(V$12:V23,V23)-1,"")</f>
        <v/>
      </c>
      <c r="Z23">
        <v>12</v>
      </c>
      <c r="AA23" s="522" t="str">
        <f t="shared" si="1"/>
        <v/>
      </c>
      <c r="AB23" s="523" t="str">
        <f t="shared" si="2"/>
        <v/>
      </c>
      <c r="AC23" s="524" t="str">
        <f t="shared" si="15"/>
        <v/>
      </c>
      <c r="AD23" s="525" t="str">
        <f t="shared" si="16"/>
        <v/>
      </c>
      <c r="AE23" s="526" t="str">
        <f t="shared" si="17"/>
        <v/>
      </c>
      <c r="AF23" s="527" t="str">
        <f t="shared" si="18"/>
        <v/>
      </c>
      <c r="AG23" s="528" t="str">
        <f t="shared" si="19"/>
        <v/>
      </c>
      <c r="AH23" s="529"/>
      <c r="AI23" s="530"/>
      <c r="AL23">
        <v>12</v>
      </c>
      <c r="AM23">
        <v>23</v>
      </c>
    </row>
    <row r="24" spans="1:39" x14ac:dyDescent="0.25">
      <c r="A24" t="str">
        <f>'New order'!U26</f>
        <v/>
      </c>
      <c r="B24" t="str">
        <f>'New order'!V26</f>
        <v/>
      </c>
      <c r="C24">
        <f>'New order'!AT26</f>
        <v>10</v>
      </c>
      <c r="D24" t="str">
        <f>'New order'!Y26</f>
        <v/>
      </c>
      <c r="E24">
        <f t="shared" si="3"/>
        <v>1</v>
      </c>
      <c r="F24">
        <f t="shared" si="4"/>
        <v>0</v>
      </c>
      <c r="G24" t="str">
        <f>'New order'!T26</f>
        <v/>
      </c>
      <c r="H24">
        <f>COUNTIF(C$12:C24,C24)</f>
        <v>13</v>
      </c>
      <c r="I24">
        <v>1</v>
      </c>
      <c r="J24">
        <f t="shared" si="5"/>
        <v>200</v>
      </c>
      <c r="K24" t="str">
        <f t="shared" si="0"/>
        <v/>
      </c>
      <c r="L24" t="str">
        <f t="shared" si="20"/>
        <v/>
      </c>
      <c r="M24" t="str">
        <f>IF(L24&lt;&gt;"",1+COUNT(M$12:M23),"")</f>
        <v/>
      </c>
      <c r="N24" t="str">
        <f t="shared" si="6"/>
        <v/>
      </c>
      <c r="O24" t="str">
        <f t="shared" si="7"/>
        <v/>
      </c>
      <c r="P24" t="str">
        <f t="shared" si="8"/>
        <v/>
      </c>
      <c r="Q24" t="str">
        <f t="shared" si="9"/>
        <v/>
      </c>
      <c r="R24" t="str">
        <f t="shared" si="10"/>
        <v/>
      </c>
      <c r="S24" t="str">
        <f t="shared" si="11"/>
        <v/>
      </c>
      <c r="T24" t="str">
        <f t="shared" si="12"/>
        <v/>
      </c>
      <c r="U24">
        <f t="shared" si="13"/>
        <v>0</v>
      </c>
      <c r="V24" t="str">
        <f t="shared" si="14"/>
        <v/>
      </c>
      <c r="W24" t="str">
        <f>IFERROR(RANK(V24,V$12:V$211,1)+COUNTIF(V$12:V24,V24)-1,"")</f>
        <v/>
      </c>
      <c r="Z24">
        <v>13</v>
      </c>
      <c r="AA24" s="422" t="str">
        <f t="shared" si="1"/>
        <v/>
      </c>
      <c r="AB24" s="498" t="str">
        <f t="shared" si="2"/>
        <v/>
      </c>
      <c r="AC24" s="423" t="str">
        <f t="shared" si="15"/>
        <v/>
      </c>
      <c r="AD24" s="470" t="str">
        <f t="shared" si="16"/>
        <v/>
      </c>
      <c r="AE24" s="468" t="str">
        <f t="shared" si="17"/>
        <v/>
      </c>
      <c r="AF24" s="457" t="str">
        <f t="shared" si="18"/>
        <v/>
      </c>
      <c r="AG24" s="472" t="str">
        <f t="shared" si="19"/>
        <v/>
      </c>
      <c r="AH24" s="490"/>
      <c r="AI24" s="488"/>
      <c r="AL24">
        <v>13</v>
      </c>
      <c r="AM24">
        <v>25</v>
      </c>
    </row>
    <row r="25" spans="1:39" x14ac:dyDescent="0.25">
      <c r="A25" t="str">
        <f>'New order'!U27</f>
        <v/>
      </c>
      <c r="B25" t="str">
        <f>'New order'!V27</f>
        <v/>
      </c>
      <c r="C25">
        <f>'New order'!AT27</f>
        <v>10</v>
      </c>
      <c r="D25" t="str">
        <f>'New order'!Y27</f>
        <v/>
      </c>
      <c r="E25">
        <f t="shared" si="3"/>
        <v>1</v>
      </c>
      <c r="F25">
        <f t="shared" si="4"/>
        <v>0</v>
      </c>
      <c r="G25" t="str">
        <f>'New order'!T27</f>
        <v/>
      </c>
      <c r="H25">
        <f>COUNTIF(C$12:C25,C25)</f>
        <v>14</v>
      </c>
      <c r="I25">
        <v>1</v>
      </c>
      <c r="J25">
        <f t="shared" si="5"/>
        <v>200</v>
      </c>
      <c r="K25" t="str">
        <f t="shared" si="0"/>
        <v/>
      </c>
      <c r="L25" t="str">
        <f t="shared" si="20"/>
        <v/>
      </c>
      <c r="M25" t="str">
        <f>IF(L25&lt;&gt;"",1+COUNT(M$12:M24),"")</f>
        <v/>
      </c>
      <c r="N25" t="str">
        <f t="shared" si="6"/>
        <v/>
      </c>
      <c r="O25" t="str">
        <f t="shared" si="7"/>
        <v/>
      </c>
      <c r="P25" t="str">
        <f t="shared" si="8"/>
        <v/>
      </c>
      <c r="Q25" t="str">
        <f t="shared" si="9"/>
        <v/>
      </c>
      <c r="R25" t="str">
        <f t="shared" si="10"/>
        <v/>
      </c>
      <c r="S25" t="str">
        <f t="shared" si="11"/>
        <v/>
      </c>
      <c r="T25" t="str">
        <f t="shared" si="12"/>
        <v/>
      </c>
      <c r="U25">
        <f t="shared" si="13"/>
        <v>0</v>
      </c>
      <c r="V25" t="str">
        <f t="shared" si="14"/>
        <v/>
      </c>
      <c r="W25" t="str">
        <f>IFERROR(RANK(V25,V$12:V$211,1)+COUNTIF(V$12:V25,V25)-1,"")</f>
        <v/>
      </c>
      <c r="Z25">
        <v>14</v>
      </c>
      <c r="AA25" s="522" t="str">
        <f t="shared" si="1"/>
        <v/>
      </c>
      <c r="AB25" s="523" t="str">
        <f t="shared" si="2"/>
        <v/>
      </c>
      <c r="AC25" s="524" t="str">
        <f t="shared" si="15"/>
        <v/>
      </c>
      <c r="AD25" s="525" t="str">
        <f t="shared" si="16"/>
        <v/>
      </c>
      <c r="AE25" s="526" t="str">
        <f t="shared" si="17"/>
        <v/>
      </c>
      <c r="AF25" s="527" t="str">
        <f t="shared" si="18"/>
        <v/>
      </c>
      <c r="AG25" s="528" t="str">
        <f t="shared" si="19"/>
        <v/>
      </c>
      <c r="AH25" s="529"/>
      <c r="AI25" s="530"/>
      <c r="AL25">
        <v>14</v>
      </c>
      <c r="AM25">
        <v>27</v>
      </c>
    </row>
    <row r="26" spans="1:39" x14ac:dyDescent="0.25">
      <c r="A26" t="str">
        <f>'New order'!U28</f>
        <v/>
      </c>
      <c r="B26" t="str">
        <f>'New order'!V28</f>
        <v/>
      </c>
      <c r="C26">
        <f>'New order'!AT28</f>
        <v>10</v>
      </c>
      <c r="D26" t="str">
        <f>'New order'!Y28</f>
        <v/>
      </c>
      <c r="E26">
        <f t="shared" si="3"/>
        <v>1</v>
      </c>
      <c r="F26">
        <f t="shared" si="4"/>
        <v>0</v>
      </c>
      <c r="G26" t="str">
        <f>'New order'!T28</f>
        <v/>
      </c>
      <c r="H26">
        <f>COUNTIF(C$12:C26,C26)</f>
        <v>15</v>
      </c>
      <c r="I26">
        <v>1</v>
      </c>
      <c r="J26">
        <f t="shared" si="5"/>
        <v>200</v>
      </c>
      <c r="K26" t="str">
        <f t="shared" si="0"/>
        <v/>
      </c>
      <c r="L26" t="str">
        <f t="shared" si="20"/>
        <v/>
      </c>
      <c r="M26" t="str">
        <f>IF(L26&lt;&gt;"",1+COUNT(M$12:M25),"")</f>
        <v/>
      </c>
      <c r="N26" t="str">
        <f t="shared" si="6"/>
        <v/>
      </c>
      <c r="O26" t="str">
        <f t="shared" si="7"/>
        <v/>
      </c>
      <c r="P26" t="str">
        <f t="shared" si="8"/>
        <v/>
      </c>
      <c r="Q26" t="str">
        <f t="shared" si="9"/>
        <v/>
      </c>
      <c r="R26" t="str">
        <f t="shared" si="10"/>
        <v/>
      </c>
      <c r="S26" t="str">
        <f t="shared" si="11"/>
        <v/>
      </c>
      <c r="T26" t="str">
        <f t="shared" si="12"/>
        <v/>
      </c>
      <c r="U26">
        <f t="shared" si="13"/>
        <v>0</v>
      </c>
      <c r="V26" t="str">
        <f t="shared" si="14"/>
        <v/>
      </c>
      <c r="W26" t="str">
        <f>IFERROR(RANK(V26,V$12:V$211,1)+COUNTIF(V$12:V26,V26)-1,"")</f>
        <v/>
      </c>
      <c r="Z26">
        <v>15</v>
      </c>
      <c r="AA26" s="422" t="str">
        <f t="shared" si="1"/>
        <v/>
      </c>
      <c r="AB26" s="498" t="str">
        <f t="shared" si="2"/>
        <v/>
      </c>
      <c r="AC26" s="423" t="str">
        <f t="shared" si="15"/>
        <v/>
      </c>
      <c r="AD26" s="470" t="str">
        <f t="shared" si="16"/>
        <v/>
      </c>
      <c r="AE26" s="468" t="str">
        <f t="shared" si="17"/>
        <v/>
      </c>
      <c r="AF26" s="457" t="str">
        <f t="shared" si="18"/>
        <v/>
      </c>
      <c r="AG26" s="472" t="str">
        <f t="shared" si="19"/>
        <v/>
      </c>
      <c r="AH26" s="490"/>
      <c r="AI26" s="488"/>
      <c r="AL26">
        <v>15</v>
      </c>
      <c r="AM26">
        <v>29</v>
      </c>
    </row>
    <row r="27" spans="1:39" x14ac:dyDescent="0.25">
      <c r="A27" t="str">
        <f>'New order'!U29</f>
        <v/>
      </c>
      <c r="B27" t="str">
        <f>'New order'!V29</f>
        <v/>
      </c>
      <c r="C27">
        <f>'New order'!AT29</f>
        <v>10</v>
      </c>
      <c r="D27" t="str">
        <f>'New order'!Y29</f>
        <v/>
      </c>
      <c r="E27">
        <f t="shared" si="3"/>
        <v>1</v>
      </c>
      <c r="F27">
        <f t="shared" si="4"/>
        <v>0</v>
      </c>
      <c r="G27" t="str">
        <f>'New order'!T29</f>
        <v/>
      </c>
      <c r="H27">
        <f>COUNTIF(C$12:C27,C27)</f>
        <v>16</v>
      </c>
      <c r="I27">
        <v>1</v>
      </c>
      <c r="J27">
        <f t="shared" si="5"/>
        <v>200</v>
      </c>
      <c r="K27" t="str">
        <f t="shared" si="0"/>
        <v/>
      </c>
      <c r="L27" t="str">
        <f t="shared" si="20"/>
        <v/>
      </c>
      <c r="M27" t="str">
        <f>IF(L27&lt;&gt;"",1+COUNT(M$12:M26),"")</f>
        <v/>
      </c>
      <c r="N27" t="str">
        <f t="shared" si="6"/>
        <v/>
      </c>
      <c r="O27" t="str">
        <f t="shared" si="7"/>
        <v/>
      </c>
      <c r="P27" t="str">
        <f t="shared" si="8"/>
        <v/>
      </c>
      <c r="Q27" t="str">
        <f t="shared" si="9"/>
        <v/>
      </c>
      <c r="R27" t="str">
        <f t="shared" si="10"/>
        <v/>
      </c>
      <c r="S27" t="str">
        <f t="shared" si="11"/>
        <v/>
      </c>
      <c r="T27" t="str">
        <f t="shared" si="12"/>
        <v/>
      </c>
      <c r="U27">
        <f t="shared" si="13"/>
        <v>0</v>
      </c>
      <c r="V27" t="str">
        <f t="shared" si="14"/>
        <v/>
      </c>
      <c r="W27" t="str">
        <f>IFERROR(RANK(V27,V$12:V$211,1)+COUNTIF(V$12:V27,V27)-1,"")</f>
        <v/>
      </c>
      <c r="Z27">
        <v>16</v>
      </c>
      <c r="AA27" s="522" t="str">
        <f t="shared" si="1"/>
        <v/>
      </c>
      <c r="AB27" s="523" t="str">
        <f t="shared" si="2"/>
        <v/>
      </c>
      <c r="AC27" s="524" t="str">
        <f t="shared" si="15"/>
        <v/>
      </c>
      <c r="AD27" s="525" t="str">
        <f t="shared" si="16"/>
        <v/>
      </c>
      <c r="AE27" s="526" t="str">
        <f t="shared" si="17"/>
        <v/>
      </c>
      <c r="AF27" s="527" t="str">
        <f t="shared" si="18"/>
        <v/>
      </c>
      <c r="AG27" s="528" t="str">
        <f t="shared" si="19"/>
        <v/>
      </c>
      <c r="AH27" s="529"/>
      <c r="AI27" s="530"/>
      <c r="AL27">
        <v>16</v>
      </c>
    </row>
    <row r="28" spans="1:39" x14ac:dyDescent="0.25">
      <c r="A28" t="str">
        <f>'New order'!U30</f>
        <v/>
      </c>
      <c r="B28" t="str">
        <f>'New order'!V30</f>
        <v/>
      </c>
      <c r="C28">
        <f>'New order'!AT30</f>
        <v>10</v>
      </c>
      <c r="D28" t="str">
        <f>'New order'!Y30</f>
        <v/>
      </c>
      <c r="E28">
        <f t="shared" si="3"/>
        <v>1</v>
      </c>
      <c r="F28">
        <f t="shared" si="4"/>
        <v>0</v>
      </c>
      <c r="G28" t="str">
        <f>'New order'!T30</f>
        <v/>
      </c>
      <c r="H28">
        <f>COUNTIF(C$12:C28,C28)</f>
        <v>17</v>
      </c>
      <c r="I28">
        <v>1</v>
      </c>
      <c r="J28">
        <f t="shared" si="5"/>
        <v>200</v>
      </c>
      <c r="K28" t="str">
        <f t="shared" si="0"/>
        <v/>
      </c>
      <c r="L28" t="str">
        <f t="shared" si="20"/>
        <v/>
      </c>
      <c r="M28" t="str">
        <f>IF(L28&lt;&gt;"",1+COUNT(M$12:M27),"")</f>
        <v/>
      </c>
      <c r="N28" t="str">
        <f t="shared" si="6"/>
        <v/>
      </c>
      <c r="O28" t="str">
        <f t="shared" si="7"/>
        <v/>
      </c>
      <c r="P28" t="str">
        <f t="shared" si="8"/>
        <v/>
      </c>
      <c r="Q28" t="str">
        <f t="shared" si="9"/>
        <v/>
      </c>
      <c r="R28" t="str">
        <f t="shared" si="10"/>
        <v/>
      </c>
      <c r="S28" t="str">
        <f t="shared" si="11"/>
        <v/>
      </c>
      <c r="T28" t="str">
        <f t="shared" si="12"/>
        <v/>
      </c>
      <c r="U28">
        <f t="shared" si="13"/>
        <v>0</v>
      </c>
      <c r="V28" t="str">
        <f t="shared" si="14"/>
        <v/>
      </c>
      <c r="W28" t="str">
        <f>IFERROR(RANK(V28,V$12:V$211,1)+COUNTIF(V$12:V28,V28)-1,"")</f>
        <v/>
      </c>
      <c r="Z28">
        <v>17</v>
      </c>
      <c r="AA28" s="422" t="str">
        <f t="shared" si="1"/>
        <v/>
      </c>
      <c r="AB28" s="498" t="str">
        <f t="shared" si="2"/>
        <v/>
      </c>
      <c r="AC28" s="423" t="str">
        <f t="shared" si="15"/>
        <v/>
      </c>
      <c r="AD28" s="470" t="str">
        <f>_xlfn.XLOOKUP(Z28,W$12:W$211,P$12:P$211,"")</f>
        <v/>
      </c>
      <c r="AE28" s="468" t="str">
        <f t="shared" si="17"/>
        <v/>
      </c>
      <c r="AF28" s="457" t="str">
        <f t="shared" si="18"/>
        <v/>
      </c>
      <c r="AG28" s="472" t="str">
        <f t="shared" si="19"/>
        <v/>
      </c>
      <c r="AH28" s="490"/>
      <c r="AI28" s="488"/>
      <c r="AL28">
        <v>17</v>
      </c>
    </row>
    <row r="29" spans="1:39" x14ac:dyDescent="0.25">
      <c r="A29" t="str">
        <f>'New order'!U31</f>
        <v/>
      </c>
      <c r="B29" t="str">
        <f>'New order'!V31</f>
        <v/>
      </c>
      <c r="C29">
        <f>'New order'!AT31</f>
        <v>10</v>
      </c>
      <c r="D29" t="str">
        <f>'New order'!Y31</f>
        <v/>
      </c>
      <c r="E29">
        <f t="shared" si="3"/>
        <v>1</v>
      </c>
      <c r="F29">
        <f t="shared" si="4"/>
        <v>0</v>
      </c>
      <c r="G29" t="str">
        <f>'New order'!T31</f>
        <v/>
      </c>
      <c r="H29">
        <f>COUNTIF(C$12:C29,C29)</f>
        <v>18</v>
      </c>
      <c r="I29">
        <v>1</v>
      </c>
      <c r="J29">
        <f t="shared" si="5"/>
        <v>200</v>
      </c>
      <c r="K29" t="str">
        <f t="shared" si="0"/>
        <v/>
      </c>
      <c r="L29" t="str">
        <f t="shared" si="20"/>
        <v/>
      </c>
      <c r="M29" t="str">
        <f>IF(L29&lt;&gt;"",1+COUNT(M$12:M28),"")</f>
        <v/>
      </c>
      <c r="N29" t="str">
        <f t="shared" si="6"/>
        <v/>
      </c>
      <c r="O29" t="str">
        <f t="shared" si="7"/>
        <v/>
      </c>
      <c r="P29" t="str">
        <f t="shared" si="8"/>
        <v/>
      </c>
      <c r="Q29" t="str">
        <f t="shared" si="9"/>
        <v/>
      </c>
      <c r="R29" t="str">
        <f t="shared" si="10"/>
        <v/>
      </c>
      <c r="S29" t="str">
        <f t="shared" si="11"/>
        <v/>
      </c>
      <c r="T29" t="str">
        <f t="shared" si="12"/>
        <v/>
      </c>
      <c r="U29">
        <f t="shared" si="13"/>
        <v>0</v>
      </c>
      <c r="V29" t="str">
        <f t="shared" si="14"/>
        <v/>
      </c>
      <c r="W29" t="str">
        <f>IFERROR(RANK(V29,V$12:V$211,1)+COUNTIF(V$12:V29,V29)-1,"")</f>
        <v/>
      </c>
      <c r="Z29">
        <v>18</v>
      </c>
      <c r="AA29" s="522" t="str">
        <f t="shared" si="1"/>
        <v/>
      </c>
      <c r="AB29" s="523" t="str">
        <f t="shared" si="2"/>
        <v/>
      </c>
      <c r="AC29" s="524" t="str">
        <f t="shared" si="15"/>
        <v/>
      </c>
      <c r="AD29" s="525" t="str">
        <f t="shared" si="16"/>
        <v/>
      </c>
      <c r="AE29" s="526" t="str">
        <f t="shared" si="17"/>
        <v/>
      </c>
      <c r="AF29" s="527" t="str">
        <f t="shared" si="18"/>
        <v/>
      </c>
      <c r="AG29" s="528" t="str">
        <f t="shared" si="19"/>
        <v/>
      </c>
      <c r="AH29" s="529"/>
      <c r="AI29" s="530"/>
      <c r="AL29">
        <v>18</v>
      </c>
    </row>
    <row r="30" spans="1:39" x14ac:dyDescent="0.25">
      <c r="A30" t="str">
        <f>'New order'!U32</f>
        <v/>
      </c>
      <c r="B30" t="str">
        <f>'New order'!V32</f>
        <v/>
      </c>
      <c r="C30">
        <f>'New order'!AT32</f>
        <v>10</v>
      </c>
      <c r="D30" t="str">
        <f>'New order'!Y32</f>
        <v/>
      </c>
      <c r="E30">
        <f t="shared" si="3"/>
        <v>1</v>
      </c>
      <c r="F30">
        <f t="shared" si="4"/>
        <v>0</v>
      </c>
      <c r="G30" t="str">
        <f>'New order'!T32</f>
        <v/>
      </c>
      <c r="H30">
        <f>COUNTIF(C$12:C30,C30)</f>
        <v>19</v>
      </c>
      <c r="I30">
        <v>1</v>
      </c>
      <c r="J30">
        <f t="shared" si="5"/>
        <v>200</v>
      </c>
      <c r="K30" t="str">
        <f t="shared" si="0"/>
        <v/>
      </c>
      <c r="L30" t="str">
        <f t="shared" si="20"/>
        <v/>
      </c>
      <c r="M30" t="str">
        <f>IF(L30&lt;&gt;"",1+COUNT(M$12:M29),"")</f>
        <v/>
      </c>
      <c r="N30" t="str">
        <f t="shared" si="6"/>
        <v/>
      </c>
      <c r="O30" t="str">
        <f t="shared" si="7"/>
        <v/>
      </c>
      <c r="P30" t="str">
        <f t="shared" si="8"/>
        <v/>
      </c>
      <c r="Q30" t="str">
        <f t="shared" si="9"/>
        <v/>
      </c>
      <c r="R30" t="str">
        <f t="shared" si="10"/>
        <v/>
      </c>
      <c r="S30" t="str">
        <f t="shared" si="11"/>
        <v/>
      </c>
      <c r="T30" t="str">
        <f t="shared" si="12"/>
        <v/>
      </c>
      <c r="U30">
        <f t="shared" si="13"/>
        <v>0</v>
      </c>
      <c r="V30" t="str">
        <f t="shared" si="14"/>
        <v/>
      </c>
      <c r="W30" t="str">
        <f>IFERROR(RANK(V30,V$12:V$211,1)+COUNTIF(V$12:V30,V30)-1,"")</f>
        <v/>
      </c>
      <c r="Z30">
        <v>19</v>
      </c>
      <c r="AA30" s="422" t="str">
        <f t="shared" si="1"/>
        <v/>
      </c>
      <c r="AB30" s="498" t="str">
        <f t="shared" si="2"/>
        <v/>
      </c>
      <c r="AC30" s="423" t="str">
        <f t="shared" si="15"/>
        <v/>
      </c>
      <c r="AD30" s="470" t="str">
        <f t="shared" si="16"/>
        <v/>
      </c>
      <c r="AE30" s="468" t="str">
        <f t="shared" si="17"/>
        <v/>
      </c>
      <c r="AF30" s="457" t="str">
        <f t="shared" si="18"/>
        <v/>
      </c>
      <c r="AG30" s="472" t="str">
        <f t="shared" si="19"/>
        <v/>
      </c>
      <c r="AH30" s="490"/>
      <c r="AI30" s="488"/>
      <c r="AL30">
        <v>19</v>
      </c>
    </row>
    <row r="31" spans="1:39" x14ac:dyDescent="0.25">
      <c r="A31" t="str">
        <f>'New order'!U33</f>
        <v/>
      </c>
      <c r="B31" t="str">
        <f>'New order'!V33</f>
        <v/>
      </c>
      <c r="C31">
        <f>'New order'!AT33</f>
        <v>10</v>
      </c>
      <c r="D31" t="str">
        <f>'New order'!Y33</f>
        <v/>
      </c>
      <c r="E31">
        <f t="shared" si="3"/>
        <v>1</v>
      </c>
      <c r="F31">
        <f t="shared" si="4"/>
        <v>0</v>
      </c>
      <c r="G31" t="str">
        <f>'New order'!T33</f>
        <v/>
      </c>
      <c r="H31">
        <f>COUNTIF(C$12:C31,C31)</f>
        <v>20</v>
      </c>
      <c r="I31">
        <v>1</v>
      </c>
      <c r="J31">
        <f t="shared" si="5"/>
        <v>200</v>
      </c>
      <c r="K31" t="str">
        <f t="shared" si="0"/>
        <v/>
      </c>
      <c r="L31" t="str">
        <f t="shared" si="20"/>
        <v/>
      </c>
      <c r="M31" t="str">
        <f>IF(L31&lt;&gt;"",1+COUNT(M$12:M30),"")</f>
        <v/>
      </c>
      <c r="N31" t="str">
        <f t="shared" si="6"/>
        <v/>
      </c>
      <c r="O31" t="str">
        <f t="shared" si="7"/>
        <v/>
      </c>
      <c r="P31" t="str">
        <f t="shared" si="8"/>
        <v/>
      </c>
      <c r="Q31" t="str">
        <f t="shared" si="9"/>
        <v/>
      </c>
      <c r="R31" t="str">
        <f t="shared" si="10"/>
        <v/>
      </c>
      <c r="S31" t="str">
        <f t="shared" si="11"/>
        <v/>
      </c>
      <c r="T31" t="str">
        <f t="shared" si="12"/>
        <v/>
      </c>
      <c r="U31">
        <f t="shared" si="13"/>
        <v>0</v>
      </c>
      <c r="V31" t="str">
        <f t="shared" si="14"/>
        <v/>
      </c>
      <c r="W31" t="str">
        <f>IFERROR(RANK(V31,V$12:V$211,1)+COUNTIF(V$12:V31,V31)-1,"")</f>
        <v/>
      </c>
      <c r="Z31">
        <v>20</v>
      </c>
      <c r="AA31" s="522" t="str">
        <f t="shared" si="1"/>
        <v/>
      </c>
      <c r="AB31" s="523" t="str">
        <f t="shared" si="2"/>
        <v/>
      </c>
      <c r="AC31" s="524" t="str">
        <f t="shared" si="15"/>
        <v/>
      </c>
      <c r="AD31" s="525" t="str">
        <f t="shared" si="16"/>
        <v/>
      </c>
      <c r="AE31" s="526" t="str">
        <f t="shared" si="17"/>
        <v/>
      </c>
      <c r="AF31" s="527" t="str">
        <f t="shared" si="18"/>
        <v/>
      </c>
      <c r="AG31" s="528" t="str">
        <f t="shared" si="19"/>
        <v/>
      </c>
      <c r="AH31" s="529"/>
      <c r="AI31" s="530"/>
      <c r="AL31">
        <v>20</v>
      </c>
    </row>
    <row r="32" spans="1:39" x14ac:dyDescent="0.25">
      <c r="A32" t="str">
        <f>'New order'!U34</f>
        <v/>
      </c>
      <c r="B32" t="str">
        <f>'New order'!V34</f>
        <v/>
      </c>
      <c r="C32">
        <f>'New order'!AT34</f>
        <v>10</v>
      </c>
      <c r="D32" t="str">
        <f>'New order'!Y34</f>
        <v/>
      </c>
      <c r="E32">
        <f t="shared" si="3"/>
        <v>1</v>
      </c>
      <c r="F32">
        <f t="shared" si="4"/>
        <v>0</v>
      </c>
      <c r="G32" t="str">
        <f>'New order'!T34</f>
        <v/>
      </c>
      <c r="H32">
        <f>COUNTIF(C$12:C32,C32)</f>
        <v>21</v>
      </c>
      <c r="I32">
        <v>1</v>
      </c>
      <c r="J32">
        <f t="shared" si="5"/>
        <v>200</v>
      </c>
      <c r="K32" t="str">
        <f t="shared" si="0"/>
        <v/>
      </c>
      <c r="L32" t="str">
        <f t="shared" si="20"/>
        <v/>
      </c>
      <c r="M32" t="str">
        <f>IF(L32&lt;&gt;"",1+COUNT(M$12:M31),"")</f>
        <v/>
      </c>
      <c r="N32" t="str">
        <f t="shared" si="6"/>
        <v/>
      </c>
      <c r="O32" t="str">
        <f t="shared" si="7"/>
        <v/>
      </c>
      <c r="P32" t="str">
        <f t="shared" si="8"/>
        <v/>
      </c>
      <c r="Q32" t="str">
        <f t="shared" si="9"/>
        <v/>
      </c>
      <c r="R32" t="str">
        <f t="shared" si="10"/>
        <v/>
      </c>
      <c r="S32" t="str">
        <f t="shared" si="11"/>
        <v/>
      </c>
      <c r="T32" t="str">
        <f t="shared" si="12"/>
        <v/>
      </c>
      <c r="U32">
        <f t="shared" si="13"/>
        <v>0</v>
      </c>
      <c r="V32" t="str">
        <f t="shared" si="14"/>
        <v/>
      </c>
      <c r="W32" t="str">
        <f>IFERROR(RANK(V32,V$12:V$211,1)+COUNTIF(V$12:V32,V32)-1,"")</f>
        <v/>
      </c>
      <c r="Z32">
        <v>21</v>
      </c>
      <c r="AA32" s="422" t="str">
        <f t="shared" si="1"/>
        <v/>
      </c>
      <c r="AB32" s="498" t="str">
        <f t="shared" si="2"/>
        <v/>
      </c>
      <c r="AC32" s="423" t="str">
        <f t="shared" si="15"/>
        <v/>
      </c>
      <c r="AD32" s="470" t="str">
        <f t="shared" si="16"/>
        <v/>
      </c>
      <c r="AE32" s="468" t="str">
        <f t="shared" si="17"/>
        <v/>
      </c>
      <c r="AF32" s="457" t="str">
        <f t="shared" si="18"/>
        <v/>
      </c>
      <c r="AG32" s="472" t="str">
        <f t="shared" si="19"/>
        <v/>
      </c>
      <c r="AH32" s="490"/>
      <c r="AI32" s="488"/>
      <c r="AL32">
        <v>21</v>
      </c>
    </row>
    <row r="33" spans="1:39" x14ac:dyDescent="0.25">
      <c r="A33" t="str">
        <f>'New order'!U35</f>
        <v/>
      </c>
      <c r="B33" t="str">
        <f>'New order'!V35</f>
        <v/>
      </c>
      <c r="C33">
        <f>'New order'!AT35</f>
        <v>10</v>
      </c>
      <c r="D33" t="str">
        <f>'New order'!Y35</f>
        <v/>
      </c>
      <c r="E33">
        <f t="shared" si="3"/>
        <v>1</v>
      </c>
      <c r="F33">
        <f t="shared" si="4"/>
        <v>0</v>
      </c>
      <c r="G33" t="str">
        <f>'New order'!T35</f>
        <v/>
      </c>
      <c r="H33">
        <f>COUNTIF(C$12:C33,C33)</f>
        <v>22</v>
      </c>
      <c r="I33">
        <v>1</v>
      </c>
      <c r="J33">
        <f t="shared" si="5"/>
        <v>200</v>
      </c>
      <c r="K33" t="str">
        <f t="shared" si="0"/>
        <v/>
      </c>
      <c r="L33" t="str">
        <f t="shared" si="20"/>
        <v/>
      </c>
      <c r="M33" t="str">
        <f>IF(L33&lt;&gt;"",1+COUNT(M$12:M32),"")</f>
        <v/>
      </c>
      <c r="N33" t="str">
        <f t="shared" si="6"/>
        <v/>
      </c>
      <c r="O33" t="str">
        <f t="shared" si="7"/>
        <v/>
      </c>
      <c r="P33" t="str">
        <f t="shared" si="8"/>
        <v/>
      </c>
      <c r="Q33" t="str">
        <f t="shared" si="9"/>
        <v/>
      </c>
      <c r="R33" t="str">
        <f t="shared" si="10"/>
        <v/>
      </c>
      <c r="S33" t="str">
        <f t="shared" si="11"/>
        <v/>
      </c>
      <c r="T33" t="str">
        <f t="shared" si="12"/>
        <v/>
      </c>
      <c r="U33">
        <f t="shared" si="13"/>
        <v>0</v>
      </c>
      <c r="V33" t="str">
        <f t="shared" si="14"/>
        <v/>
      </c>
      <c r="W33" t="str">
        <f>IFERROR(RANK(V33,V$12:V$211,1)+COUNTIF(V$12:V33,V33)-1,"")</f>
        <v/>
      </c>
      <c r="Z33">
        <v>22</v>
      </c>
      <c r="AA33" s="522" t="str">
        <f t="shared" si="1"/>
        <v/>
      </c>
      <c r="AB33" s="523" t="str">
        <f t="shared" si="2"/>
        <v/>
      </c>
      <c r="AC33" s="524" t="str">
        <f t="shared" si="15"/>
        <v/>
      </c>
      <c r="AD33" s="525" t="str">
        <f t="shared" si="16"/>
        <v/>
      </c>
      <c r="AE33" s="526" t="str">
        <f t="shared" si="17"/>
        <v/>
      </c>
      <c r="AF33" s="527" t="str">
        <f t="shared" si="18"/>
        <v/>
      </c>
      <c r="AG33" s="528" t="str">
        <f t="shared" si="19"/>
        <v/>
      </c>
      <c r="AH33" s="529"/>
      <c r="AI33" s="530"/>
      <c r="AL33">
        <v>22</v>
      </c>
    </row>
    <row r="34" spans="1:39" x14ac:dyDescent="0.25">
      <c r="A34" t="str">
        <f>'New order'!U36</f>
        <v/>
      </c>
      <c r="B34" t="str">
        <f>'New order'!V36</f>
        <v/>
      </c>
      <c r="C34">
        <f>'New order'!AT36</f>
        <v>10</v>
      </c>
      <c r="D34" t="str">
        <f>'New order'!Y36</f>
        <v/>
      </c>
      <c r="E34">
        <f t="shared" si="3"/>
        <v>1</v>
      </c>
      <c r="F34">
        <f t="shared" si="4"/>
        <v>0</v>
      </c>
      <c r="G34" t="str">
        <f>'New order'!T36</f>
        <v/>
      </c>
      <c r="H34">
        <f>COUNTIF(C$12:C34,C34)</f>
        <v>23</v>
      </c>
      <c r="I34">
        <v>1</v>
      </c>
      <c r="J34">
        <f t="shared" si="5"/>
        <v>200</v>
      </c>
      <c r="K34" t="str">
        <f t="shared" si="0"/>
        <v/>
      </c>
      <c r="L34" t="str">
        <f t="shared" si="20"/>
        <v/>
      </c>
      <c r="M34" t="str">
        <f>IF(L34&lt;&gt;"",1+COUNT(M$12:M33),"")</f>
        <v/>
      </c>
      <c r="N34" t="str">
        <f t="shared" si="6"/>
        <v/>
      </c>
      <c r="O34" t="str">
        <f t="shared" si="7"/>
        <v/>
      </c>
      <c r="P34" t="str">
        <f t="shared" si="8"/>
        <v/>
      </c>
      <c r="Q34" t="str">
        <f t="shared" si="9"/>
        <v/>
      </c>
      <c r="R34" t="str">
        <f t="shared" si="10"/>
        <v/>
      </c>
      <c r="S34" t="str">
        <f t="shared" si="11"/>
        <v/>
      </c>
      <c r="T34" t="str">
        <f t="shared" si="12"/>
        <v/>
      </c>
      <c r="U34">
        <f t="shared" si="13"/>
        <v>0</v>
      </c>
      <c r="V34" t="str">
        <f t="shared" si="14"/>
        <v/>
      </c>
      <c r="W34" t="str">
        <f>IFERROR(RANK(V34,V$12:V$211,1)+COUNTIF(V$12:V34,V34)-1,"")</f>
        <v/>
      </c>
      <c r="Z34">
        <v>23</v>
      </c>
      <c r="AA34" s="422" t="str">
        <f t="shared" si="1"/>
        <v/>
      </c>
      <c r="AB34" s="498" t="str">
        <f t="shared" si="2"/>
        <v/>
      </c>
      <c r="AC34" s="423" t="str">
        <f t="shared" si="15"/>
        <v/>
      </c>
      <c r="AD34" s="470" t="str">
        <f t="shared" si="16"/>
        <v/>
      </c>
      <c r="AE34" s="468" t="str">
        <f t="shared" si="17"/>
        <v/>
      </c>
      <c r="AF34" s="457" t="str">
        <f t="shared" si="18"/>
        <v/>
      </c>
      <c r="AG34" s="472" t="str">
        <f t="shared" si="19"/>
        <v/>
      </c>
      <c r="AH34" s="490"/>
      <c r="AI34" s="488"/>
      <c r="AL34">
        <v>23</v>
      </c>
    </row>
    <row r="35" spans="1:39" x14ac:dyDescent="0.25">
      <c r="A35" t="str">
        <f>'New order'!U37</f>
        <v/>
      </c>
      <c r="B35" t="str">
        <f>'New order'!V37</f>
        <v/>
      </c>
      <c r="C35">
        <f>'New order'!AT37</f>
        <v>10</v>
      </c>
      <c r="D35" t="str">
        <f>'New order'!Y37</f>
        <v/>
      </c>
      <c r="E35">
        <f t="shared" si="3"/>
        <v>1</v>
      </c>
      <c r="F35">
        <f t="shared" si="4"/>
        <v>0</v>
      </c>
      <c r="G35" t="str">
        <f>'New order'!T37</f>
        <v/>
      </c>
      <c r="H35">
        <f>COUNTIF(C$12:C35,C35)</f>
        <v>24</v>
      </c>
      <c r="I35">
        <v>1</v>
      </c>
      <c r="J35">
        <f t="shared" si="5"/>
        <v>200</v>
      </c>
      <c r="K35" t="str">
        <f t="shared" si="0"/>
        <v/>
      </c>
      <c r="L35" t="str">
        <f t="shared" si="20"/>
        <v/>
      </c>
      <c r="M35" t="str">
        <f>IF(L35&lt;&gt;"",1+COUNT(M$12:M34),"")</f>
        <v/>
      </c>
      <c r="N35" t="str">
        <f t="shared" si="6"/>
        <v/>
      </c>
      <c r="O35" t="str">
        <f t="shared" si="7"/>
        <v/>
      </c>
      <c r="P35" t="str">
        <f t="shared" si="8"/>
        <v/>
      </c>
      <c r="Q35" t="str">
        <f t="shared" si="9"/>
        <v/>
      </c>
      <c r="R35" t="str">
        <f t="shared" si="10"/>
        <v/>
      </c>
      <c r="S35" t="str">
        <f t="shared" si="11"/>
        <v/>
      </c>
      <c r="T35" t="str">
        <f t="shared" si="12"/>
        <v/>
      </c>
      <c r="U35">
        <f t="shared" si="13"/>
        <v>0</v>
      </c>
      <c r="V35" t="str">
        <f t="shared" si="14"/>
        <v/>
      </c>
      <c r="W35" t="str">
        <f>IFERROR(RANK(V35,V$12:V$211,1)+COUNTIF(V$12:V35,V35)-1,"")</f>
        <v/>
      </c>
      <c r="Z35">
        <v>24</v>
      </c>
      <c r="AA35" s="522" t="str">
        <f t="shared" si="1"/>
        <v/>
      </c>
      <c r="AB35" s="523" t="str">
        <f t="shared" si="2"/>
        <v/>
      </c>
      <c r="AC35" s="524" t="str">
        <f t="shared" si="15"/>
        <v/>
      </c>
      <c r="AD35" s="525" t="str">
        <f t="shared" si="16"/>
        <v/>
      </c>
      <c r="AE35" s="526" t="str">
        <f t="shared" si="17"/>
        <v/>
      </c>
      <c r="AF35" s="527" t="str">
        <f t="shared" si="18"/>
        <v/>
      </c>
      <c r="AG35" s="528" t="str">
        <f t="shared" si="19"/>
        <v/>
      </c>
      <c r="AH35" s="529"/>
      <c r="AI35" s="530"/>
      <c r="AL35">
        <v>24</v>
      </c>
      <c r="AM35">
        <v>30</v>
      </c>
    </row>
    <row r="36" spans="1:39" x14ac:dyDescent="0.25">
      <c r="A36" t="str">
        <f>'New order'!U38</f>
        <v/>
      </c>
      <c r="B36" t="str">
        <f>'New order'!V38</f>
        <v/>
      </c>
      <c r="C36">
        <f>'New order'!AT38</f>
        <v>10</v>
      </c>
      <c r="D36" t="str">
        <f>'New order'!Y38</f>
        <v/>
      </c>
      <c r="E36">
        <f t="shared" si="3"/>
        <v>1</v>
      </c>
      <c r="F36">
        <f t="shared" si="4"/>
        <v>0</v>
      </c>
      <c r="G36" t="str">
        <f>'New order'!T38</f>
        <v/>
      </c>
      <c r="H36">
        <f>COUNTIF(C$12:C36,C36)</f>
        <v>25</v>
      </c>
      <c r="I36">
        <v>1</v>
      </c>
      <c r="J36">
        <f t="shared" si="5"/>
        <v>200</v>
      </c>
      <c r="K36" t="str">
        <f t="shared" si="0"/>
        <v/>
      </c>
      <c r="L36" t="str">
        <f t="shared" si="20"/>
        <v/>
      </c>
      <c r="M36" t="str">
        <f>IF(L36&lt;&gt;"",1+COUNT(M$12:M35),"")</f>
        <v/>
      </c>
      <c r="N36" t="str">
        <f t="shared" si="6"/>
        <v/>
      </c>
      <c r="O36" t="str">
        <f t="shared" si="7"/>
        <v/>
      </c>
      <c r="P36" t="str">
        <f t="shared" si="8"/>
        <v/>
      </c>
      <c r="Q36" t="str">
        <f t="shared" si="9"/>
        <v/>
      </c>
      <c r="R36" t="str">
        <f t="shared" si="10"/>
        <v/>
      </c>
      <c r="S36" t="str">
        <f t="shared" si="11"/>
        <v/>
      </c>
      <c r="T36" t="str">
        <f t="shared" si="12"/>
        <v/>
      </c>
      <c r="U36">
        <f t="shared" si="13"/>
        <v>0</v>
      </c>
      <c r="V36" t="str">
        <f t="shared" si="14"/>
        <v/>
      </c>
      <c r="W36" t="str">
        <f>IFERROR(RANK(V36,V$12:V$211,1)+COUNTIF(V$12:V36,V36)-1,"")</f>
        <v/>
      </c>
      <c r="Z36">
        <v>25</v>
      </c>
      <c r="AA36" s="422" t="str">
        <f t="shared" si="1"/>
        <v/>
      </c>
      <c r="AB36" s="498" t="str">
        <f t="shared" si="2"/>
        <v/>
      </c>
      <c r="AC36" s="423" t="str">
        <f t="shared" si="15"/>
        <v/>
      </c>
      <c r="AD36" s="470" t="str">
        <f t="shared" si="16"/>
        <v/>
      </c>
      <c r="AE36" s="468" t="str">
        <f t="shared" si="17"/>
        <v/>
      </c>
      <c r="AF36" s="457" t="str">
        <f t="shared" si="18"/>
        <v/>
      </c>
      <c r="AG36" s="472" t="str">
        <f t="shared" si="19"/>
        <v/>
      </c>
      <c r="AH36" s="490"/>
      <c r="AI36" s="488"/>
      <c r="AL36">
        <v>25</v>
      </c>
      <c r="AM36">
        <v>28</v>
      </c>
    </row>
    <row r="37" spans="1:39" x14ac:dyDescent="0.25">
      <c r="A37" t="str">
        <f>'New order'!U39</f>
        <v/>
      </c>
      <c r="B37" t="str">
        <f>'New order'!V39</f>
        <v/>
      </c>
      <c r="C37">
        <f>'New order'!AT39</f>
        <v>10</v>
      </c>
      <c r="D37" t="str">
        <f>'New order'!Y39</f>
        <v/>
      </c>
      <c r="E37">
        <f t="shared" si="3"/>
        <v>1</v>
      </c>
      <c r="F37">
        <f t="shared" si="4"/>
        <v>0</v>
      </c>
      <c r="G37" t="str">
        <f>'New order'!T39</f>
        <v/>
      </c>
      <c r="H37">
        <f>COUNTIF(C$12:C37,C37)</f>
        <v>26</v>
      </c>
      <c r="I37">
        <v>1</v>
      </c>
      <c r="J37">
        <f t="shared" si="5"/>
        <v>200</v>
      </c>
      <c r="K37" t="str">
        <f t="shared" si="0"/>
        <v/>
      </c>
      <c r="L37" t="str">
        <f t="shared" si="20"/>
        <v/>
      </c>
      <c r="M37" t="str">
        <f>IF(L37&lt;&gt;"",1+COUNT(M$12:M36),"")</f>
        <v/>
      </c>
      <c r="N37" t="str">
        <f t="shared" si="6"/>
        <v/>
      </c>
      <c r="O37" t="str">
        <f t="shared" si="7"/>
        <v/>
      </c>
      <c r="P37" t="str">
        <f t="shared" si="8"/>
        <v/>
      </c>
      <c r="Q37" t="str">
        <f t="shared" si="9"/>
        <v/>
      </c>
      <c r="R37" t="str">
        <f t="shared" si="10"/>
        <v/>
      </c>
      <c r="S37" t="str">
        <f t="shared" si="11"/>
        <v/>
      </c>
      <c r="T37" t="str">
        <f t="shared" si="12"/>
        <v/>
      </c>
      <c r="U37">
        <f t="shared" si="13"/>
        <v>0</v>
      </c>
      <c r="V37" t="str">
        <f t="shared" si="14"/>
        <v/>
      </c>
      <c r="W37" t="str">
        <f>IFERROR(RANK(V37,V$12:V$211,1)+COUNTIF(V$12:V37,V37)-1,"")</f>
        <v/>
      </c>
      <c r="Z37">
        <v>26</v>
      </c>
      <c r="AA37" s="522" t="str">
        <f t="shared" si="1"/>
        <v/>
      </c>
      <c r="AB37" s="523" t="str">
        <f t="shared" si="2"/>
        <v/>
      </c>
      <c r="AC37" s="524" t="str">
        <f t="shared" si="15"/>
        <v/>
      </c>
      <c r="AD37" s="525" t="str">
        <f t="shared" si="16"/>
        <v/>
      </c>
      <c r="AE37" s="526" t="str">
        <f t="shared" si="17"/>
        <v/>
      </c>
      <c r="AF37" s="527" t="str">
        <f t="shared" si="18"/>
        <v/>
      </c>
      <c r="AG37" s="528" t="str">
        <f t="shared" si="19"/>
        <v/>
      </c>
      <c r="AH37" s="529"/>
      <c r="AI37" s="530"/>
      <c r="AL37">
        <v>26</v>
      </c>
      <c r="AM37">
        <v>26</v>
      </c>
    </row>
    <row r="38" spans="1:39" x14ac:dyDescent="0.25">
      <c r="A38" t="str">
        <f>'New order'!U40</f>
        <v/>
      </c>
      <c r="B38" t="str">
        <f>'New order'!V40</f>
        <v/>
      </c>
      <c r="C38">
        <f>'New order'!AT40</f>
        <v>10</v>
      </c>
      <c r="D38" t="str">
        <f>'New order'!Y40</f>
        <v/>
      </c>
      <c r="E38">
        <f t="shared" si="3"/>
        <v>1</v>
      </c>
      <c r="F38">
        <f t="shared" si="4"/>
        <v>0</v>
      </c>
      <c r="G38" t="str">
        <f>'New order'!T40</f>
        <v/>
      </c>
      <c r="H38">
        <f>COUNTIF(C$12:C38,C38)</f>
        <v>27</v>
      </c>
      <c r="I38">
        <v>1</v>
      </c>
      <c r="J38">
        <f t="shared" si="5"/>
        <v>200</v>
      </c>
      <c r="K38" t="str">
        <f t="shared" si="0"/>
        <v/>
      </c>
      <c r="L38" t="str">
        <f t="shared" si="20"/>
        <v/>
      </c>
      <c r="M38" t="str">
        <f>IF(L38&lt;&gt;"",1+COUNT(M$12:M37),"")</f>
        <v/>
      </c>
      <c r="N38" t="str">
        <f t="shared" si="6"/>
        <v/>
      </c>
      <c r="O38" t="str">
        <f t="shared" si="7"/>
        <v/>
      </c>
      <c r="P38" t="str">
        <f t="shared" si="8"/>
        <v/>
      </c>
      <c r="Q38" t="str">
        <f t="shared" si="9"/>
        <v/>
      </c>
      <c r="R38" t="str">
        <f t="shared" si="10"/>
        <v/>
      </c>
      <c r="S38" t="str">
        <f t="shared" si="11"/>
        <v/>
      </c>
      <c r="T38" t="str">
        <f t="shared" si="12"/>
        <v/>
      </c>
      <c r="U38">
        <f t="shared" si="13"/>
        <v>0</v>
      </c>
      <c r="V38" t="str">
        <f t="shared" si="14"/>
        <v/>
      </c>
      <c r="W38" t="str">
        <f>IFERROR(RANK(V38,V$12:V$211,1)+COUNTIF(V$12:V38,V38)-1,"")</f>
        <v/>
      </c>
      <c r="Z38">
        <v>27</v>
      </c>
      <c r="AA38" s="422" t="str">
        <f t="shared" si="1"/>
        <v/>
      </c>
      <c r="AB38" s="498" t="str">
        <f t="shared" si="2"/>
        <v/>
      </c>
      <c r="AC38" s="423" t="str">
        <f t="shared" si="15"/>
        <v/>
      </c>
      <c r="AD38" s="470" t="str">
        <f t="shared" si="16"/>
        <v/>
      </c>
      <c r="AE38" s="468" t="str">
        <f t="shared" si="17"/>
        <v/>
      </c>
      <c r="AF38" s="457" t="str">
        <f t="shared" si="18"/>
        <v/>
      </c>
      <c r="AG38" s="472" t="str">
        <f t="shared" si="19"/>
        <v/>
      </c>
      <c r="AH38" s="490"/>
      <c r="AI38" s="488"/>
      <c r="AL38">
        <v>27</v>
      </c>
      <c r="AM38">
        <v>24</v>
      </c>
    </row>
    <row r="39" spans="1:39" x14ac:dyDescent="0.25">
      <c r="A39" t="str">
        <f>'New order'!U41</f>
        <v/>
      </c>
      <c r="B39" t="str">
        <f>'New order'!V41</f>
        <v/>
      </c>
      <c r="C39">
        <f>'New order'!AT41</f>
        <v>10</v>
      </c>
      <c r="D39" t="str">
        <f>'New order'!Y41</f>
        <v/>
      </c>
      <c r="E39">
        <f t="shared" si="3"/>
        <v>1</v>
      </c>
      <c r="F39">
        <f t="shared" si="4"/>
        <v>0</v>
      </c>
      <c r="G39" t="str">
        <f>'New order'!T41</f>
        <v/>
      </c>
      <c r="H39">
        <f>COUNTIF(C$12:C39,C39)</f>
        <v>28</v>
      </c>
      <c r="I39">
        <v>1</v>
      </c>
      <c r="J39">
        <f t="shared" si="5"/>
        <v>200</v>
      </c>
      <c r="K39" t="str">
        <f t="shared" si="0"/>
        <v/>
      </c>
      <c r="L39" t="str">
        <f t="shared" si="20"/>
        <v/>
      </c>
      <c r="M39" t="str">
        <f>IF(L39&lt;&gt;"",1+COUNT(M$12:M38),"")</f>
        <v/>
      </c>
      <c r="N39" t="str">
        <f t="shared" si="6"/>
        <v/>
      </c>
      <c r="O39" t="str">
        <f t="shared" si="7"/>
        <v/>
      </c>
      <c r="P39" t="str">
        <f t="shared" si="8"/>
        <v/>
      </c>
      <c r="Q39" t="str">
        <f t="shared" si="9"/>
        <v/>
      </c>
      <c r="R39" t="str">
        <f t="shared" si="10"/>
        <v/>
      </c>
      <c r="S39" t="str">
        <f t="shared" si="11"/>
        <v/>
      </c>
      <c r="T39" t="str">
        <f t="shared" si="12"/>
        <v/>
      </c>
      <c r="U39">
        <f t="shared" si="13"/>
        <v>0</v>
      </c>
      <c r="V39" t="str">
        <f t="shared" si="14"/>
        <v/>
      </c>
      <c r="W39" t="str">
        <f>IFERROR(RANK(V39,V$12:V$211,1)+COUNTIF(V$12:V39,V39)-1,"")</f>
        <v/>
      </c>
      <c r="Z39">
        <v>28</v>
      </c>
      <c r="AA39" s="522" t="str">
        <f t="shared" si="1"/>
        <v/>
      </c>
      <c r="AB39" s="523" t="str">
        <f t="shared" si="2"/>
        <v/>
      </c>
      <c r="AC39" s="524" t="str">
        <f t="shared" si="15"/>
        <v/>
      </c>
      <c r="AD39" s="525" t="str">
        <f t="shared" si="16"/>
        <v/>
      </c>
      <c r="AE39" s="526" t="str">
        <f t="shared" si="17"/>
        <v/>
      </c>
      <c r="AF39" s="527" t="str">
        <f t="shared" si="18"/>
        <v/>
      </c>
      <c r="AG39" s="528" t="str">
        <f t="shared" si="19"/>
        <v/>
      </c>
      <c r="AH39" s="529"/>
      <c r="AI39" s="530"/>
      <c r="AL39">
        <v>28</v>
      </c>
      <c r="AM39">
        <v>22</v>
      </c>
    </row>
    <row r="40" spans="1:39" x14ac:dyDescent="0.25">
      <c r="A40" t="str">
        <f>'New order'!U42</f>
        <v/>
      </c>
      <c r="B40" t="str">
        <f>'New order'!V42</f>
        <v/>
      </c>
      <c r="C40">
        <f>'New order'!AT42</f>
        <v>10</v>
      </c>
      <c r="D40" t="str">
        <f>'New order'!Y42</f>
        <v/>
      </c>
      <c r="E40">
        <f t="shared" si="3"/>
        <v>1</v>
      </c>
      <c r="F40">
        <f t="shared" si="4"/>
        <v>0</v>
      </c>
      <c r="G40" t="str">
        <f>'New order'!T42</f>
        <v/>
      </c>
      <c r="H40">
        <f>COUNTIF(C$12:C40,C40)</f>
        <v>29</v>
      </c>
      <c r="I40">
        <v>1</v>
      </c>
      <c r="J40">
        <f t="shared" si="5"/>
        <v>200</v>
      </c>
      <c r="K40" t="str">
        <f t="shared" si="0"/>
        <v/>
      </c>
      <c r="L40" t="str">
        <f t="shared" si="20"/>
        <v/>
      </c>
      <c r="M40" t="str">
        <f>IF(L40&lt;&gt;"",1+COUNT(M$12:M39),"")</f>
        <v/>
      </c>
      <c r="N40" t="str">
        <f t="shared" si="6"/>
        <v/>
      </c>
      <c r="O40" t="str">
        <f t="shared" si="7"/>
        <v/>
      </c>
      <c r="P40" t="str">
        <f t="shared" si="8"/>
        <v/>
      </c>
      <c r="Q40" t="str">
        <f t="shared" si="9"/>
        <v/>
      </c>
      <c r="R40" t="str">
        <f t="shared" si="10"/>
        <v/>
      </c>
      <c r="S40" t="str">
        <f t="shared" si="11"/>
        <v/>
      </c>
      <c r="T40" t="str">
        <f t="shared" si="12"/>
        <v/>
      </c>
      <c r="U40">
        <f t="shared" si="13"/>
        <v>0</v>
      </c>
      <c r="V40" t="str">
        <f t="shared" si="14"/>
        <v/>
      </c>
      <c r="W40" t="str">
        <f>IFERROR(RANK(V40,V$12:V$211,1)+COUNTIF(V$12:V40,V40)-1,"")</f>
        <v/>
      </c>
      <c r="Z40">
        <v>29</v>
      </c>
      <c r="AA40" s="422" t="str">
        <f t="shared" si="1"/>
        <v/>
      </c>
      <c r="AB40" s="498" t="str">
        <f t="shared" si="2"/>
        <v/>
      </c>
      <c r="AC40" s="423" t="str">
        <f t="shared" si="15"/>
        <v/>
      </c>
      <c r="AD40" s="470" t="str">
        <f t="shared" si="16"/>
        <v/>
      </c>
      <c r="AE40" s="468" t="str">
        <f t="shared" si="17"/>
        <v/>
      </c>
      <c r="AF40" s="457" t="str">
        <f t="shared" si="18"/>
        <v/>
      </c>
      <c r="AG40" s="472" t="str">
        <f t="shared" si="19"/>
        <v/>
      </c>
      <c r="AH40" s="490"/>
      <c r="AI40" s="488"/>
      <c r="AL40">
        <v>29</v>
      </c>
      <c r="AM40">
        <v>20</v>
      </c>
    </row>
    <row r="41" spans="1:39" x14ac:dyDescent="0.25">
      <c r="A41" t="str">
        <f>'New order'!U43</f>
        <v/>
      </c>
      <c r="B41" t="str">
        <f>'New order'!V43</f>
        <v/>
      </c>
      <c r="C41">
        <f>'New order'!AT43</f>
        <v>10</v>
      </c>
      <c r="D41" t="str">
        <f>'New order'!Y43</f>
        <v/>
      </c>
      <c r="E41">
        <f t="shared" si="3"/>
        <v>1</v>
      </c>
      <c r="F41">
        <f t="shared" si="4"/>
        <v>0</v>
      </c>
      <c r="G41" t="str">
        <f>'New order'!T43</f>
        <v/>
      </c>
      <c r="H41">
        <f>COUNTIF(C$12:C41,C41)</f>
        <v>30</v>
      </c>
      <c r="I41">
        <v>1</v>
      </c>
      <c r="J41">
        <f t="shared" si="5"/>
        <v>200</v>
      </c>
      <c r="K41" t="str">
        <f t="shared" si="0"/>
        <v/>
      </c>
      <c r="L41" t="str">
        <f t="shared" si="20"/>
        <v/>
      </c>
      <c r="M41" t="str">
        <f>IF(L41&lt;&gt;"",1+COUNT(M$12:M40),"")</f>
        <v/>
      </c>
      <c r="N41" t="str">
        <f t="shared" si="6"/>
        <v/>
      </c>
      <c r="O41" t="str">
        <f t="shared" si="7"/>
        <v/>
      </c>
      <c r="P41" t="str">
        <f t="shared" si="8"/>
        <v/>
      </c>
      <c r="Q41" t="str">
        <f t="shared" si="9"/>
        <v/>
      </c>
      <c r="R41" t="str">
        <f t="shared" si="10"/>
        <v/>
      </c>
      <c r="S41" t="str">
        <f t="shared" si="11"/>
        <v/>
      </c>
      <c r="T41" t="str">
        <f t="shared" si="12"/>
        <v/>
      </c>
      <c r="U41">
        <f t="shared" si="13"/>
        <v>0</v>
      </c>
      <c r="V41" t="str">
        <f t="shared" si="14"/>
        <v/>
      </c>
      <c r="W41" t="str">
        <f>IFERROR(RANK(V41,V$12:V$211,1)+COUNTIF(V$12:V41,V41)-1,"")</f>
        <v/>
      </c>
      <c r="Z41">
        <v>30</v>
      </c>
      <c r="AA41" s="522" t="str">
        <f t="shared" si="1"/>
        <v/>
      </c>
      <c r="AB41" s="523" t="str">
        <f t="shared" si="2"/>
        <v/>
      </c>
      <c r="AC41" s="524" t="str">
        <f t="shared" si="15"/>
        <v/>
      </c>
      <c r="AD41" s="525" t="str">
        <f t="shared" si="16"/>
        <v/>
      </c>
      <c r="AE41" s="526" t="str">
        <f t="shared" si="17"/>
        <v/>
      </c>
      <c r="AF41" s="527" t="str">
        <f t="shared" si="18"/>
        <v/>
      </c>
      <c r="AG41" s="528" t="str">
        <f t="shared" si="19"/>
        <v/>
      </c>
      <c r="AH41" s="529"/>
      <c r="AI41" s="530"/>
      <c r="AL41">
        <v>30</v>
      </c>
      <c r="AM41">
        <v>18</v>
      </c>
    </row>
    <row r="42" spans="1:39" x14ac:dyDescent="0.25">
      <c r="A42" t="str">
        <f>'New order'!U44</f>
        <v/>
      </c>
      <c r="B42" t="str">
        <f>'New order'!V44</f>
        <v/>
      </c>
      <c r="C42">
        <f>'New order'!AT44</f>
        <v>10</v>
      </c>
      <c r="D42" t="str">
        <f>'New order'!Y44</f>
        <v/>
      </c>
      <c r="E42">
        <f t="shared" si="3"/>
        <v>1</v>
      </c>
      <c r="F42">
        <f t="shared" si="4"/>
        <v>0</v>
      </c>
      <c r="G42" t="str">
        <f>'New order'!T44</f>
        <v/>
      </c>
      <c r="H42">
        <f>COUNTIF(C$12:C42,C42)</f>
        <v>31</v>
      </c>
      <c r="I42">
        <v>1</v>
      </c>
      <c r="J42">
        <f t="shared" si="5"/>
        <v>200</v>
      </c>
      <c r="K42" t="str">
        <f t="shared" si="0"/>
        <v/>
      </c>
      <c r="L42" t="str">
        <f t="shared" si="20"/>
        <v/>
      </c>
      <c r="M42" t="str">
        <f>IF(L42&lt;&gt;"",1+COUNT(M$12:M41),"")</f>
        <v/>
      </c>
      <c r="N42" t="str">
        <f t="shared" si="6"/>
        <v/>
      </c>
      <c r="O42" t="str">
        <f t="shared" si="7"/>
        <v/>
      </c>
      <c r="P42" t="str">
        <f t="shared" si="8"/>
        <v/>
      </c>
      <c r="Q42" t="str">
        <f t="shared" si="9"/>
        <v/>
      </c>
      <c r="R42" t="str">
        <f t="shared" si="10"/>
        <v/>
      </c>
      <c r="S42" t="str">
        <f t="shared" si="11"/>
        <v/>
      </c>
      <c r="T42" t="str">
        <f t="shared" si="12"/>
        <v/>
      </c>
      <c r="U42">
        <f t="shared" si="13"/>
        <v>0</v>
      </c>
      <c r="V42" t="str">
        <f t="shared" si="14"/>
        <v/>
      </c>
      <c r="W42" t="str">
        <f>IFERROR(RANK(V42,V$12:V$211,1)+COUNTIF(V$12:V42,V42)-1,"")</f>
        <v/>
      </c>
      <c r="Z42">
        <v>31</v>
      </c>
      <c r="AA42" s="422" t="str">
        <f t="shared" si="1"/>
        <v/>
      </c>
      <c r="AB42" s="498" t="str">
        <f t="shared" si="2"/>
        <v/>
      </c>
      <c r="AC42" s="423" t="str">
        <f t="shared" si="15"/>
        <v/>
      </c>
      <c r="AD42" s="470" t="str">
        <f t="shared" si="16"/>
        <v/>
      </c>
      <c r="AE42" s="468" t="str">
        <f t="shared" si="17"/>
        <v/>
      </c>
      <c r="AF42" s="457" t="str">
        <f t="shared" si="18"/>
        <v/>
      </c>
      <c r="AG42" s="472" t="str">
        <f t="shared" si="19"/>
        <v/>
      </c>
      <c r="AH42" s="490"/>
      <c r="AI42" s="488"/>
      <c r="AL42">
        <v>31</v>
      </c>
      <c r="AM42">
        <v>16</v>
      </c>
    </row>
    <row r="43" spans="1:39" x14ac:dyDescent="0.25">
      <c r="A43" t="str">
        <f>'New order'!U45</f>
        <v/>
      </c>
      <c r="B43" t="str">
        <f>'New order'!V45</f>
        <v/>
      </c>
      <c r="C43">
        <f>'New order'!AT45</f>
        <v>10</v>
      </c>
      <c r="D43" t="str">
        <f>'New order'!Y45</f>
        <v/>
      </c>
      <c r="E43">
        <f t="shared" si="3"/>
        <v>1</v>
      </c>
      <c r="F43">
        <f t="shared" si="4"/>
        <v>0</v>
      </c>
      <c r="G43" t="str">
        <f>'New order'!T45</f>
        <v/>
      </c>
      <c r="H43">
        <f>COUNTIF(C$12:C43,C43)</f>
        <v>32</v>
      </c>
      <c r="I43">
        <v>1</v>
      </c>
      <c r="J43">
        <f t="shared" si="5"/>
        <v>200</v>
      </c>
      <c r="K43" t="str">
        <f t="shared" si="0"/>
        <v/>
      </c>
      <c r="L43" t="str">
        <f t="shared" si="20"/>
        <v/>
      </c>
      <c r="M43" t="str">
        <f>IF(L43&lt;&gt;"",1+COUNT(M$12:M42),"")</f>
        <v/>
      </c>
      <c r="N43" t="str">
        <f t="shared" si="6"/>
        <v/>
      </c>
      <c r="O43" t="str">
        <f t="shared" si="7"/>
        <v/>
      </c>
      <c r="P43" t="str">
        <f t="shared" si="8"/>
        <v/>
      </c>
      <c r="Q43" t="str">
        <f t="shared" si="9"/>
        <v/>
      </c>
      <c r="R43" t="str">
        <f t="shared" si="10"/>
        <v/>
      </c>
      <c r="S43" t="str">
        <f t="shared" si="11"/>
        <v/>
      </c>
      <c r="T43" t="str">
        <f t="shared" si="12"/>
        <v/>
      </c>
      <c r="U43">
        <f t="shared" si="13"/>
        <v>0</v>
      </c>
      <c r="V43" t="str">
        <f t="shared" si="14"/>
        <v/>
      </c>
      <c r="W43" t="str">
        <f>IFERROR(RANK(V43,V$12:V$211,1)+COUNTIF(V$12:V43,V43)-1,"")</f>
        <v/>
      </c>
      <c r="Z43">
        <v>32</v>
      </c>
      <c r="AA43" s="522" t="str">
        <f t="shared" si="1"/>
        <v/>
      </c>
      <c r="AB43" s="523" t="str">
        <f t="shared" si="2"/>
        <v/>
      </c>
      <c r="AC43" s="524" t="str">
        <f t="shared" si="15"/>
        <v/>
      </c>
      <c r="AD43" s="525" t="str">
        <f t="shared" si="16"/>
        <v/>
      </c>
      <c r="AE43" s="526" t="str">
        <f t="shared" si="17"/>
        <v/>
      </c>
      <c r="AF43" s="527" t="str">
        <f t="shared" si="18"/>
        <v/>
      </c>
      <c r="AG43" s="528" t="str">
        <f t="shared" si="19"/>
        <v/>
      </c>
      <c r="AH43" s="529"/>
      <c r="AI43" s="530"/>
      <c r="AL43">
        <v>32</v>
      </c>
      <c r="AM43">
        <v>14</v>
      </c>
    </row>
    <row r="44" spans="1:39" x14ac:dyDescent="0.25">
      <c r="A44" t="str">
        <f>'New order'!U46</f>
        <v/>
      </c>
      <c r="B44" t="str">
        <f>'New order'!V46</f>
        <v/>
      </c>
      <c r="C44">
        <f>'New order'!AT46</f>
        <v>10</v>
      </c>
      <c r="D44" t="str">
        <f>'New order'!Y46</f>
        <v/>
      </c>
      <c r="E44">
        <f t="shared" si="3"/>
        <v>1</v>
      </c>
      <c r="F44">
        <f t="shared" si="4"/>
        <v>0</v>
      </c>
      <c r="G44" t="str">
        <f>'New order'!T46</f>
        <v/>
      </c>
      <c r="H44">
        <f>COUNTIF(C$12:C44,C44)</f>
        <v>33</v>
      </c>
      <c r="I44">
        <v>1</v>
      </c>
      <c r="J44">
        <f t="shared" si="5"/>
        <v>200</v>
      </c>
      <c r="K44" t="str">
        <f t="shared" si="0"/>
        <v/>
      </c>
      <c r="L44" t="str">
        <f t="shared" si="20"/>
        <v/>
      </c>
      <c r="M44" t="str">
        <f>IF(L44&lt;&gt;"",1+COUNT(M$12:M43),"")</f>
        <v/>
      </c>
      <c r="N44" t="str">
        <f t="shared" si="6"/>
        <v/>
      </c>
      <c r="O44" t="str">
        <f t="shared" si="7"/>
        <v/>
      </c>
      <c r="P44" t="str">
        <f t="shared" si="8"/>
        <v/>
      </c>
      <c r="Q44" t="str">
        <f t="shared" si="9"/>
        <v/>
      </c>
      <c r="R44" t="str">
        <f t="shared" si="10"/>
        <v/>
      </c>
      <c r="S44" t="str">
        <f t="shared" si="11"/>
        <v/>
      </c>
      <c r="T44" t="str">
        <f t="shared" si="12"/>
        <v/>
      </c>
      <c r="U44">
        <f t="shared" si="13"/>
        <v>0</v>
      </c>
      <c r="V44" t="str">
        <f t="shared" si="14"/>
        <v/>
      </c>
      <c r="W44" t="str">
        <f>IFERROR(RANK(V44,V$12:V$211,1)+COUNTIF(V$12:V44,V44)-1,"")</f>
        <v/>
      </c>
      <c r="Z44">
        <v>33</v>
      </c>
      <c r="AA44" s="422" t="str">
        <f t="shared" ref="AA44:AA75" si="21">_xlfn.SINGLE(_xlfn.XLOOKUP(Z44,W$12:W$211,O$12:O$211,""))</f>
        <v/>
      </c>
      <c r="AB44" s="498" t="str">
        <f t="shared" ref="AB44:AB75" si="22">_xlfn.SINGLE(_xlfn.XLOOKUP(Z44,W$12:W$211,T$12:T$211,""))</f>
        <v/>
      </c>
      <c r="AC44" s="423" t="str">
        <f t="shared" si="15"/>
        <v/>
      </c>
      <c r="AD44" s="470" t="str">
        <f t="shared" si="16"/>
        <v/>
      </c>
      <c r="AE44" s="468" t="str">
        <f t="shared" si="17"/>
        <v/>
      </c>
      <c r="AF44" s="457" t="str">
        <f t="shared" si="18"/>
        <v/>
      </c>
      <c r="AG44" s="472" t="str">
        <f t="shared" si="19"/>
        <v/>
      </c>
      <c r="AH44" s="490"/>
      <c r="AI44" s="488"/>
      <c r="AL44">
        <v>33</v>
      </c>
      <c r="AM44">
        <v>12</v>
      </c>
    </row>
    <row r="45" spans="1:39" x14ac:dyDescent="0.25">
      <c r="A45" t="str">
        <f>'New order'!U47</f>
        <v/>
      </c>
      <c r="B45" t="str">
        <f>'New order'!V47</f>
        <v/>
      </c>
      <c r="C45">
        <f>'New order'!AT47</f>
        <v>10</v>
      </c>
      <c r="D45" t="str">
        <f>'New order'!Y47</f>
        <v/>
      </c>
      <c r="E45">
        <f t="shared" si="3"/>
        <v>1</v>
      </c>
      <c r="F45">
        <f t="shared" si="4"/>
        <v>0</v>
      </c>
      <c r="G45" t="str">
        <f>'New order'!T47</f>
        <v/>
      </c>
      <c r="H45">
        <f>COUNTIF(C$12:C45,C45)</f>
        <v>34</v>
      </c>
      <c r="I45">
        <v>1</v>
      </c>
      <c r="J45">
        <f t="shared" si="5"/>
        <v>200</v>
      </c>
      <c r="K45" t="str">
        <f t="shared" si="0"/>
        <v/>
      </c>
      <c r="L45" t="str">
        <f t="shared" si="20"/>
        <v/>
      </c>
      <c r="M45" t="str">
        <f>IF(L45&lt;&gt;"",1+COUNT(M$12:M44),"")</f>
        <v/>
      </c>
      <c r="N45" t="str">
        <f t="shared" si="6"/>
        <v/>
      </c>
      <c r="O45" t="str">
        <f t="shared" si="7"/>
        <v/>
      </c>
      <c r="P45" t="str">
        <f t="shared" si="8"/>
        <v/>
      </c>
      <c r="Q45" t="str">
        <f t="shared" si="9"/>
        <v/>
      </c>
      <c r="R45" t="str">
        <f t="shared" si="10"/>
        <v/>
      </c>
      <c r="S45" t="str">
        <f t="shared" si="11"/>
        <v/>
      </c>
      <c r="T45" t="str">
        <f t="shared" si="12"/>
        <v/>
      </c>
      <c r="U45">
        <f t="shared" si="13"/>
        <v>0</v>
      </c>
      <c r="V45" t="str">
        <f t="shared" si="14"/>
        <v/>
      </c>
      <c r="W45" t="str">
        <f>IFERROR(RANK(V45,V$12:V$211,1)+COUNTIF(V$12:V45,V45)-1,"")</f>
        <v/>
      </c>
      <c r="Z45">
        <v>34</v>
      </c>
      <c r="AA45" s="522" t="str">
        <f t="shared" si="21"/>
        <v/>
      </c>
      <c r="AB45" s="523" t="str">
        <f t="shared" si="22"/>
        <v/>
      </c>
      <c r="AC45" s="524" t="str">
        <f t="shared" si="15"/>
        <v/>
      </c>
      <c r="AD45" s="525" t="str">
        <f t="shared" si="16"/>
        <v/>
      </c>
      <c r="AE45" s="526" t="str">
        <f t="shared" si="17"/>
        <v/>
      </c>
      <c r="AF45" s="527" t="str">
        <f t="shared" si="18"/>
        <v/>
      </c>
      <c r="AG45" s="528" t="str">
        <f t="shared" si="19"/>
        <v/>
      </c>
      <c r="AH45" s="529"/>
      <c r="AI45" s="530"/>
      <c r="AL45">
        <v>34</v>
      </c>
      <c r="AM45">
        <v>10</v>
      </c>
    </row>
    <row r="46" spans="1:39" x14ac:dyDescent="0.25">
      <c r="A46" t="str">
        <f>'New order'!U48</f>
        <v/>
      </c>
      <c r="B46" t="str">
        <f>'New order'!V48</f>
        <v/>
      </c>
      <c r="C46">
        <f>'New order'!AT48</f>
        <v>10</v>
      </c>
      <c r="D46" t="str">
        <f>'New order'!Y48</f>
        <v/>
      </c>
      <c r="E46">
        <f t="shared" si="3"/>
        <v>1</v>
      </c>
      <c r="F46">
        <f t="shared" si="4"/>
        <v>0</v>
      </c>
      <c r="G46" t="str">
        <f>'New order'!T48</f>
        <v/>
      </c>
      <c r="H46">
        <f>COUNTIF(C$12:C46,C46)</f>
        <v>35</v>
      </c>
      <c r="I46">
        <v>1</v>
      </c>
      <c r="J46">
        <f t="shared" si="5"/>
        <v>200</v>
      </c>
      <c r="K46" t="str">
        <f t="shared" si="0"/>
        <v/>
      </c>
      <c r="L46" t="str">
        <f t="shared" si="20"/>
        <v/>
      </c>
      <c r="M46" t="str">
        <f>IF(L46&lt;&gt;"",1+COUNT(M$12:M45),"")</f>
        <v/>
      </c>
      <c r="N46" t="str">
        <f t="shared" si="6"/>
        <v/>
      </c>
      <c r="O46" t="str">
        <f t="shared" si="7"/>
        <v/>
      </c>
      <c r="P46" t="str">
        <f t="shared" si="8"/>
        <v/>
      </c>
      <c r="Q46" t="str">
        <f t="shared" si="9"/>
        <v/>
      </c>
      <c r="R46" t="str">
        <f t="shared" si="10"/>
        <v/>
      </c>
      <c r="S46" t="str">
        <f t="shared" si="11"/>
        <v/>
      </c>
      <c r="T46" t="str">
        <f t="shared" si="12"/>
        <v/>
      </c>
      <c r="U46">
        <f t="shared" si="13"/>
        <v>0</v>
      </c>
      <c r="V46" t="str">
        <f t="shared" si="14"/>
        <v/>
      </c>
      <c r="W46" t="str">
        <f>IFERROR(RANK(V46,V$12:V$211,1)+COUNTIF(V$12:V46,V46)-1,"")</f>
        <v/>
      </c>
      <c r="Z46">
        <v>35</v>
      </c>
      <c r="AA46" s="422" t="str">
        <f t="shared" si="21"/>
        <v/>
      </c>
      <c r="AB46" s="498" t="str">
        <f t="shared" si="22"/>
        <v/>
      </c>
      <c r="AC46" s="423" t="str">
        <f t="shared" si="15"/>
        <v/>
      </c>
      <c r="AD46" s="470" t="str">
        <f t="shared" si="16"/>
        <v/>
      </c>
      <c r="AE46" s="468" t="str">
        <f t="shared" si="17"/>
        <v/>
      </c>
      <c r="AF46" s="457" t="str">
        <f t="shared" si="18"/>
        <v/>
      </c>
      <c r="AG46" s="472" t="str">
        <f t="shared" si="19"/>
        <v/>
      </c>
      <c r="AH46" s="490"/>
      <c r="AI46" s="488"/>
      <c r="AL46">
        <v>35</v>
      </c>
      <c r="AM46">
        <v>8</v>
      </c>
    </row>
    <row r="47" spans="1:39" x14ac:dyDescent="0.25">
      <c r="A47" t="str">
        <f>'New order'!U49</f>
        <v/>
      </c>
      <c r="B47" t="str">
        <f>'New order'!V49</f>
        <v/>
      </c>
      <c r="C47">
        <f>'New order'!AT49</f>
        <v>10</v>
      </c>
      <c r="D47" t="str">
        <f>'New order'!Y49</f>
        <v/>
      </c>
      <c r="E47">
        <f t="shared" si="3"/>
        <v>1</v>
      </c>
      <c r="F47">
        <f t="shared" si="4"/>
        <v>0</v>
      </c>
      <c r="G47" t="str">
        <f>'New order'!T49</f>
        <v/>
      </c>
      <c r="H47">
        <f>COUNTIF(C$12:C47,C47)</f>
        <v>36</v>
      </c>
      <c r="I47">
        <v>1</v>
      </c>
      <c r="J47">
        <f t="shared" si="5"/>
        <v>200</v>
      </c>
      <c r="K47" t="str">
        <f t="shared" si="0"/>
        <v/>
      </c>
      <c r="L47" t="str">
        <f t="shared" si="20"/>
        <v/>
      </c>
      <c r="M47" t="str">
        <f>IF(L47&lt;&gt;"",1+COUNT(M$12:M46),"")</f>
        <v/>
      </c>
      <c r="N47" t="str">
        <f t="shared" si="6"/>
        <v/>
      </c>
      <c r="O47" t="str">
        <f t="shared" si="7"/>
        <v/>
      </c>
      <c r="P47" t="str">
        <f t="shared" si="8"/>
        <v/>
      </c>
      <c r="Q47" t="str">
        <f t="shared" si="9"/>
        <v/>
      </c>
      <c r="R47" t="str">
        <f t="shared" si="10"/>
        <v/>
      </c>
      <c r="S47" t="str">
        <f t="shared" si="11"/>
        <v/>
      </c>
      <c r="T47" t="str">
        <f t="shared" si="12"/>
        <v/>
      </c>
      <c r="U47">
        <f t="shared" si="13"/>
        <v>0</v>
      </c>
      <c r="V47" t="str">
        <f t="shared" si="14"/>
        <v/>
      </c>
      <c r="W47" t="str">
        <f>IFERROR(RANK(V47,V$12:V$211,1)+COUNTIF(V$12:V47,V47)-1,"")</f>
        <v/>
      </c>
      <c r="Z47">
        <v>36</v>
      </c>
      <c r="AA47" s="522" t="str">
        <f t="shared" si="21"/>
        <v/>
      </c>
      <c r="AB47" s="523" t="str">
        <f t="shared" si="22"/>
        <v/>
      </c>
      <c r="AC47" s="524" t="str">
        <f t="shared" si="15"/>
        <v/>
      </c>
      <c r="AD47" s="525" t="str">
        <f t="shared" si="16"/>
        <v/>
      </c>
      <c r="AE47" s="526" t="str">
        <f t="shared" si="17"/>
        <v/>
      </c>
      <c r="AF47" s="527" t="str">
        <f t="shared" si="18"/>
        <v/>
      </c>
      <c r="AG47" s="528" t="str">
        <f t="shared" si="19"/>
        <v/>
      </c>
      <c r="AH47" s="529"/>
      <c r="AI47" s="530"/>
      <c r="AL47">
        <v>36</v>
      </c>
      <c r="AM47">
        <v>6</v>
      </c>
    </row>
    <row r="48" spans="1:39" x14ac:dyDescent="0.25">
      <c r="A48" t="str">
        <f>'New order'!U50</f>
        <v/>
      </c>
      <c r="B48" t="str">
        <f>'New order'!V50</f>
        <v/>
      </c>
      <c r="C48">
        <f>'New order'!AT50</f>
        <v>10</v>
      </c>
      <c r="D48" t="str">
        <f>'New order'!Y50</f>
        <v/>
      </c>
      <c r="E48">
        <f t="shared" si="3"/>
        <v>1</v>
      </c>
      <c r="F48">
        <f t="shared" si="4"/>
        <v>0</v>
      </c>
      <c r="G48" t="str">
        <f>'New order'!T50</f>
        <v/>
      </c>
      <c r="H48">
        <f>COUNTIF(C$12:C48,C48)</f>
        <v>37</v>
      </c>
      <c r="I48">
        <v>1</v>
      </c>
      <c r="J48">
        <f t="shared" si="5"/>
        <v>200</v>
      </c>
      <c r="K48" t="str">
        <f t="shared" si="0"/>
        <v/>
      </c>
      <c r="L48" t="str">
        <f t="shared" si="20"/>
        <v/>
      </c>
      <c r="M48" t="str">
        <f>IF(L48&lt;&gt;"",1+COUNT(M$12:M47),"")</f>
        <v/>
      </c>
      <c r="N48" t="str">
        <f t="shared" si="6"/>
        <v/>
      </c>
      <c r="O48" t="str">
        <f t="shared" si="7"/>
        <v/>
      </c>
      <c r="P48" t="str">
        <f t="shared" si="8"/>
        <v/>
      </c>
      <c r="Q48" t="str">
        <f t="shared" si="9"/>
        <v/>
      </c>
      <c r="R48" t="str">
        <f t="shared" si="10"/>
        <v/>
      </c>
      <c r="S48" t="str">
        <f t="shared" si="11"/>
        <v/>
      </c>
      <c r="T48" t="str">
        <f t="shared" si="12"/>
        <v/>
      </c>
      <c r="U48">
        <f t="shared" si="13"/>
        <v>0</v>
      </c>
      <c r="V48" t="str">
        <f t="shared" si="14"/>
        <v/>
      </c>
      <c r="W48" t="str">
        <f>IFERROR(RANK(V48,V$12:V$211,1)+COUNTIF(V$12:V48,V48)-1,"")</f>
        <v/>
      </c>
      <c r="Z48">
        <v>37</v>
      </c>
      <c r="AA48" s="422" t="str">
        <f t="shared" si="21"/>
        <v/>
      </c>
      <c r="AB48" s="498" t="str">
        <f t="shared" si="22"/>
        <v/>
      </c>
      <c r="AC48" s="423" t="str">
        <f t="shared" si="15"/>
        <v/>
      </c>
      <c r="AD48" s="470" t="str">
        <f t="shared" si="16"/>
        <v/>
      </c>
      <c r="AE48" s="468" t="str">
        <f t="shared" si="17"/>
        <v/>
      </c>
      <c r="AF48" s="457" t="str">
        <f t="shared" si="18"/>
        <v/>
      </c>
      <c r="AG48" s="472" t="str">
        <f t="shared" si="19"/>
        <v/>
      </c>
      <c r="AH48" s="490"/>
      <c r="AI48" s="488"/>
      <c r="AL48">
        <v>37</v>
      </c>
      <c r="AM48">
        <v>4</v>
      </c>
    </row>
    <row r="49" spans="1:39" x14ac:dyDescent="0.25">
      <c r="A49" t="str">
        <f>'New order'!U51</f>
        <v/>
      </c>
      <c r="B49" t="str">
        <f>'New order'!V51</f>
        <v/>
      </c>
      <c r="C49">
        <f>'New order'!AT51</f>
        <v>10</v>
      </c>
      <c r="D49" t="str">
        <f>'New order'!Y51</f>
        <v/>
      </c>
      <c r="E49">
        <f t="shared" si="3"/>
        <v>1</v>
      </c>
      <c r="F49">
        <f t="shared" si="4"/>
        <v>0</v>
      </c>
      <c r="G49" t="str">
        <f>'New order'!T51</f>
        <v/>
      </c>
      <c r="H49">
        <f>COUNTIF(C$12:C49,C49)</f>
        <v>38</v>
      </c>
      <c r="I49">
        <v>1</v>
      </c>
      <c r="J49">
        <f t="shared" si="5"/>
        <v>200</v>
      </c>
      <c r="K49" t="str">
        <f t="shared" si="0"/>
        <v/>
      </c>
      <c r="L49" t="str">
        <f t="shared" si="20"/>
        <v/>
      </c>
      <c r="M49" t="str">
        <f>IF(L49&lt;&gt;"",1+COUNT(M$12:M48),"")</f>
        <v/>
      </c>
      <c r="N49" t="str">
        <f t="shared" si="6"/>
        <v/>
      </c>
      <c r="O49" t="str">
        <f t="shared" si="7"/>
        <v/>
      </c>
      <c r="P49" t="str">
        <f t="shared" si="8"/>
        <v/>
      </c>
      <c r="Q49" t="str">
        <f t="shared" si="9"/>
        <v/>
      </c>
      <c r="R49" t="str">
        <f t="shared" si="10"/>
        <v/>
      </c>
      <c r="S49" t="str">
        <f t="shared" si="11"/>
        <v/>
      </c>
      <c r="T49" t="str">
        <f t="shared" si="12"/>
        <v/>
      </c>
      <c r="U49">
        <f t="shared" si="13"/>
        <v>0</v>
      </c>
      <c r="V49" t="str">
        <f t="shared" si="14"/>
        <v/>
      </c>
      <c r="W49" t="str">
        <f>IFERROR(RANK(V49,V$12:V$211,1)+COUNTIF(V$12:V49,V49)-1,"")</f>
        <v/>
      </c>
      <c r="Z49">
        <v>38</v>
      </c>
      <c r="AA49" s="522" t="str">
        <f t="shared" si="21"/>
        <v/>
      </c>
      <c r="AB49" s="523" t="str">
        <f t="shared" si="22"/>
        <v/>
      </c>
      <c r="AC49" s="524" t="str">
        <f t="shared" si="15"/>
        <v/>
      </c>
      <c r="AD49" s="525" t="str">
        <f t="shared" si="16"/>
        <v/>
      </c>
      <c r="AE49" s="526" t="str">
        <f t="shared" si="17"/>
        <v/>
      </c>
      <c r="AF49" s="527" t="str">
        <f t="shared" si="18"/>
        <v/>
      </c>
      <c r="AG49" s="528" t="str">
        <f t="shared" si="19"/>
        <v/>
      </c>
      <c r="AH49" s="529"/>
      <c r="AI49" s="530"/>
      <c r="AL49">
        <v>38</v>
      </c>
      <c r="AM49">
        <v>2</v>
      </c>
    </row>
    <row r="50" spans="1:39" x14ac:dyDescent="0.25">
      <c r="A50" t="str">
        <f>'New order'!U52</f>
        <v/>
      </c>
      <c r="B50" t="str">
        <f>'New order'!V52</f>
        <v/>
      </c>
      <c r="C50">
        <f>'New order'!AT52</f>
        <v>10</v>
      </c>
      <c r="D50" t="str">
        <f>'New order'!Y52</f>
        <v/>
      </c>
      <c r="E50">
        <f t="shared" si="3"/>
        <v>1</v>
      </c>
      <c r="F50">
        <f t="shared" si="4"/>
        <v>0</v>
      </c>
      <c r="G50" t="str">
        <f>'New order'!T52</f>
        <v/>
      </c>
      <c r="H50">
        <f>COUNTIF(C$12:C50,C50)</f>
        <v>39</v>
      </c>
      <c r="I50">
        <v>1</v>
      </c>
      <c r="J50">
        <f t="shared" si="5"/>
        <v>200</v>
      </c>
      <c r="K50" t="str">
        <f t="shared" si="0"/>
        <v/>
      </c>
      <c r="L50" t="str">
        <f t="shared" si="20"/>
        <v/>
      </c>
      <c r="M50" t="str">
        <f>IF(L50&lt;&gt;"",1+COUNT(M$12:M49),"")</f>
        <v/>
      </c>
      <c r="N50" t="str">
        <f t="shared" si="6"/>
        <v/>
      </c>
      <c r="O50" t="str">
        <f t="shared" si="7"/>
        <v/>
      </c>
      <c r="P50" t="str">
        <f t="shared" si="8"/>
        <v/>
      </c>
      <c r="Q50" t="str">
        <f t="shared" si="9"/>
        <v/>
      </c>
      <c r="R50" t="str">
        <f t="shared" si="10"/>
        <v/>
      </c>
      <c r="S50" t="str">
        <f t="shared" si="11"/>
        <v/>
      </c>
      <c r="T50" t="str">
        <f t="shared" si="12"/>
        <v/>
      </c>
      <c r="U50">
        <f t="shared" si="13"/>
        <v>0</v>
      </c>
      <c r="V50" t="str">
        <f t="shared" si="14"/>
        <v/>
      </c>
      <c r="W50" t="str">
        <f>IFERROR(RANK(V50,V$12:V$211,1)+COUNTIF(V$12:V50,V50)-1,"")</f>
        <v/>
      </c>
      <c r="Z50">
        <v>39</v>
      </c>
      <c r="AA50" s="422" t="str">
        <f t="shared" si="21"/>
        <v/>
      </c>
      <c r="AB50" s="498" t="str">
        <f t="shared" si="22"/>
        <v/>
      </c>
      <c r="AC50" s="423" t="str">
        <f t="shared" si="15"/>
        <v/>
      </c>
      <c r="AD50" s="470" t="str">
        <f t="shared" si="16"/>
        <v/>
      </c>
      <c r="AE50" s="468" t="str">
        <f t="shared" si="17"/>
        <v/>
      </c>
      <c r="AF50" s="457" t="str">
        <f t="shared" si="18"/>
        <v/>
      </c>
      <c r="AG50" s="472" t="str">
        <f t="shared" si="19"/>
        <v/>
      </c>
      <c r="AH50" s="490"/>
      <c r="AI50" s="488"/>
      <c r="AL50">
        <v>39</v>
      </c>
      <c r="AM50">
        <v>31</v>
      </c>
    </row>
    <row r="51" spans="1:39" x14ac:dyDescent="0.25">
      <c r="A51" t="str">
        <f>'New order'!U53</f>
        <v/>
      </c>
      <c r="B51" t="str">
        <f>'New order'!V53</f>
        <v/>
      </c>
      <c r="C51">
        <f>'New order'!AT53</f>
        <v>10</v>
      </c>
      <c r="D51" t="str">
        <f>'New order'!Y53</f>
        <v/>
      </c>
      <c r="E51">
        <f t="shared" si="3"/>
        <v>1</v>
      </c>
      <c r="F51">
        <f t="shared" si="4"/>
        <v>0</v>
      </c>
      <c r="G51" t="str">
        <f>'New order'!T53</f>
        <v/>
      </c>
      <c r="H51">
        <f>COUNTIF(C$12:C51,C51)</f>
        <v>40</v>
      </c>
      <c r="I51">
        <v>1</v>
      </c>
      <c r="J51">
        <f t="shared" si="5"/>
        <v>200</v>
      </c>
      <c r="K51" t="str">
        <f t="shared" si="0"/>
        <v/>
      </c>
      <c r="L51" t="str">
        <f t="shared" si="20"/>
        <v/>
      </c>
      <c r="M51" t="str">
        <f>IF(L51&lt;&gt;"",1+COUNT(M$12:M50),"")</f>
        <v/>
      </c>
      <c r="N51" t="str">
        <f t="shared" si="6"/>
        <v/>
      </c>
      <c r="O51" t="str">
        <f t="shared" si="7"/>
        <v/>
      </c>
      <c r="P51" t="str">
        <f t="shared" si="8"/>
        <v/>
      </c>
      <c r="Q51" t="str">
        <f t="shared" si="9"/>
        <v/>
      </c>
      <c r="R51" t="str">
        <f t="shared" si="10"/>
        <v/>
      </c>
      <c r="S51" t="str">
        <f t="shared" si="11"/>
        <v/>
      </c>
      <c r="T51" t="str">
        <f t="shared" si="12"/>
        <v/>
      </c>
      <c r="U51">
        <f t="shared" si="13"/>
        <v>0</v>
      </c>
      <c r="V51" t="str">
        <f t="shared" si="14"/>
        <v/>
      </c>
      <c r="W51" t="str">
        <f>IFERROR(RANK(V51,V$12:V$211,1)+COUNTIF(V$12:V51,V51)-1,"")</f>
        <v/>
      </c>
      <c r="Z51">
        <v>40</v>
      </c>
      <c r="AA51" s="522" t="str">
        <f t="shared" si="21"/>
        <v/>
      </c>
      <c r="AB51" s="523" t="str">
        <f t="shared" si="22"/>
        <v/>
      </c>
      <c r="AC51" s="524" t="str">
        <f t="shared" si="15"/>
        <v/>
      </c>
      <c r="AD51" s="525" t="str">
        <f t="shared" si="16"/>
        <v/>
      </c>
      <c r="AE51" s="526" t="str">
        <f t="shared" si="17"/>
        <v/>
      </c>
      <c r="AF51" s="527" t="str">
        <f t="shared" si="18"/>
        <v/>
      </c>
      <c r="AG51" s="528" t="str">
        <f t="shared" si="19"/>
        <v/>
      </c>
      <c r="AH51" s="529"/>
      <c r="AI51" s="530"/>
      <c r="AL51">
        <v>40</v>
      </c>
      <c r="AM51">
        <v>33</v>
      </c>
    </row>
    <row r="52" spans="1:39" x14ac:dyDescent="0.25">
      <c r="A52" t="str">
        <f>'New order'!U54</f>
        <v/>
      </c>
      <c r="B52" t="str">
        <f>'New order'!V54</f>
        <v/>
      </c>
      <c r="C52">
        <f>'New order'!AT54</f>
        <v>10</v>
      </c>
      <c r="D52" t="str">
        <f>'New order'!Y54</f>
        <v/>
      </c>
      <c r="E52">
        <f t="shared" si="3"/>
        <v>1</v>
      </c>
      <c r="F52">
        <f t="shared" si="4"/>
        <v>0</v>
      </c>
      <c r="G52" t="str">
        <f>'New order'!T54</f>
        <v/>
      </c>
      <c r="H52">
        <f>COUNTIF(C$12:C52,C52)</f>
        <v>41</v>
      </c>
      <c r="I52">
        <v>1</v>
      </c>
      <c r="J52">
        <f t="shared" si="5"/>
        <v>200</v>
      </c>
      <c r="K52" t="str">
        <f t="shared" si="0"/>
        <v/>
      </c>
      <c r="L52" t="str">
        <f t="shared" si="20"/>
        <v/>
      </c>
      <c r="M52" t="str">
        <f>IF(L52&lt;&gt;"",1+COUNT(M$12:M51),"")</f>
        <v/>
      </c>
      <c r="N52" t="str">
        <f t="shared" si="6"/>
        <v/>
      </c>
      <c r="O52" t="str">
        <f t="shared" si="7"/>
        <v/>
      </c>
      <c r="P52" t="str">
        <f t="shared" si="8"/>
        <v/>
      </c>
      <c r="Q52" t="str">
        <f t="shared" si="9"/>
        <v/>
      </c>
      <c r="R52" t="str">
        <f t="shared" si="10"/>
        <v/>
      </c>
      <c r="S52" t="str">
        <f t="shared" si="11"/>
        <v/>
      </c>
      <c r="T52" t="str">
        <f t="shared" si="12"/>
        <v/>
      </c>
      <c r="U52">
        <f t="shared" si="13"/>
        <v>0</v>
      </c>
      <c r="V52" t="str">
        <f t="shared" si="14"/>
        <v/>
      </c>
      <c r="W52" t="str">
        <f>IFERROR(RANK(V52,V$12:V$211,1)+COUNTIF(V$12:V52,V52)-1,"")</f>
        <v/>
      </c>
      <c r="Z52">
        <v>41</v>
      </c>
      <c r="AA52" s="422" t="str">
        <f t="shared" si="21"/>
        <v/>
      </c>
      <c r="AB52" s="498" t="str">
        <f t="shared" si="22"/>
        <v/>
      </c>
      <c r="AC52" s="423" t="str">
        <f t="shared" si="15"/>
        <v/>
      </c>
      <c r="AD52" s="470" t="str">
        <f t="shared" si="16"/>
        <v/>
      </c>
      <c r="AE52" s="468" t="str">
        <f t="shared" si="17"/>
        <v/>
      </c>
      <c r="AF52" s="457" t="str">
        <f t="shared" si="18"/>
        <v/>
      </c>
      <c r="AG52" s="472" t="str">
        <f t="shared" si="19"/>
        <v/>
      </c>
      <c r="AH52" s="490"/>
      <c r="AI52" s="488"/>
      <c r="AL52">
        <v>41</v>
      </c>
      <c r="AM52">
        <v>35</v>
      </c>
    </row>
    <row r="53" spans="1:39" x14ac:dyDescent="0.25">
      <c r="A53" t="str">
        <f>'New order'!U55</f>
        <v/>
      </c>
      <c r="B53" t="str">
        <f>'New order'!V55</f>
        <v/>
      </c>
      <c r="C53">
        <f>'New order'!AT55</f>
        <v>10</v>
      </c>
      <c r="D53" t="str">
        <f>'New order'!Y55</f>
        <v/>
      </c>
      <c r="E53">
        <f t="shared" si="3"/>
        <v>1</v>
      </c>
      <c r="F53">
        <f t="shared" si="4"/>
        <v>0</v>
      </c>
      <c r="G53" t="str">
        <f>'New order'!T55</f>
        <v/>
      </c>
      <c r="H53">
        <f>COUNTIF(C$12:C53,C53)</f>
        <v>42</v>
      </c>
      <c r="I53">
        <v>1</v>
      </c>
      <c r="J53">
        <f t="shared" si="5"/>
        <v>200</v>
      </c>
      <c r="K53" t="str">
        <f t="shared" si="0"/>
        <v/>
      </c>
      <c r="L53" t="str">
        <f t="shared" si="20"/>
        <v/>
      </c>
      <c r="M53" t="str">
        <f>IF(L53&lt;&gt;"",1+COUNT(M$12:M52),"")</f>
        <v/>
      </c>
      <c r="N53" t="str">
        <f t="shared" si="6"/>
        <v/>
      </c>
      <c r="O53" t="str">
        <f t="shared" si="7"/>
        <v/>
      </c>
      <c r="P53" t="str">
        <f t="shared" si="8"/>
        <v/>
      </c>
      <c r="Q53" t="str">
        <f t="shared" si="9"/>
        <v/>
      </c>
      <c r="R53" t="str">
        <f t="shared" si="10"/>
        <v/>
      </c>
      <c r="S53" t="str">
        <f t="shared" si="11"/>
        <v/>
      </c>
      <c r="T53" t="str">
        <f t="shared" si="12"/>
        <v/>
      </c>
      <c r="U53">
        <f t="shared" si="13"/>
        <v>0</v>
      </c>
      <c r="V53" t="str">
        <f t="shared" si="14"/>
        <v/>
      </c>
      <c r="W53" t="str">
        <f>IFERROR(RANK(V53,V$12:V$211,1)+COUNTIF(V$12:V53,V53)-1,"")</f>
        <v/>
      </c>
      <c r="Z53">
        <v>42</v>
      </c>
      <c r="AA53" s="422" t="str">
        <f t="shared" si="21"/>
        <v/>
      </c>
      <c r="AB53" s="498" t="str">
        <f t="shared" si="22"/>
        <v/>
      </c>
      <c r="AC53" s="423" t="str">
        <f t="shared" si="15"/>
        <v/>
      </c>
      <c r="AD53" s="470" t="str">
        <f t="shared" si="16"/>
        <v/>
      </c>
      <c r="AE53" s="468" t="str">
        <f t="shared" si="17"/>
        <v/>
      </c>
      <c r="AF53" s="457" t="str">
        <f t="shared" si="18"/>
        <v/>
      </c>
      <c r="AG53" s="472" t="str">
        <f t="shared" si="19"/>
        <v/>
      </c>
      <c r="AH53" s="490"/>
      <c r="AI53" s="488"/>
      <c r="AL53">
        <v>42</v>
      </c>
      <c r="AM53">
        <v>37</v>
      </c>
    </row>
    <row r="54" spans="1:39" x14ac:dyDescent="0.25">
      <c r="A54" t="str">
        <f>'New order'!U56</f>
        <v/>
      </c>
      <c r="B54" t="str">
        <f>'New order'!V56</f>
        <v/>
      </c>
      <c r="C54">
        <f>'New order'!AT56</f>
        <v>10</v>
      </c>
      <c r="D54" t="str">
        <f>'New order'!Y56</f>
        <v/>
      </c>
      <c r="E54">
        <f t="shared" si="3"/>
        <v>1</v>
      </c>
      <c r="F54">
        <f t="shared" si="4"/>
        <v>0</v>
      </c>
      <c r="G54" t="str">
        <f>'New order'!T56</f>
        <v/>
      </c>
      <c r="H54">
        <f>COUNTIF(C$12:C54,C54)</f>
        <v>43</v>
      </c>
      <c r="I54">
        <v>1</v>
      </c>
      <c r="J54">
        <f t="shared" si="5"/>
        <v>200</v>
      </c>
      <c r="K54" t="str">
        <f t="shared" si="0"/>
        <v/>
      </c>
      <c r="L54" t="str">
        <f t="shared" si="20"/>
        <v/>
      </c>
      <c r="M54" t="str">
        <f>IF(L54&lt;&gt;"",1+COUNT(M$12:M53),"")</f>
        <v/>
      </c>
      <c r="N54" t="str">
        <f t="shared" si="6"/>
        <v/>
      </c>
      <c r="O54" t="str">
        <f t="shared" si="7"/>
        <v/>
      </c>
      <c r="P54" t="str">
        <f t="shared" si="8"/>
        <v/>
      </c>
      <c r="Q54" t="str">
        <f t="shared" si="9"/>
        <v/>
      </c>
      <c r="R54" t="str">
        <f t="shared" si="10"/>
        <v/>
      </c>
      <c r="S54" t="str">
        <f t="shared" si="11"/>
        <v/>
      </c>
      <c r="T54" t="str">
        <f t="shared" si="12"/>
        <v/>
      </c>
      <c r="U54">
        <f t="shared" si="13"/>
        <v>0</v>
      </c>
      <c r="V54" t="str">
        <f t="shared" si="14"/>
        <v/>
      </c>
      <c r="W54" t="str">
        <f>IFERROR(RANK(V54,V$12:V$211,1)+COUNTIF(V$12:V54,V54)-1,"")</f>
        <v/>
      </c>
      <c r="Z54">
        <v>43</v>
      </c>
      <c r="AA54" s="522" t="str">
        <f t="shared" si="21"/>
        <v/>
      </c>
      <c r="AB54" s="523" t="str">
        <f t="shared" si="22"/>
        <v/>
      </c>
      <c r="AC54" s="524" t="str">
        <f t="shared" si="15"/>
        <v/>
      </c>
      <c r="AD54" s="525" t="str">
        <f t="shared" si="16"/>
        <v/>
      </c>
      <c r="AE54" s="526" t="str">
        <f t="shared" si="17"/>
        <v/>
      </c>
      <c r="AF54" s="527" t="str">
        <f t="shared" si="18"/>
        <v/>
      </c>
      <c r="AG54" s="528" t="str">
        <f t="shared" si="19"/>
        <v/>
      </c>
      <c r="AH54" s="529"/>
      <c r="AI54" s="530"/>
      <c r="AL54">
        <v>43</v>
      </c>
      <c r="AM54">
        <v>39</v>
      </c>
    </row>
    <row r="55" spans="1:39" x14ac:dyDescent="0.25">
      <c r="A55" t="str">
        <f>'New order'!U57</f>
        <v/>
      </c>
      <c r="B55" t="str">
        <f>'New order'!V57</f>
        <v/>
      </c>
      <c r="C55">
        <f>'New order'!AT57</f>
        <v>10</v>
      </c>
      <c r="D55" t="str">
        <f>'New order'!Y57</f>
        <v/>
      </c>
      <c r="E55">
        <f t="shared" si="3"/>
        <v>1</v>
      </c>
      <c r="F55">
        <f t="shared" si="4"/>
        <v>0</v>
      </c>
      <c r="G55" t="str">
        <f>'New order'!T57</f>
        <v/>
      </c>
      <c r="H55">
        <f>COUNTIF(C$12:C55,C55)</f>
        <v>44</v>
      </c>
      <c r="I55">
        <v>1</v>
      </c>
      <c r="J55">
        <f t="shared" si="5"/>
        <v>200</v>
      </c>
      <c r="K55" t="str">
        <f t="shared" si="0"/>
        <v/>
      </c>
      <c r="L55" t="str">
        <f t="shared" si="20"/>
        <v/>
      </c>
      <c r="M55" t="str">
        <f>IF(L55&lt;&gt;"",1+COUNT(M$12:M54),"")</f>
        <v/>
      </c>
      <c r="N55" t="str">
        <f t="shared" si="6"/>
        <v/>
      </c>
      <c r="O55" t="str">
        <f t="shared" si="7"/>
        <v/>
      </c>
      <c r="P55" t="str">
        <f t="shared" si="8"/>
        <v/>
      </c>
      <c r="Q55" t="str">
        <f t="shared" si="9"/>
        <v/>
      </c>
      <c r="R55" t="str">
        <f t="shared" si="10"/>
        <v/>
      </c>
      <c r="S55" t="str">
        <f t="shared" si="11"/>
        <v/>
      </c>
      <c r="T55" t="str">
        <f t="shared" si="12"/>
        <v/>
      </c>
      <c r="U55">
        <f t="shared" si="13"/>
        <v>0</v>
      </c>
      <c r="V55" t="str">
        <f t="shared" si="14"/>
        <v/>
      </c>
      <c r="W55" t="str">
        <f>IFERROR(RANK(V55,V$12:V$211,1)+COUNTIF(V$12:V55,V55)-1,"")</f>
        <v/>
      </c>
      <c r="Z55">
        <v>44</v>
      </c>
      <c r="AA55" s="422" t="str">
        <f t="shared" si="21"/>
        <v/>
      </c>
      <c r="AB55" s="498" t="str">
        <f t="shared" si="22"/>
        <v/>
      </c>
      <c r="AC55" s="423" t="str">
        <f t="shared" si="15"/>
        <v/>
      </c>
      <c r="AD55" s="470" t="str">
        <f t="shared" si="16"/>
        <v/>
      </c>
      <c r="AE55" s="468" t="str">
        <f t="shared" si="17"/>
        <v/>
      </c>
      <c r="AF55" s="457" t="str">
        <f t="shared" si="18"/>
        <v/>
      </c>
      <c r="AG55" s="472" t="str">
        <f t="shared" si="19"/>
        <v/>
      </c>
      <c r="AH55" s="490"/>
      <c r="AI55" s="488"/>
      <c r="AL55">
        <v>44</v>
      </c>
      <c r="AM55">
        <v>41</v>
      </c>
    </row>
    <row r="56" spans="1:39" x14ac:dyDescent="0.25">
      <c r="A56" t="str">
        <f>'New order'!U58</f>
        <v/>
      </c>
      <c r="B56" t="str">
        <f>'New order'!V58</f>
        <v/>
      </c>
      <c r="C56">
        <f>'New order'!AT58</f>
        <v>10</v>
      </c>
      <c r="D56" t="str">
        <f>'New order'!Y58</f>
        <v/>
      </c>
      <c r="E56">
        <f t="shared" si="3"/>
        <v>1</v>
      </c>
      <c r="F56">
        <f t="shared" si="4"/>
        <v>0</v>
      </c>
      <c r="G56" t="str">
        <f>'New order'!T58</f>
        <v/>
      </c>
      <c r="H56">
        <f>COUNTIF(C$12:C56,C56)</f>
        <v>45</v>
      </c>
      <c r="I56">
        <v>1</v>
      </c>
      <c r="J56">
        <f t="shared" si="5"/>
        <v>200</v>
      </c>
      <c r="K56" t="str">
        <f t="shared" si="0"/>
        <v/>
      </c>
      <c r="L56" t="str">
        <f t="shared" si="20"/>
        <v/>
      </c>
      <c r="M56" t="str">
        <f>IF(L56&lt;&gt;"",1+COUNT(M$12:M55),"")</f>
        <v/>
      </c>
      <c r="N56" t="str">
        <f t="shared" si="6"/>
        <v/>
      </c>
      <c r="O56" t="str">
        <f t="shared" si="7"/>
        <v/>
      </c>
      <c r="P56" t="str">
        <f t="shared" si="8"/>
        <v/>
      </c>
      <c r="Q56" t="str">
        <f t="shared" si="9"/>
        <v/>
      </c>
      <c r="R56" t="str">
        <f t="shared" si="10"/>
        <v/>
      </c>
      <c r="S56" t="str">
        <f t="shared" si="11"/>
        <v/>
      </c>
      <c r="T56" t="str">
        <f t="shared" si="12"/>
        <v/>
      </c>
      <c r="U56">
        <f t="shared" si="13"/>
        <v>0</v>
      </c>
      <c r="V56" t="str">
        <f t="shared" si="14"/>
        <v/>
      </c>
      <c r="W56" t="str">
        <f>IFERROR(RANK(V56,V$12:V$211,1)+COUNTIF(V$12:V56,V56)-1,"")</f>
        <v/>
      </c>
      <c r="Z56">
        <v>45</v>
      </c>
      <c r="AA56" s="522" t="str">
        <f t="shared" si="21"/>
        <v/>
      </c>
      <c r="AB56" s="523" t="str">
        <f t="shared" si="22"/>
        <v/>
      </c>
      <c r="AC56" s="524" t="str">
        <f t="shared" si="15"/>
        <v/>
      </c>
      <c r="AD56" s="525" t="str">
        <f t="shared" si="16"/>
        <v/>
      </c>
      <c r="AE56" s="526" t="str">
        <f t="shared" si="17"/>
        <v/>
      </c>
      <c r="AF56" s="527" t="str">
        <f t="shared" si="18"/>
        <v/>
      </c>
      <c r="AG56" s="528" t="str">
        <f t="shared" si="19"/>
        <v/>
      </c>
      <c r="AH56" s="529"/>
      <c r="AI56" s="530"/>
      <c r="AL56">
        <v>45</v>
      </c>
      <c r="AM56">
        <v>43</v>
      </c>
    </row>
    <row r="57" spans="1:39" x14ac:dyDescent="0.25">
      <c r="A57" t="str">
        <f>'New order'!U59</f>
        <v/>
      </c>
      <c r="B57" t="str">
        <f>'New order'!V59</f>
        <v/>
      </c>
      <c r="C57">
        <f>'New order'!AT59</f>
        <v>10</v>
      </c>
      <c r="D57" t="str">
        <f>'New order'!Y59</f>
        <v/>
      </c>
      <c r="E57">
        <f t="shared" si="3"/>
        <v>1</v>
      </c>
      <c r="F57">
        <f t="shared" si="4"/>
        <v>0</v>
      </c>
      <c r="G57" t="str">
        <f>'New order'!T59</f>
        <v/>
      </c>
      <c r="H57">
        <f>COUNTIF(C$12:C57,C57)</f>
        <v>46</v>
      </c>
      <c r="I57">
        <v>1</v>
      </c>
      <c r="J57">
        <f t="shared" si="5"/>
        <v>200</v>
      </c>
      <c r="K57" t="str">
        <f t="shared" si="0"/>
        <v/>
      </c>
      <c r="L57" t="str">
        <f t="shared" si="20"/>
        <v/>
      </c>
      <c r="M57" t="str">
        <f>IF(L57&lt;&gt;"",1+COUNT(M$12:M56),"")</f>
        <v/>
      </c>
      <c r="N57" t="str">
        <f t="shared" si="6"/>
        <v/>
      </c>
      <c r="O57" t="str">
        <f t="shared" si="7"/>
        <v/>
      </c>
      <c r="P57" t="str">
        <f t="shared" si="8"/>
        <v/>
      </c>
      <c r="Q57" t="str">
        <f t="shared" si="9"/>
        <v/>
      </c>
      <c r="R57" t="str">
        <f t="shared" si="10"/>
        <v/>
      </c>
      <c r="S57" t="str">
        <f t="shared" si="11"/>
        <v/>
      </c>
      <c r="T57" t="str">
        <f t="shared" si="12"/>
        <v/>
      </c>
      <c r="U57">
        <f t="shared" si="13"/>
        <v>0</v>
      </c>
      <c r="V57" t="str">
        <f t="shared" si="14"/>
        <v/>
      </c>
      <c r="W57" t="str">
        <f>IFERROR(RANK(V57,V$12:V$211,1)+COUNTIF(V$12:V57,V57)-1,"")</f>
        <v/>
      </c>
      <c r="Z57">
        <v>46</v>
      </c>
      <c r="AA57" s="422" t="str">
        <f t="shared" si="21"/>
        <v/>
      </c>
      <c r="AB57" s="498" t="str">
        <f t="shared" si="22"/>
        <v/>
      </c>
      <c r="AC57" s="423" t="str">
        <f t="shared" si="15"/>
        <v/>
      </c>
      <c r="AD57" s="470" t="str">
        <f t="shared" si="16"/>
        <v/>
      </c>
      <c r="AE57" s="468" t="str">
        <f t="shared" si="17"/>
        <v/>
      </c>
      <c r="AF57" s="457" t="str">
        <f t="shared" si="18"/>
        <v/>
      </c>
      <c r="AG57" s="472" t="str">
        <f t="shared" si="19"/>
        <v/>
      </c>
      <c r="AH57" s="490"/>
      <c r="AI57" s="488"/>
      <c r="AL57">
        <v>46</v>
      </c>
      <c r="AM57">
        <v>45</v>
      </c>
    </row>
    <row r="58" spans="1:39" x14ac:dyDescent="0.25">
      <c r="A58" t="str">
        <f>'New order'!U60</f>
        <v/>
      </c>
      <c r="B58" t="str">
        <f>'New order'!V60</f>
        <v/>
      </c>
      <c r="C58">
        <f>'New order'!AT60</f>
        <v>10</v>
      </c>
      <c r="D58" t="str">
        <f>'New order'!Y60</f>
        <v/>
      </c>
      <c r="E58">
        <f>ROUNDDOWN(C58/10,0)</f>
        <v>1</v>
      </c>
      <c r="F58">
        <f t="shared" si="4"/>
        <v>0</v>
      </c>
      <c r="G58" t="str">
        <f>'New order'!T60</f>
        <v/>
      </c>
      <c r="H58">
        <f>COUNTIF(C$12:C58,C58)</f>
        <v>47</v>
      </c>
      <c r="I58">
        <v>1</v>
      </c>
      <c r="J58">
        <f t="shared" si="5"/>
        <v>200</v>
      </c>
      <c r="K58" t="str">
        <f t="shared" si="0"/>
        <v/>
      </c>
      <c r="L58" t="str">
        <f t="shared" si="20"/>
        <v/>
      </c>
      <c r="M58" t="str">
        <f>IF(L58&lt;&gt;"",1+COUNT(M$12:M57),"")</f>
        <v/>
      </c>
      <c r="N58" t="str">
        <f t="shared" si="6"/>
        <v/>
      </c>
      <c r="O58" t="str">
        <f t="shared" si="7"/>
        <v/>
      </c>
      <c r="P58" t="str">
        <f t="shared" si="8"/>
        <v/>
      </c>
      <c r="Q58" t="str">
        <f t="shared" si="9"/>
        <v/>
      </c>
      <c r="R58" t="str">
        <f t="shared" si="10"/>
        <v/>
      </c>
      <c r="S58" t="str">
        <f t="shared" si="11"/>
        <v/>
      </c>
      <c r="T58" t="str">
        <f t="shared" si="12"/>
        <v/>
      </c>
      <c r="U58">
        <f t="shared" si="13"/>
        <v>0</v>
      </c>
      <c r="V58" t="str">
        <f t="shared" si="14"/>
        <v/>
      </c>
      <c r="W58" t="str">
        <f>IFERROR(RANK(V58,V$12:V$211,1)+COUNTIF(V$12:V58,V58)-1,"")</f>
        <v/>
      </c>
      <c r="Z58">
        <v>47</v>
      </c>
      <c r="AA58" s="522" t="str">
        <f t="shared" si="21"/>
        <v/>
      </c>
      <c r="AB58" s="523" t="str">
        <f t="shared" si="22"/>
        <v/>
      </c>
      <c r="AC58" s="524" t="str">
        <f t="shared" si="15"/>
        <v/>
      </c>
      <c r="AD58" s="525" t="str">
        <f t="shared" si="16"/>
        <v/>
      </c>
      <c r="AE58" s="526" t="str">
        <f t="shared" si="17"/>
        <v/>
      </c>
      <c r="AF58" s="527" t="str">
        <f t="shared" si="18"/>
        <v/>
      </c>
      <c r="AG58" s="528" t="str">
        <f t="shared" si="19"/>
        <v/>
      </c>
      <c r="AH58" s="529"/>
      <c r="AI58" s="530"/>
      <c r="AL58">
        <v>47</v>
      </c>
      <c r="AM58">
        <v>47</v>
      </c>
    </row>
    <row r="59" spans="1:39" x14ac:dyDescent="0.25">
      <c r="A59" t="str">
        <f>'New order'!U61</f>
        <v/>
      </c>
      <c r="B59" t="str">
        <f>'New order'!V61</f>
        <v/>
      </c>
      <c r="C59">
        <f>'New order'!AT61</f>
        <v>10</v>
      </c>
      <c r="D59" t="str">
        <f>'New order'!Y61</f>
        <v/>
      </c>
      <c r="E59">
        <f t="shared" si="3"/>
        <v>1</v>
      </c>
      <c r="F59">
        <f t="shared" si="4"/>
        <v>0</v>
      </c>
      <c r="G59" t="str">
        <f>'New order'!T61</f>
        <v/>
      </c>
      <c r="H59">
        <f>COUNTIF(C$12:C59,C59)</f>
        <v>48</v>
      </c>
      <c r="I59">
        <v>1</v>
      </c>
      <c r="J59">
        <f t="shared" si="5"/>
        <v>200</v>
      </c>
      <c r="K59" t="str">
        <f t="shared" si="0"/>
        <v/>
      </c>
      <c r="L59" t="str">
        <f t="shared" si="20"/>
        <v/>
      </c>
      <c r="M59" t="str">
        <f>IF(L59&lt;&gt;"",1+COUNT(M$12:M58),"")</f>
        <v/>
      </c>
      <c r="N59" t="str">
        <f t="shared" si="6"/>
        <v/>
      </c>
      <c r="O59" t="str">
        <f t="shared" si="7"/>
        <v/>
      </c>
      <c r="P59" t="str">
        <f t="shared" si="8"/>
        <v/>
      </c>
      <c r="Q59" t="str">
        <f t="shared" si="9"/>
        <v/>
      </c>
      <c r="R59" t="str">
        <f t="shared" si="10"/>
        <v/>
      </c>
      <c r="S59" t="str">
        <f t="shared" si="11"/>
        <v/>
      </c>
      <c r="T59" t="str">
        <f t="shared" si="12"/>
        <v/>
      </c>
      <c r="U59">
        <f t="shared" si="13"/>
        <v>0</v>
      </c>
      <c r="V59" t="str">
        <f t="shared" si="14"/>
        <v/>
      </c>
      <c r="W59" t="str">
        <f>IFERROR(RANK(V59,V$12:V$211,1)+COUNTIF(V$12:V59,V59)-1,"")</f>
        <v/>
      </c>
      <c r="Z59">
        <v>48</v>
      </c>
      <c r="AA59" s="422" t="str">
        <f t="shared" si="21"/>
        <v/>
      </c>
      <c r="AB59" s="498" t="str">
        <f t="shared" si="22"/>
        <v/>
      </c>
      <c r="AC59" s="423" t="str">
        <f t="shared" si="15"/>
        <v/>
      </c>
      <c r="AD59" s="470" t="str">
        <f t="shared" si="16"/>
        <v/>
      </c>
      <c r="AE59" s="468" t="str">
        <f t="shared" si="17"/>
        <v/>
      </c>
      <c r="AF59" s="457" t="str">
        <f t="shared" si="18"/>
        <v/>
      </c>
      <c r="AG59" s="472" t="str">
        <f t="shared" si="19"/>
        <v/>
      </c>
      <c r="AH59" s="490"/>
      <c r="AI59" s="488"/>
      <c r="AL59">
        <v>48</v>
      </c>
      <c r="AM59">
        <v>49</v>
      </c>
    </row>
    <row r="60" spans="1:39" x14ac:dyDescent="0.25">
      <c r="A60" t="str">
        <f>'New order'!U62</f>
        <v/>
      </c>
      <c r="B60" t="str">
        <f>'New order'!V62</f>
        <v/>
      </c>
      <c r="C60">
        <f>'New order'!AT62</f>
        <v>10</v>
      </c>
      <c r="D60" t="str">
        <f>'New order'!Y62</f>
        <v/>
      </c>
      <c r="E60">
        <f t="shared" si="3"/>
        <v>1</v>
      </c>
      <c r="F60">
        <f t="shared" si="4"/>
        <v>0</v>
      </c>
      <c r="G60" t="str">
        <f>'New order'!T62</f>
        <v/>
      </c>
      <c r="H60">
        <f>COUNTIF(C$12:C60,C60)</f>
        <v>49</v>
      </c>
      <c r="I60">
        <v>1</v>
      </c>
      <c r="J60">
        <f t="shared" si="5"/>
        <v>200</v>
      </c>
      <c r="K60" t="str">
        <f t="shared" si="0"/>
        <v/>
      </c>
      <c r="L60" t="str">
        <f t="shared" si="20"/>
        <v/>
      </c>
      <c r="M60" t="str">
        <f>IF(L60&lt;&gt;"",1+COUNT(M$12:M59),"")</f>
        <v/>
      </c>
      <c r="N60" t="str">
        <f t="shared" si="6"/>
        <v/>
      </c>
      <c r="O60" t="str">
        <f t="shared" si="7"/>
        <v/>
      </c>
      <c r="P60" t="str">
        <f t="shared" si="8"/>
        <v/>
      </c>
      <c r="Q60" t="str">
        <f t="shared" si="9"/>
        <v/>
      </c>
      <c r="R60" t="str">
        <f t="shared" si="10"/>
        <v/>
      </c>
      <c r="S60" t="str">
        <f t="shared" si="11"/>
        <v/>
      </c>
      <c r="T60" t="str">
        <f t="shared" si="12"/>
        <v/>
      </c>
      <c r="U60">
        <f t="shared" si="13"/>
        <v>0</v>
      </c>
      <c r="V60" t="str">
        <f t="shared" si="14"/>
        <v/>
      </c>
      <c r="W60" t="str">
        <f>IFERROR(RANK(V60,V$12:V$211,1)+COUNTIF(V$12:V60,V60)-1,"")</f>
        <v/>
      </c>
      <c r="Z60">
        <v>49</v>
      </c>
      <c r="AA60" s="522" t="str">
        <f t="shared" si="21"/>
        <v/>
      </c>
      <c r="AB60" s="523" t="str">
        <f t="shared" si="22"/>
        <v/>
      </c>
      <c r="AC60" s="524" t="str">
        <f t="shared" si="15"/>
        <v/>
      </c>
      <c r="AD60" s="525" t="str">
        <f t="shared" si="16"/>
        <v/>
      </c>
      <c r="AE60" s="526" t="str">
        <f t="shared" si="17"/>
        <v/>
      </c>
      <c r="AF60" s="527" t="str">
        <f t="shared" si="18"/>
        <v/>
      </c>
      <c r="AG60" s="528" t="str">
        <f t="shared" si="19"/>
        <v/>
      </c>
      <c r="AH60" s="529"/>
      <c r="AI60" s="530"/>
      <c r="AL60">
        <v>49</v>
      </c>
      <c r="AM60">
        <v>51</v>
      </c>
    </row>
    <row r="61" spans="1:39" x14ac:dyDescent="0.25">
      <c r="A61" t="str">
        <f>'New order'!U63</f>
        <v/>
      </c>
      <c r="B61" t="str">
        <f>'New order'!V63</f>
        <v/>
      </c>
      <c r="C61">
        <f>'New order'!AT63</f>
        <v>10</v>
      </c>
      <c r="D61" t="str">
        <f>'New order'!Y63</f>
        <v/>
      </c>
      <c r="E61">
        <f t="shared" si="3"/>
        <v>1</v>
      </c>
      <c r="F61">
        <f t="shared" si="4"/>
        <v>0</v>
      </c>
      <c r="G61" t="str">
        <f>'New order'!T63</f>
        <v/>
      </c>
      <c r="H61">
        <f>COUNTIF(C$12:C61,C61)</f>
        <v>50</v>
      </c>
      <c r="I61">
        <v>1</v>
      </c>
      <c r="J61">
        <f t="shared" si="5"/>
        <v>200</v>
      </c>
      <c r="K61" t="str">
        <f t="shared" si="0"/>
        <v/>
      </c>
      <c r="L61" t="str">
        <f t="shared" si="20"/>
        <v/>
      </c>
      <c r="M61" t="str">
        <f>IF(L61&lt;&gt;"",1+COUNT(M$12:M60),"")</f>
        <v/>
      </c>
      <c r="N61" t="str">
        <f t="shared" si="6"/>
        <v/>
      </c>
      <c r="O61" t="str">
        <f t="shared" si="7"/>
        <v/>
      </c>
      <c r="P61" t="str">
        <f t="shared" si="8"/>
        <v/>
      </c>
      <c r="Q61" t="str">
        <f t="shared" si="9"/>
        <v/>
      </c>
      <c r="R61" t="str">
        <f t="shared" si="10"/>
        <v/>
      </c>
      <c r="S61" t="str">
        <f t="shared" si="11"/>
        <v/>
      </c>
      <c r="T61" t="str">
        <f t="shared" si="12"/>
        <v/>
      </c>
      <c r="U61">
        <f t="shared" si="13"/>
        <v>0</v>
      </c>
      <c r="V61" t="str">
        <f t="shared" si="14"/>
        <v/>
      </c>
      <c r="W61" t="str">
        <f>IFERROR(RANK(V61,V$12:V$211,1)+COUNTIF(V$12:V61,V61)-1,"")</f>
        <v/>
      </c>
      <c r="Z61">
        <v>50</v>
      </c>
      <c r="AA61" s="422" t="str">
        <f t="shared" si="21"/>
        <v/>
      </c>
      <c r="AB61" s="498" t="str">
        <f t="shared" si="22"/>
        <v/>
      </c>
      <c r="AC61" s="423" t="str">
        <f t="shared" si="15"/>
        <v/>
      </c>
      <c r="AD61" s="470" t="str">
        <f t="shared" si="16"/>
        <v/>
      </c>
      <c r="AE61" s="468" t="str">
        <f t="shared" si="17"/>
        <v/>
      </c>
      <c r="AF61" s="457" t="str">
        <f t="shared" si="18"/>
        <v/>
      </c>
      <c r="AG61" s="472" t="str">
        <f t="shared" si="19"/>
        <v/>
      </c>
      <c r="AH61" s="490"/>
      <c r="AI61" s="488"/>
      <c r="AL61">
        <v>50</v>
      </c>
      <c r="AM61">
        <v>53</v>
      </c>
    </row>
    <row r="62" spans="1:39" x14ac:dyDescent="0.25">
      <c r="A62" t="str">
        <f>'New order'!U64</f>
        <v/>
      </c>
      <c r="B62" t="str">
        <f>'New order'!V64</f>
        <v/>
      </c>
      <c r="C62">
        <f>'New order'!AT64</f>
        <v>10</v>
      </c>
      <c r="D62" t="str">
        <f>'New order'!Y64</f>
        <v/>
      </c>
      <c r="E62">
        <f t="shared" si="3"/>
        <v>1</v>
      </c>
      <c r="F62">
        <f t="shared" si="4"/>
        <v>0</v>
      </c>
      <c r="G62" t="str">
        <f>'New order'!T64</f>
        <v/>
      </c>
      <c r="H62">
        <f>COUNTIF(C$12:C62,C62)</f>
        <v>51</v>
      </c>
      <c r="I62">
        <v>1</v>
      </c>
      <c r="J62">
        <f t="shared" si="5"/>
        <v>200</v>
      </c>
      <c r="K62" t="str">
        <f t="shared" si="0"/>
        <v/>
      </c>
      <c r="L62" t="str">
        <f t="shared" si="20"/>
        <v/>
      </c>
      <c r="M62" t="str">
        <f>IF(L62&lt;&gt;"",1+COUNT(M$12:M61),"")</f>
        <v/>
      </c>
      <c r="N62" t="str">
        <f t="shared" si="6"/>
        <v/>
      </c>
      <c r="O62" t="str">
        <f t="shared" si="7"/>
        <v/>
      </c>
      <c r="P62" t="str">
        <f t="shared" si="8"/>
        <v/>
      </c>
      <c r="Q62" t="str">
        <f t="shared" si="9"/>
        <v/>
      </c>
      <c r="R62" t="str">
        <f t="shared" si="10"/>
        <v/>
      </c>
      <c r="S62" t="str">
        <f t="shared" si="11"/>
        <v/>
      </c>
      <c r="T62" t="str">
        <f t="shared" si="12"/>
        <v/>
      </c>
      <c r="U62">
        <f t="shared" si="13"/>
        <v>0</v>
      </c>
      <c r="V62" t="str">
        <f t="shared" si="14"/>
        <v/>
      </c>
      <c r="W62" t="str">
        <f>IFERROR(RANK(V62,V$12:V$211,1)+COUNTIF(V$12:V62,V62)-1,"")</f>
        <v/>
      </c>
      <c r="Z62">
        <v>51</v>
      </c>
      <c r="AA62" s="522" t="str">
        <f t="shared" si="21"/>
        <v/>
      </c>
      <c r="AB62" s="523" t="str">
        <f t="shared" si="22"/>
        <v/>
      </c>
      <c r="AC62" s="524" t="str">
        <f t="shared" si="15"/>
        <v/>
      </c>
      <c r="AD62" s="525" t="str">
        <f>_xlfn.XLOOKUP(Z62,W$12:W$211,P$12:P$211,"")</f>
        <v/>
      </c>
      <c r="AE62" s="526" t="str">
        <f t="shared" si="17"/>
        <v/>
      </c>
      <c r="AF62" s="527" t="str">
        <f t="shared" si="18"/>
        <v/>
      </c>
      <c r="AG62" s="528" t="str">
        <f t="shared" si="19"/>
        <v/>
      </c>
      <c r="AH62" s="529"/>
      <c r="AI62" s="530"/>
      <c r="AL62">
        <v>51</v>
      </c>
      <c r="AM62">
        <v>55</v>
      </c>
    </row>
    <row r="63" spans="1:39" x14ac:dyDescent="0.25">
      <c r="A63" t="str">
        <f>'New order'!U65</f>
        <v/>
      </c>
      <c r="B63" t="str">
        <f>'New order'!V65</f>
        <v/>
      </c>
      <c r="C63">
        <f>'New order'!AT65</f>
        <v>10</v>
      </c>
      <c r="D63" t="str">
        <f>'New order'!Y65</f>
        <v/>
      </c>
      <c r="E63">
        <f t="shared" si="3"/>
        <v>1</v>
      </c>
      <c r="F63">
        <f t="shared" si="4"/>
        <v>0</v>
      </c>
      <c r="G63" t="str">
        <f>'New order'!T65</f>
        <v/>
      </c>
      <c r="H63">
        <f>COUNTIF(C$12:C63,C63)</f>
        <v>52</v>
      </c>
      <c r="I63">
        <v>1</v>
      </c>
      <c r="J63">
        <f t="shared" si="5"/>
        <v>200</v>
      </c>
      <c r="K63" t="str">
        <f t="shared" si="0"/>
        <v/>
      </c>
      <c r="L63" t="str">
        <f t="shared" si="20"/>
        <v/>
      </c>
      <c r="M63" t="str">
        <f>IF(L63&lt;&gt;"",1+COUNT(M$12:M62),"")</f>
        <v/>
      </c>
      <c r="N63" t="str">
        <f t="shared" si="6"/>
        <v/>
      </c>
      <c r="O63" t="str">
        <f t="shared" si="7"/>
        <v/>
      </c>
      <c r="P63" t="str">
        <f t="shared" si="8"/>
        <v/>
      </c>
      <c r="Q63" t="str">
        <f t="shared" si="9"/>
        <v/>
      </c>
      <c r="R63" t="str">
        <f t="shared" si="10"/>
        <v/>
      </c>
      <c r="S63" t="str">
        <f t="shared" si="11"/>
        <v/>
      </c>
      <c r="T63" t="str">
        <f t="shared" si="12"/>
        <v/>
      </c>
      <c r="U63">
        <f t="shared" si="13"/>
        <v>0</v>
      </c>
      <c r="V63" t="str">
        <f t="shared" si="14"/>
        <v/>
      </c>
      <c r="W63" t="str">
        <f>IFERROR(RANK(V63,V$12:V$211,1)+COUNTIF(V$12:V63,V63)-1,"")</f>
        <v/>
      </c>
      <c r="Z63">
        <v>52</v>
      </c>
      <c r="AA63" s="422" t="str">
        <f t="shared" si="21"/>
        <v/>
      </c>
      <c r="AB63" s="498" t="str">
        <f t="shared" si="22"/>
        <v/>
      </c>
      <c r="AC63" s="423" t="str">
        <f t="shared" si="15"/>
        <v/>
      </c>
      <c r="AD63" s="470" t="str">
        <f t="shared" si="16"/>
        <v/>
      </c>
      <c r="AE63" s="468" t="str">
        <f t="shared" si="17"/>
        <v/>
      </c>
      <c r="AF63" s="457" t="str">
        <f t="shared" si="18"/>
        <v/>
      </c>
      <c r="AG63" s="472" t="str">
        <f t="shared" si="19"/>
        <v/>
      </c>
      <c r="AH63" s="490"/>
      <c r="AI63" s="488"/>
      <c r="AL63">
        <v>52</v>
      </c>
      <c r="AM63">
        <v>57</v>
      </c>
    </row>
    <row r="64" spans="1:39" x14ac:dyDescent="0.25">
      <c r="A64" t="str">
        <f>'New order'!U66</f>
        <v/>
      </c>
      <c r="B64" t="str">
        <f>'New order'!V66</f>
        <v/>
      </c>
      <c r="C64">
        <f>'New order'!AT66</f>
        <v>10</v>
      </c>
      <c r="D64" t="str">
        <f>'New order'!Y66</f>
        <v/>
      </c>
      <c r="E64">
        <f t="shared" si="3"/>
        <v>1</v>
      </c>
      <c r="F64">
        <f t="shared" si="4"/>
        <v>0</v>
      </c>
      <c r="G64" t="str">
        <f>'New order'!T66</f>
        <v/>
      </c>
      <c r="H64">
        <f>COUNTIF(C$12:C64,C64)</f>
        <v>53</v>
      </c>
      <c r="I64">
        <v>1</v>
      </c>
      <c r="J64">
        <f t="shared" si="5"/>
        <v>200</v>
      </c>
      <c r="K64" t="str">
        <f t="shared" si="0"/>
        <v/>
      </c>
      <c r="L64" t="str">
        <f t="shared" si="20"/>
        <v/>
      </c>
      <c r="M64" t="str">
        <f>IF(L64&lt;&gt;"",1+COUNT(M$12:M63),"")</f>
        <v/>
      </c>
      <c r="N64" t="str">
        <f t="shared" si="6"/>
        <v/>
      </c>
      <c r="O64" t="str">
        <f t="shared" si="7"/>
        <v/>
      </c>
      <c r="P64" t="str">
        <f t="shared" si="8"/>
        <v/>
      </c>
      <c r="Q64" t="str">
        <f t="shared" si="9"/>
        <v/>
      </c>
      <c r="R64" t="str">
        <f t="shared" si="10"/>
        <v/>
      </c>
      <c r="S64" t="str">
        <f t="shared" si="11"/>
        <v/>
      </c>
      <c r="T64" t="str">
        <f t="shared" si="12"/>
        <v/>
      </c>
      <c r="U64">
        <f t="shared" si="13"/>
        <v>0</v>
      </c>
      <c r="V64" t="str">
        <f t="shared" si="14"/>
        <v/>
      </c>
      <c r="W64" t="str">
        <f>IFERROR(RANK(V64,V$12:V$211,1)+COUNTIF(V$12:V64,V64)-1,"")</f>
        <v/>
      </c>
      <c r="Z64">
        <v>53</v>
      </c>
      <c r="AA64" s="522" t="str">
        <f t="shared" si="21"/>
        <v/>
      </c>
      <c r="AB64" s="523" t="str">
        <f t="shared" si="22"/>
        <v/>
      </c>
      <c r="AC64" s="524" t="str">
        <f t="shared" si="15"/>
        <v/>
      </c>
      <c r="AD64" s="525" t="str">
        <f t="shared" si="16"/>
        <v/>
      </c>
      <c r="AE64" s="526" t="str">
        <f t="shared" si="17"/>
        <v/>
      </c>
      <c r="AF64" s="527" t="str">
        <f t="shared" si="18"/>
        <v/>
      </c>
      <c r="AG64" s="528" t="str">
        <f t="shared" si="19"/>
        <v/>
      </c>
      <c r="AH64" s="529"/>
      <c r="AI64" s="530"/>
      <c r="AL64">
        <v>53</v>
      </c>
      <c r="AM64">
        <v>59</v>
      </c>
    </row>
    <row r="65" spans="1:39" x14ac:dyDescent="0.25">
      <c r="A65" t="str">
        <f>'New order'!U67</f>
        <v/>
      </c>
      <c r="B65" t="str">
        <f>'New order'!V67</f>
        <v/>
      </c>
      <c r="C65">
        <f>'New order'!AT67</f>
        <v>10</v>
      </c>
      <c r="D65" t="str">
        <f>'New order'!Y67</f>
        <v/>
      </c>
      <c r="E65">
        <f t="shared" si="3"/>
        <v>1</v>
      </c>
      <c r="F65">
        <f t="shared" si="4"/>
        <v>0</v>
      </c>
      <c r="G65" t="str">
        <f>'New order'!T67</f>
        <v/>
      </c>
      <c r="H65">
        <f>COUNTIF(C$12:C65,C65)</f>
        <v>54</v>
      </c>
      <c r="I65">
        <v>1</v>
      </c>
      <c r="J65">
        <f t="shared" si="5"/>
        <v>200</v>
      </c>
      <c r="K65" t="str">
        <f t="shared" si="0"/>
        <v/>
      </c>
      <c r="L65" t="str">
        <f t="shared" si="20"/>
        <v/>
      </c>
      <c r="M65" t="str">
        <f>IF(L65&lt;&gt;"",1+COUNT(M$12:M64),"")</f>
        <v/>
      </c>
      <c r="N65" t="str">
        <f t="shared" si="6"/>
        <v/>
      </c>
      <c r="O65" t="str">
        <f t="shared" si="7"/>
        <v/>
      </c>
      <c r="P65" t="str">
        <f t="shared" si="8"/>
        <v/>
      </c>
      <c r="Q65" t="str">
        <f t="shared" si="9"/>
        <v/>
      </c>
      <c r="R65" t="str">
        <f t="shared" si="10"/>
        <v/>
      </c>
      <c r="S65" t="str">
        <f t="shared" si="11"/>
        <v/>
      </c>
      <c r="T65" t="str">
        <f t="shared" si="12"/>
        <v/>
      </c>
      <c r="U65">
        <f t="shared" si="13"/>
        <v>0</v>
      </c>
      <c r="V65" t="str">
        <f t="shared" si="14"/>
        <v/>
      </c>
      <c r="W65" t="str">
        <f>IFERROR(RANK(V65,V$12:V$211,1)+COUNTIF(V$12:V65,V65)-1,"")</f>
        <v/>
      </c>
      <c r="Z65">
        <v>54</v>
      </c>
      <c r="AA65" s="422" t="str">
        <f t="shared" si="21"/>
        <v/>
      </c>
      <c r="AB65" s="498" t="str">
        <f t="shared" si="22"/>
        <v/>
      </c>
      <c r="AC65" s="423" t="str">
        <f t="shared" si="15"/>
        <v/>
      </c>
      <c r="AD65" s="470" t="str">
        <f t="shared" si="16"/>
        <v/>
      </c>
      <c r="AE65" s="468" t="str">
        <f t="shared" si="17"/>
        <v/>
      </c>
      <c r="AF65" s="457" t="str">
        <f t="shared" si="18"/>
        <v/>
      </c>
      <c r="AG65" s="472" t="str">
        <f t="shared" si="19"/>
        <v/>
      </c>
      <c r="AH65" s="490"/>
      <c r="AI65" s="488"/>
      <c r="AL65">
        <v>54</v>
      </c>
    </row>
    <row r="66" spans="1:39" x14ac:dyDescent="0.25">
      <c r="A66" t="str">
        <f>'New order'!U68</f>
        <v/>
      </c>
      <c r="B66" t="str">
        <f>'New order'!V68</f>
        <v/>
      </c>
      <c r="C66">
        <f>'New order'!AT68</f>
        <v>10</v>
      </c>
      <c r="D66" t="str">
        <f>'New order'!Y68</f>
        <v/>
      </c>
      <c r="E66">
        <f t="shared" si="3"/>
        <v>1</v>
      </c>
      <c r="F66">
        <f t="shared" si="4"/>
        <v>0</v>
      </c>
      <c r="G66" t="str">
        <f>'New order'!T68</f>
        <v/>
      </c>
      <c r="H66">
        <f>COUNTIF(C$12:C66,C66)</f>
        <v>55</v>
      </c>
      <c r="I66">
        <v>1</v>
      </c>
      <c r="J66">
        <f t="shared" si="5"/>
        <v>200</v>
      </c>
      <c r="K66" t="str">
        <f t="shared" si="0"/>
        <v/>
      </c>
      <c r="L66" t="str">
        <f t="shared" si="20"/>
        <v/>
      </c>
      <c r="M66" t="str">
        <f>IF(L66&lt;&gt;"",1+COUNT(M$12:M65),"")</f>
        <v/>
      </c>
      <c r="N66" t="str">
        <f t="shared" si="6"/>
        <v/>
      </c>
      <c r="O66" t="str">
        <f t="shared" si="7"/>
        <v/>
      </c>
      <c r="P66" t="str">
        <f t="shared" si="8"/>
        <v/>
      </c>
      <c r="Q66" t="str">
        <f t="shared" si="9"/>
        <v/>
      </c>
      <c r="R66" t="str">
        <f t="shared" si="10"/>
        <v/>
      </c>
      <c r="S66" t="str">
        <f t="shared" si="11"/>
        <v/>
      </c>
      <c r="T66" t="str">
        <f t="shared" si="12"/>
        <v/>
      </c>
      <c r="U66">
        <f t="shared" si="13"/>
        <v>0</v>
      </c>
      <c r="V66" t="str">
        <f t="shared" si="14"/>
        <v/>
      </c>
      <c r="W66" t="str">
        <f>IFERROR(RANK(V66,V$12:V$211,1)+COUNTIF(V$12:V66,V66)-1,"")</f>
        <v/>
      </c>
      <c r="Z66">
        <v>55</v>
      </c>
      <c r="AA66" s="522" t="str">
        <f t="shared" si="21"/>
        <v/>
      </c>
      <c r="AB66" s="523" t="str">
        <f t="shared" si="22"/>
        <v/>
      </c>
      <c r="AC66" s="524" t="str">
        <f t="shared" si="15"/>
        <v/>
      </c>
      <c r="AD66" s="525" t="str">
        <f t="shared" si="16"/>
        <v/>
      </c>
      <c r="AE66" s="526" t="str">
        <f t="shared" si="17"/>
        <v/>
      </c>
      <c r="AF66" s="527" t="str">
        <f t="shared" si="18"/>
        <v/>
      </c>
      <c r="AG66" s="528" t="str">
        <f t="shared" si="19"/>
        <v/>
      </c>
      <c r="AH66" s="529"/>
      <c r="AI66" s="530"/>
      <c r="AL66">
        <v>55</v>
      </c>
    </row>
    <row r="67" spans="1:39" x14ac:dyDescent="0.25">
      <c r="A67" t="str">
        <f>'New order'!U69</f>
        <v/>
      </c>
      <c r="B67" t="str">
        <f>'New order'!V69</f>
        <v/>
      </c>
      <c r="C67">
        <f>'New order'!AT69</f>
        <v>10</v>
      </c>
      <c r="D67" t="str">
        <f>'New order'!Y69</f>
        <v/>
      </c>
      <c r="E67">
        <f t="shared" si="3"/>
        <v>1</v>
      </c>
      <c r="F67">
        <f t="shared" si="4"/>
        <v>0</v>
      </c>
      <c r="G67" t="str">
        <f>'New order'!T69</f>
        <v/>
      </c>
      <c r="H67">
        <f>COUNTIF(C$12:C67,C67)</f>
        <v>56</v>
      </c>
      <c r="I67">
        <v>1</v>
      </c>
      <c r="J67">
        <f t="shared" si="5"/>
        <v>200</v>
      </c>
      <c r="K67" t="str">
        <f t="shared" si="0"/>
        <v/>
      </c>
      <c r="L67" t="str">
        <f t="shared" si="20"/>
        <v/>
      </c>
      <c r="M67" t="str">
        <f>IF(L67&lt;&gt;"",1+COUNT(M$12:M66),"")</f>
        <v/>
      </c>
      <c r="N67" t="str">
        <f t="shared" si="6"/>
        <v/>
      </c>
      <c r="O67" t="str">
        <f t="shared" si="7"/>
        <v/>
      </c>
      <c r="P67" t="str">
        <f t="shared" si="8"/>
        <v/>
      </c>
      <c r="Q67" t="str">
        <f t="shared" si="9"/>
        <v/>
      </c>
      <c r="R67" t="str">
        <f t="shared" si="10"/>
        <v/>
      </c>
      <c r="S67" t="str">
        <f t="shared" si="11"/>
        <v/>
      </c>
      <c r="T67" t="str">
        <f t="shared" si="12"/>
        <v/>
      </c>
      <c r="U67">
        <f t="shared" si="13"/>
        <v>0</v>
      </c>
      <c r="V67" t="str">
        <f t="shared" si="14"/>
        <v/>
      </c>
      <c r="W67" t="str">
        <f>IFERROR(RANK(V67,V$12:V$211,1)+COUNTIF(V$12:V67,V67)-1,"")</f>
        <v/>
      </c>
      <c r="Z67">
        <v>56</v>
      </c>
      <c r="AA67" s="422" t="str">
        <f t="shared" si="21"/>
        <v/>
      </c>
      <c r="AB67" s="498" t="str">
        <f t="shared" si="22"/>
        <v/>
      </c>
      <c r="AC67" s="423" t="str">
        <f t="shared" si="15"/>
        <v/>
      </c>
      <c r="AD67" s="470" t="str">
        <f t="shared" si="16"/>
        <v/>
      </c>
      <c r="AE67" s="468" t="str">
        <f t="shared" si="17"/>
        <v/>
      </c>
      <c r="AF67" s="457" t="str">
        <f t="shared" si="18"/>
        <v/>
      </c>
      <c r="AG67" s="472" t="str">
        <f t="shared" si="19"/>
        <v/>
      </c>
      <c r="AH67" s="490"/>
      <c r="AI67" s="488"/>
      <c r="AL67">
        <v>56</v>
      </c>
    </row>
    <row r="68" spans="1:39" x14ac:dyDescent="0.25">
      <c r="A68" t="str">
        <f>'New order'!U70</f>
        <v/>
      </c>
      <c r="B68" t="str">
        <f>'New order'!V70</f>
        <v/>
      </c>
      <c r="C68">
        <f>'New order'!AT70</f>
        <v>10</v>
      </c>
      <c r="D68" t="str">
        <f>'New order'!Y70</f>
        <v/>
      </c>
      <c r="E68">
        <f t="shared" si="3"/>
        <v>1</v>
      </c>
      <c r="F68">
        <f t="shared" si="4"/>
        <v>0</v>
      </c>
      <c r="G68" t="str">
        <f>'New order'!T70</f>
        <v/>
      </c>
      <c r="H68">
        <f>COUNTIF(C$12:C68,C68)</f>
        <v>57</v>
      </c>
      <c r="I68">
        <v>1</v>
      </c>
      <c r="J68">
        <f t="shared" si="5"/>
        <v>200</v>
      </c>
      <c r="K68" t="str">
        <f t="shared" si="0"/>
        <v/>
      </c>
      <c r="L68" t="str">
        <f t="shared" si="20"/>
        <v/>
      </c>
      <c r="M68" t="str">
        <f>IF(L68&lt;&gt;"",1+COUNT(M$12:M67),"")</f>
        <v/>
      </c>
      <c r="N68" t="str">
        <f t="shared" si="6"/>
        <v/>
      </c>
      <c r="O68" t="str">
        <f t="shared" si="7"/>
        <v/>
      </c>
      <c r="P68" t="str">
        <f t="shared" si="8"/>
        <v/>
      </c>
      <c r="Q68" t="str">
        <f t="shared" si="9"/>
        <v/>
      </c>
      <c r="R68" t="str">
        <f t="shared" si="10"/>
        <v/>
      </c>
      <c r="S68" t="str">
        <f t="shared" si="11"/>
        <v/>
      </c>
      <c r="T68" t="str">
        <f t="shared" si="12"/>
        <v/>
      </c>
      <c r="U68">
        <f t="shared" si="13"/>
        <v>0</v>
      </c>
      <c r="V68" t="str">
        <f t="shared" si="14"/>
        <v/>
      </c>
      <c r="W68" t="str">
        <f>IFERROR(RANK(V68,V$12:V$211,1)+COUNTIF(V$12:V68,V68)-1,"")</f>
        <v/>
      </c>
      <c r="Z68">
        <v>57</v>
      </c>
      <c r="AA68" s="522" t="str">
        <f t="shared" si="21"/>
        <v/>
      </c>
      <c r="AB68" s="523" t="str">
        <f t="shared" si="22"/>
        <v/>
      </c>
      <c r="AC68" s="524" t="str">
        <f t="shared" si="15"/>
        <v/>
      </c>
      <c r="AD68" s="525" t="str">
        <f t="shared" si="16"/>
        <v/>
      </c>
      <c r="AE68" s="526" t="str">
        <f t="shared" si="17"/>
        <v/>
      </c>
      <c r="AF68" s="527" t="str">
        <f t="shared" si="18"/>
        <v/>
      </c>
      <c r="AG68" s="528" t="str">
        <f t="shared" si="19"/>
        <v/>
      </c>
      <c r="AH68" s="529"/>
      <c r="AI68" s="530"/>
      <c r="AL68">
        <v>57</v>
      </c>
    </row>
    <row r="69" spans="1:39" x14ac:dyDescent="0.25">
      <c r="A69" t="str">
        <f>'New order'!U71</f>
        <v/>
      </c>
      <c r="B69" t="str">
        <f>'New order'!V71</f>
        <v/>
      </c>
      <c r="C69">
        <f>'New order'!AT71</f>
        <v>10</v>
      </c>
      <c r="D69" t="str">
        <f>'New order'!Y71</f>
        <v/>
      </c>
      <c r="E69">
        <f t="shared" si="3"/>
        <v>1</v>
      </c>
      <c r="F69">
        <f t="shared" si="4"/>
        <v>0</v>
      </c>
      <c r="G69" t="str">
        <f>'New order'!T71</f>
        <v/>
      </c>
      <c r="H69">
        <f>COUNTIF(C$12:C69,C69)</f>
        <v>58</v>
      </c>
      <c r="I69">
        <v>1</v>
      </c>
      <c r="J69">
        <f t="shared" si="5"/>
        <v>200</v>
      </c>
      <c r="K69" t="str">
        <f t="shared" si="0"/>
        <v/>
      </c>
      <c r="L69" t="str">
        <f t="shared" si="20"/>
        <v/>
      </c>
      <c r="M69" t="str">
        <f>IF(L69&lt;&gt;"",1+COUNT(M$12:M68),"")</f>
        <v/>
      </c>
      <c r="N69" t="str">
        <f t="shared" si="6"/>
        <v/>
      </c>
      <c r="O69" t="str">
        <f t="shared" si="7"/>
        <v/>
      </c>
      <c r="P69" t="str">
        <f t="shared" si="8"/>
        <v/>
      </c>
      <c r="Q69" t="str">
        <f t="shared" si="9"/>
        <v/>
      </c>
      <c r="R69" t="str">
        <f t="shared" si="10"/>
        <v/>
      </c>
      <c r="S69" t="str">
        <f t="shared" si="11"/>
        <v/>
      </c>
      <c r="T69" t="str">
        <f t="shared" si="12"/>
        <v/>
      </c>
      <c r="U69">
        <f t="shared" si="13"/>
        <v>0</v>
      </c>
      <c r="V69" t="str">
        <f t="shared" si="14"/>
        <v/>
      </c>
      <c r="W69" t="str">
        <f>IFERROR(RANK(V69,V$12:V$211,1)+COUNTIF(V$12:V69,V69)-1,"")</f>
        <v/>
      </c>
      <c r="Z69">
        <v>58</v>
      </c>
      <c r="AA69" s="422" t="str">
        <f t="shared" si="21"/>
        <v/>
      </c>
      <c r="AB69" s="498" t="str">
        <f t="shared" si="22"/>
        <v/>
      </c>
      <c r="AC69" s="423" t="str">
        <f t="shared" si="15"/>
        <v/>
      </c>
      <c r="AD69" s="470" t="str">
        <f t="shared" si="16"/>
        <v/>
      </c>
      <c r="AE69" s="468" t="str">
        <f t="shared" si="17"/>
        <v/>
      </c>
      <c r="AF69" s="457" t="str">
        <f t="shared" si="18"/>
        <v/>
      </c>
      <c r="AG69" s="472" t="str">
        <f t="shared" si="19"/>
        <v/>
      </c>
      <c r="AH69" s="490"/>
      <c r="AI69" s="488"/>
      <c r="AL69">
        <v>58</v>
      </c>
      <c r="AM69">
        <v>60</v>
      </c>
    </row>
    <row r="70" spans="1:39" x14ac:dyDescent="0.25">
      <c r="A70" t="str">
        <f>'New order'!U72</f>
        <v/>
      </c>
      <c r="B70" t="str">
        <f>'New order'!V72</f>
        <v/>
      </c>
      <c r="C70">
        <f>'New order'!AT72</f>
        <v>10</v>
      </c>
      <c r="D70" t="str">
        <f>'New order'!Y72</f>
        <v/>
      </c>
      <c r="E70">
        <f t="shared" si="3"/>
        <v>1</v>
      </c>
      <c r="F70">
        <f t="shared" si="4"/>
        <v>0</v>
      </c>
      <c r="G70" t="str">
        <f>'New order'!T72</f>
        <v/>
      </c>
      <c r="H70">
        <f>COUNTIF(C$12:C70,C70)</f>
        <v>59</v>
      </c>
      <c r="I70">
        <v>1</v>
      </c>
      <c r="J70">
        <f t="shared" si="5"/>
        <v>200</v>
      </c>
      <c r="K70" t="str">
        <f t="shared" si="0"/>
        <v/>
      </c>
      <c r="L70" t="str">
        <f t="shared" si="20"/>
        <v/>
      </c>
      <c r="M70" t="str">
        <f>IF(L70&lt;&gt;"",1+COUNT(M$12:M69),"")</f>
        <v/>
      </c>
      <c r="N70" t="str">
        <f t="shared" si="6"/>
        <v/>
      </c>
      <c r="O70" t="str">
        <f t="shared" si="7"/>
        <v/>
      </c>
      <c r="P70" t="str">
        <f t="shared" si="8"/>
        <v/>
      </c>
      <c r="Q70" t="str">
        <f t="shared" si="9"/>
        <v/>
      </c>
      <c r="R70" t="str">
        <f t="shared" si="10"/>
        <v/>
      </c>
      <c r="S70" t="str">
        <f t="shared" si="11"/>
        <v/>
      </c>
      <c r="T70" t="str">
        <f t="shared" si="12"/>
        <v/>
      </c>
      <c r="U70">
        <f t="shared" si="13"/>
        <v>0</v>
      </c>
      <c r="V70" t="str">
        <f t="shared" si="14"/>
        <v/>
      </c>
      <c r="W70" t="str">
        <f>IFERROR(RANK(V70,V$12:V$211,1)+COUNTIF(V$12:V70,V70)-1,"")</f>
        <v/>
      </c>
      <c r="Z70">
        <v>59</v>
      </c>
      <c r="AA70" s="522" t="str">
        <f t="shared" si="21"/>
        <v/>
      </c>
      <c r="AB70" s="523" t="str">
        <f t="shared" si="22"/>
        <v/>
      </c>
      <c r="AC70" s="524" t="str">
        <f t="shared" si="15"/>
        <v/>
      </c>
      <c r="AD70" s="525" t="str">
        <f t="shared" si="16"/>
        <v/>
      </c>
      <c r="AE70" s="526" t="str">
        <f t="shared" si="17"/>
        <v/>
      </c>
      <c r="AF70" s="527" t="str">
        <f t="shared" si="18"/>
        <v/>
      </c>
      <c r="AG70" s="528" t="str">
        <f t="shared" si="19"/>
        <v/>
      </c>
      <c r="AH70" s="529"/>
      <c r="AI70" s="530"/>
      <c r="AL70">
        <v>59</v>
      </c>
      <c r="AM70">
        <v>58</v>
      </c>
    </row>
    <row r="71" spans="1:39" x14ac:dyDescent="0.25">
      <c r="A71" t="str">
        <f>'New order'!U73</f>
        <v/>
      </c>
      <c r="B71" t="str">
        <f>'New order'!V73</f>
        <v/>
      </c>
      <c r="C71">
        <f>'New order'!AT73</f>
        <v>10</v>
      </c>
      <c r="D71" t="str">
        <f>'New order'!Y73</f>
        <v/>
      </c>
      <c r="E71">
        <f t="shared" si="3"/>
        <v>1</v>
      </c>
      <c r="F71">
        <f t="shared" si="4"/>
        <v>0</v>
      </c>
      <c r="G71" t="str">
        <f>'New order'!T73</f>
        <v/>
      </c>
      <c r="H71">
        <f>COUNTIF(C$12:C71,C71)</f>
        <v>60</v>
      </c>
      <c r="I71">
        <v>1</v>
      </c>
      <c r="J71">
        <f t="shared" si="5"/>
        <v>200</v>
      </c>
      <c r="K71" t="str">
        <f t="shared" si="0"/>
        <v/>
      </c>
      <c r="L71" t="str">
        <f t="shared" si="20"/>
        <v/>
      </c>
      <c r="M71" t="str">
        <f>IF(L71&lt;&gt;"",1+COUNT(M$12:M70),"")</f>
        <v/>
      </c>
      <c r="N71" t="str">
        <f t="shared" si="6"/>
        <v/>
      </c>
      <c r="O71" t="str">
        <f t="shared" si="7"/>
        <v/>
      </c>
      <c r="P71" t="str">
        <f t="shared" si="8"/>
        <v/>
      </c>
      <c r="Q71" t="str">
        <f t="shared" si="9"/>
        <v/>
      </c>
      <c r="R71" t="str">
        <f t="shared" si="10"/>
        <v/>
      </c>
      <c r="S71" t="str">
        <f t="shared" si="11"/>
        <v/>
      </c>
      <c r="T71" t="str">
        <f t="shared" si="12"/>
        <v/>
      </c>
      <c r="U71">
        <f t="shared" si="13"/>
        <v>0</v>
      </c>
      <c r="V71" t="str">
        <f t="shared" si="14"/>
        <v/>
      </c>
      <c r="W71" t="str">
        <f>IFERROR(RANK(V71,V$12:V$211,1)+COUNTIF(V$12:V71,V71)-1,"")</f>
        <v/>
      </c>
      <c r="Z71">
        <v>60</v>
      </c>
      <c r="AA71" s="422" t="str">
        <f t="shared" si="21"/>
        <v/>
      </c>
      <c r="AB71" s="498" t="str">
        <f t="shared" si="22"/>
        <v/>
      </c>
      <c r="AC71" s="423" t="str">
        <f t="shared" si="15"/>
        <v/>
      </c>
      <c r="AD71" s="470" t="str">
        <f t="shared" si="16"/>
        <v/>
      </c>
      <c r="AE71" s="468" t="str">
        <f t="shared" si="17"/>
        <v/>
      </c>
      <c r="AF71" s="457" t="str">
        <f t="shared" si="18"/>
        <v/>
      </c>
      <c r="AG71" s="472" t="str">
        <f t="shared" si="19"/>
        <v/>
      </c>
      <c r="AH71" s="490"/>
      <c r="AI71" s="488"/>
      <c r="AL71">
        <v>60</v>
      </c>
      <c r="AM71">
        <v>56</v>
      </c>
    </row>
    <row r="72" spans="1:39" x14ac:dyDescent="0.25">
      <c r="A72" t="str">
        <f>'New order'!U74</f>
        <v/>
      </c>
      <c r="B72" t="str">
        <f>'New order'!V74</f>
        <v/>
      </c>
      <c r="C72">
        <f>'New order'!AT74</f>
        <v>10</v>
      </c>
      <c r="D72" t="str">
        <f>'New order'!Y74</f>
        <v/>
      </c>
      <c r="E72">
        <f t="shared" si="3"/>
        <v>1</v>
      </c>
      <c r="F72">
        <f t="shared" si="4"/>
        <v>0</v>
      </c>
      <c r="G72" t="str">
        <f>'New order'!T74</f>
        <v/>
      </c>
      <c r="H72">
        <f>COUNTIF(C$12:C72,C72)</f>
        <v>61</v>
      </c>
      <c r="I72">
        <v>1</v>
      </c>
      <c r="J72">
        <f t="shared" si="5"/>
        <v>200</v>
      </c>
      <c r="K72" t="str">
        <f t="shared" si="0"/>
        <v/>
      </c>
      <c r="L72" t="str">
        <f t="shared" si="20"/>
        <v/>
      </c>
      <c r="M72" t="str">
        <f>IF(L72&lt;&gt;"",1+COUNT(M$12:M71),"")</f>
        <v/>
      </c>
      <c r="N72" t="str">
        <f t="shared" si="6"/>
        <v/>
      </c>
      <c r="O72" t="str">
        <f t="shared" si="7"/>
        <v/>
      </c>
      <c r="P72" t="str">
        <f t="shared" si="8"/>
        <v/>
      </c>
      <c r="Q72" t="str">
        <f t="shared" si="9"/>
        <v/>
      </c>
      <c r="R72" t="str">
        <f t="shared" si="10"/>
        <v/>
      </c>
      <c r="S72" t="str">
        <f t="shared" si="11"/>
        <v/>
      </c>
      <c r="T72" t="str">
        <f t="shared" si="12"/>
        <v/>
      </c>
      <c r="U72">
        <f t="shared" si="13"/>
        <v>0</v>
      </c>
      <c r="V72" t="str">
        <f t="shared" si="14"/>
        <v/>
      </c>
      <c r="W72" t="str">
        <f>IFERROR(RANK(V72,V$12:V$211,1)+COUNTIF(V$12:V72,V72)-1,"")</f>
        <v/>
      </c>
      <c r="Z72">
        <v>61</v>
      </c>
      <c r="AA72" s="522" t="str">
        <f t="shared" si="21"/>
        <v/>
      </c>
      <c r="AB72" s="523" t="str">
        <f t="shared" si="22"/>
        <v/>
      </c>
      <c r="AC72" s="524" t="str">
        <f t="shared" si="15"/>
        <v/>
      </c>
      <c r="AD72" s="525" t="str">
        <f t="shared" si="16"/>
        <v/>
      </c>
      <c r="AE72" s="526" t="str">
        <f t="shared" si="17"/>
        <v/>
      </c>
      <c r="AF72" s="527" t="str">
        <f t="shared" si="18"/>
        <v/>
      </c>
      <c r="AG72" s="528" t="str">
        <f t="shared" si="19"/>
        <v/>
      </c>
      <c r="AH72" s="529"/>
      <c r="AI72" s="530"/>
      <c r="AL72">
        <v>61</v>
      </c>
      <c r="AM72">
        <v>54</v>
      </c>
    </row>
    <row r="73" spans="1:39" x14ac:dyDescent="0.25">
      <c r="A73" t="str">
        <f>'New order'!U75</f>
        <v/>
      </c>
      <c r="B73" t="str">
        <f>'New order'!V75</f>
        <v/>
      </c>
      <c r="C73">
        <f>'New order'!AT75</f>
        <v>10</v>
      </c>
      <c r="D73" t="str">
        <f>'New order'!Y75</f>
        <v/>
      </c>
      <c r="E73">
        <f t="shared" si="3"/>
        <v>1</v>
      </c>
      <c r="F73">
        <f t="shared" si="4"/>
        <v>0</v>
      </c>
      <c r="G73" t="str">
        <f>'New order'!T75</f>
        <v/>
      </c>
      <c r="H73">
        <f>COUNTIF(C$12:C73,C73)</f>
        <v>62</v>
      </c>
      <c r="I73">
        <v>1</v>
      </c>
      <c r="J73">
        <f t="shared" si="5"/>
        <v>200</v>
      </c>
      <c r="K73" t="str">
        <f t="shared" si="0"/>
        <v/>
      </c>
      <c r="L73" t="str">
        <f t="shared" si="20"/>
        <v/>
      </c>
      <c r="M73" t="str">
        <f>IF(L73&lt;&gt;"",1+COUNT(M$12:M72),"")</f>
        <v/>
      </c>
      <c r="N73" t="str">
        <f t="shared" si="6"/>
        <v/>
      </c>
      <c r="O73" t="str">
        <f t="shared" si="7"/>
        <v/>
      </c>
      <c r="P73" t="str">
        <f t="shared" si="8"/>
        <v/>
      </c>
      <c r="Q73" t="str">
        <f t="shared" si="9"/>
        <v/>
      </c>
      <c r="R73" t="str">
        <f t="shared" si="10"/>
        <v/>
      </c>
      <c r="S73" t="str">
        <f t="shared" si="11"/>
        <v/>
      </c>
      <c r="T73" t="str">
        <f t="shared" si="12"/>
        <v/>
      </c>
      <c r="U73">
        <f t="shared" si="13"/>
        <v>0</v>
      </c>
      <c r="V73" t="str">
        <f t="shared" si="14"/>
        <v/>
      </c>
      <c r="W73" t="str">
        <f>IFERROR(RANK(V73,V$12:V$211,1)+COUNTIF(V$12:V73,V73)-1,"")</f>
        <v/>
      </c>
      <c r="Z73">
        <v>62</v>
      </c>
      <c r="AA73" s="422" t="str">
        <f t="shared" si="21"/>
        <v/>
      </c>
      <c r="AB73" s="498" t="str">
        <f t="shared" si="22"/>
        <v/>
      </c>
      <c r="AC73" s="423" t="str">
        <f t="shared" si="15"/>
        <v/>
      </c>
      <c r="AD73" s="470" t="str">
        <f t="shared" si="16"/>
        <v/>
      </c>
      <c r="AE73" s="468" t="str">
        <f t="shared" si="17"/>
        <v/>
      </c>
      <c r="AF73" s="457" t="str">
        <f t="shared" si="18"/>
        <v/>
      </c>
      <c r="AG73" s="472" t="str">
        <f t="shared" si="19"/>
        <v/>
      </c>
      <c r="AH73" s="490"/>
      <c r="AI73" s="488"/>
      <c r="AL73">
        <v>62</v>
      </c>
      <c r="AM73">
        <v>52</v>
      </c>
    </row>
    <row r="74" spans="1:39" x14ac:dyDescent="0.25">
      <c r="A74" t="str">
        <f>'New order'!U76</f>
        <v/>
      </c>
      <c r="B74" t="str">
        <f>'New order'!V76</f>
        <v/>
      </c>
      <c r="C74">
        <f>'New order'!AT76</f>
        <v>10</v>
      </c>
      <c r="D74" t="str">
        <f>'New order'!Y76</f>
        <v/>
      </c>
      <c r="E74">
        <f t="shared" si="3"/>
        <v>1</v>
      </c>
      <c r="F74">
        <f t="shared" si="4"/>
        <v>0</v>
      </c>
      <c r="G74" t="str">
        <f>'New order'!T76</f>
        <v/>
      </c>
      <c r="H74">
        <f>COUNTIF(C$12:C74,C74)</f>
        <v>63</v>
      </c>
      <c r="I74">
        <v>1</v>
      </c>
      <c r="J74">
        <f t="shared" si="5"/>
        <v>200</v>
      </c>
      <c r="K74" t="str">
        <f t="shared" si="0"/>
        <v/>
      </c>
      <c r="L74" t="str">
        <f t="shared" si="20"/>
        <v/>
      </c>
      <c r="M74" t="str">
        <f>IF(L74&lt;&gt;"",1+COUNT(M$12:M73),"")</f>
        <v/>
      </c>
      <c r="N74" t="str">
        <f t="shared" si="6"/>
        <v/>
      </c>
      <c r="O74" t="str">
        <f t="shared" si="7"/>
        <v/>
      </c>
      <c r="P74" t="str">
        <f t="shared" si="8"/>
        <v/>
      </c>
      <c r="Q74" t="str">
        <f t="shared" si="9"/>
        <v/>
      </c>
      <c r="R74" t="str">
        <f t="shared" si="10"/>
        <v/>
      </c>
      <c r="S74" t="str">
        <f t="shared" si="11"/>
        <v/>
      </c>
      <c r="T74" t="str">
        <f t="shared" si="12"/>
        <v/>
      </c>
      <c r="U74">
        <f t="shared" si="13"/>
        <v>0</v>
      </c>
      <c r="V74" t="str">
        <f t="shared" si="14"/>
        <v/>
      </c>
      <c r="W74" t="str">
        <f>IFERROR(RANK(V74,V$12:V$211,1)+COUNTIF(V$12:V74,V74)-1,"")</f>
        <v/>
      </c>
      <c r="Z74">
        <v>63</v>
      </c>
      <c r="AA74" s="522" t="str">
        <f t="shared" si="21"/>
        <v/>
      </c>
      <c r="AB74" s="523" t="str">
        <f t="shared" si="22"/>
        <v/>
      </c>
      <c r="AC74" s="524" t="str">
        <f t="shared" si="15"/>
        <v/>
      </c>
      <c r="AD74" s="525" t="str">
        <f t="shared" si="16"/>
        <v/>
      </c>
      <c r="AE74" s="526" t="str">
        <f t="shared" si="17"/>
        <v/>
      </c>
      <c r="AF74" s="527" t="str">
        <f t="shared" si="18"/>
        <v/>
      </c>
      <c r="AG74" s="528" t="str">
        <f t="shared" si="19"/>
        <v/>
      </c>
      <c r="AH74" s="529"/>
      <c r="AI74" s="530"/>
      <c r="AL74">
        <v>63</v>
      </c>
      <c r="AM74">
        <v>50</v>
      </c>
    </row>
    <row r="75" spans="1:39" x14ac:dyDescent="0.25">
      <c r="A75" t="str">
        <f>'New order'!U77</f>
        <v/>
      </c>
      <c r="B75" t="str">
        <f>'New order'!V77</f>
        <v/>
      </c>
      <c r="C75">
        <f>'New order'!AT77</f>
        <v>10</v>
      </c>
      <c r="D75" t="str">
        <f>'New order'!Y77</f>
        <v/>
      </c>
      <c r="E75">
        <f t="shared" si="3"/>
        <v>1</v>
      </c>
      <c r="F75">
        <f t="shared" si="4"/>
        <v>0</v>
      </c>
      <c r="G75" t="str">
        <f>'New order'!T77</f>
        <v/>
      </c>
      <c r="H75">
        <f>COUNTIF(C$12:C75,C75)</f>
        <v>64</v>
      </c>
      <c r="I75">
        <v>1</v>
      </c>
      <c r="J75">
        <f t="shared" si="5"/>
        <v>200</v>
      </c>
      <c r="K75" t="str">
        <f t="shared" si="0"/>
        <v/>
      </c>
      <c r="L75" t="str">
        <f t="shared" si="20"/>
        <v/>
      </c>
      <c r="M75" t="str">
        <f>IF(L75&lt;&gt;"",1+COUNT(M$12:M74),"")</f>
        <v/>
      </c>
      <c r="N75" t="str">
        <f t="shared" si="6"/>
        <v/>
      </c>
      <c r="O75" t="str">
        <f t="shared" si="7"/>
        <v/>
      </c>
      <c r="P75" t="str">
        <f t="shared" si="8"/>
        <v/>
      </c>
      <c r="Q75" t="str">
        <f t="shared" si="9"/>
        <v/>
      </c>
      <c r="R75" t="str">
        <f t="shared" si="10"/>
        <v/>
      </c>
      <c r="S75" t="str">
        <f t="shared" si="11"/>
        <v/>
      </c>
      <c r="T75" t="str">
        <f t="shared" si="12"/>
        <v/>
      </c>
      <c r="U75">
        <f t="shared" si="13"/>
        <v>0</v>
      </c>
      <c r="V75" t="str">
        <f t="shared" si="14"/>
        <v/>
      </c>
      <c r="W75" t="str">
        <f>IFERROR(RANK(V75,V$12:V$211,1)+COUNTIF(V$12:V75,V75)-1,"")</f>
        <v/>
      </c>
      <c r="Z75">
        <v>64</v>
      </c>
      <c r="AA75" s="422" t="str">
        <f t="shared" si="21"/>
        <v/>
      </c>
      <c r="AB75" s="498" t="str">
        <f t="shared" si="22"/>
        <v/>
      </c>
      <c r="AC75" s="423" t="str">
        <f t="shared" si="15"/>
        <v/>
      </c>
      <c r="AD75" s="470" t="str">
        <f t="shared" si="16"/>
        <v/>
      </c>
      <c r="AE75" s="468" t="str">
        <f t="shared" si="17"/>
        <v/>
      </c>
      <c r="AF75" s="457" t="str">
        <f t="shared" si="18"/>
        <v/>
      </c>
      <c r="AG75" s="472" t="str">
        <f t="shared" si="19"/>
        <v/>
      </c>
      <c r="AH75" s="490"/>
      <c r="AI75" s="488"/>
      <c r="AL75">
        <v>64</v>
      </c>
      <c r="AM75">
        <v>48</v>
      </c>
    </row>
    <row r="76" spans="1:39" x14ac:dyDescent="0.25">
      <c r="A76" t="str">
        <f>'New order'!U78</f>
        <v/>
      </c>
      <c r="B76" t="str">
        <f>'New order'!V78</f>
        <v/>
      </c>
      <c r="C76">
        <f>'New order'!AT78</f>
        <v>10</v>
      </c>
      <c r="D76" t="str">
        <f>'New order'!Y78</f>
        <v/>
      </c>
      <c r="E76">
        <f t="shared" si="3"/>
        <v>1</v>
      </c>
      <c r="F76">
        <f t="shared" si="4"/>
        <v>0</v>
      </c>
      <c r="G76" t="str">
        <f>'New order'!T78</f>
        <v/>
      </c>
      <c r="H76">
        <f>COUNTIF(C$12:C76,C76)</f>
        <v>65</v>
      </c>
      <c r="I76">
        <v>1</v>
      </c>
      <c r="J76">
        <f t="shared" si="5"/>
        <v>200</v>
      </c>
      <c r="K76" t="str">
        <f t="shared" ref="K76:K84" si="23">IF(A76&lt;&gt;"",A76&amp;B76&amp;C76,"")</f>
        <v/>
      </c>
      <c r="L76" t="str">
        <f t="shared" si="20"/>
        <v/>
      </c>
      <c r="M76" t="str">
        <f>IF(L76&lt;&gt;"",1+COUNT(M$12:M75),"")</f>
        <v/>
      </c>
      <c r="N76" t="str">
        <f t="shared" si="6"/>
        <v/>
      </c>
      <c r="O76" t="str">
        <f t="shared" si="7"/>
        <v/>
      </c>
      <c r="P76" t="str">
        <f t="shared" si="8"/>
        <v/>
      </c>
      <c r="Q76" t="str">
        <f t="shared" si="9"/>
        <v/>
      </c>
      <c r="R76" t="str">
        <f t="shared" si="10"/>
        <v/>
      </c>
      <c r="S76" t="str">
        <f t="shared" si="11"/>
        <v/>
      </c>
      <c r="T76" t="str">
        <f t="shared" si="12"/>
        <v/>
      </c>
      <c r="U76">
        <f t="shared" si="13"/>
        <v>0</v>
      </c>
      <c r="V76" t="str">
        <f t="shared" si="14"/>
        <v/>
      </c>
      <c r="W76" t="str">
        <f>IFERROR(RANK(V76,V$12:V$211,1)+COUNTIF(V$12:V76,V76)-1,"")</f>
        <v/>
      </c>
      <c r="Z76">
        <v>65</v>
      </c>
      <c r="AA76" s="522" t="str">
        <f t="shared" ref="AA76:AA107" si="24">_xlfn.SINGLE(_xlfn.XLOOKUP(Z76,W$12:W$211,O$12:O$211,""))</f>
        <v/>
      </c>
      <c r="AB76" s="523" t="str">
        <f t="shared" ref="AB76:AB107" si="25">_xlfn.SINGLE(_xlfn.XLOOKUP(Z76,W$12:W$211,T$12:T$211,""))</f>
        <v/>
      </c>
      <c r="AC76" s="524" t="str">
        <f t="shared" si="15"/>
        <v/>
      </c>
      <c r="AD76" s="525" t="str">
        <f t="shared" si="16"/>
        <v/>
      </c>
      <c r="AE76" s="526" t="str">
        <f t="shared" si="17"/>
        <v/>
      </c>
      <c r="AF76" s="527" t="str">
        <f t="shared" si="18"/>
        <v/>
      </c>
      <c r="AG76" s="528" t="str">
        <f t="shared" si="19"/>
        <v/>
      </c>
      <c r="AH76" s="529"/>
      <c r="AI76" s="530"/>
      <c r="AL76">
        <v>65</v>
      </c>
      <c r="AM76">
        <v>46</v>
      </c>
    </row>
    <row r="77" spans="1:39" x14ac:dyDescent="0.25">
      <c r="A77" t="str">
        <f>'New order'!U79</f>
        <v/>
      </c>
      <c r="B77" t="str">
        <f>'New order'!V79</f>
        <v/>
      </c>
      <c r="C77">
        <f>'New order'!AT79</f>
        <v>10</v>
      </c>
      <c r="D77" t="str">
        <f>'New order'!Y79</f>
        <v/>
      </c>
      <c r="E77">
        <f t="shared" ref="E77:E140" si="26">ROUNDDOWN(C77/10,0)</f>
        <v>1</v>
      </c>
      <c r="F77">
        <f t="shared" ref="F77:F140" si="27">C77-E77*10</f>
        <v>0</v>
      </c>
      <c r="G77" t="str">
        <f>'New order'!T79</f>
        <v/>
      </c>
      <c r="H77">
        <f>COUNTIF(C$12:C77,C77)</f>
        <v>66</v>
      </c>
      <c r="I77">
        <v>1</v>
      </c>
      <c r="J77">
        <f t="shared" ref="J77:J140" si="28">SUMIFS(I$12:I$211,A$12:A$211,A77,B$12:B$211,B77,C$12:C$211,C77)</f>
        <v>200</v>
      </c>
      <c r="K77" t="str">
        <f t="shared" si="23"/>
        <v/>
      </c>
      <c r="L77" t="str">
        <f t="shared" si="20"/>
        <v/>
      </c>
      <c r="M77" t="str">
        <f>IF(L77&lt;&gt;"",1+COUNT(M$12:M76),"")</f>
        <v/>
      </c>
      <c r="N77" t="str">
        <f t="shared" ref="N77:N140" si="29">IF(M77&lt;&gt;"",A77,"")</f>
        <v/>
      </c>
      <c r="O77" t="str">
        <f t="shared" ref="O77:O140" si="30">IF(M77&lt;&gt;"",B77,"")</f>
        <v/>
      </c>
      <c r="P77" t="str">
        <f t="shared" ref="P77:P140" si="31">IF(M77&lt;&gt;"",J77,"")</f>
        <v/>
      </c>
      <c r="Q77" t="str">
        <f t="shared" ref="Q77:Q140" si="32">IF(M77&lt;&gt;"",G77,"")</f>
        <v/>
      </c>
      <c r="R77" t="str">
        <f t="shared" ref="R77:R140" si="33">IF(M77&lt;&gt;"",E77,"")</f>
        <v/>
      </c>
      <c r="S77" t="str">
        <f t="shared" ref="S77:S140" si="34">IF(M77&lt;&gt;"",F77,"")</f>
        <v/>
      </c>
      <c r="T77" t="str">
        <f t="shared" ref="T77:T140" si="35">IF(M77&lt;&gt;"",D77,"")</f>
        <v/>
      </c>
      <c r="U77">
        <f t="shared" ref="U77:U140" si="36">_xlfn.XLOOKUP(T77,AL$12:AL$122,AM$12:AM$122,0)</f>
        <v>0</v>
      </c>
      <c r="V77" t="str">
        <f t="shared" ref="V77:V140" si="37">IFERROR(R77*1000+U77+IF(U77=100,10000,0),"")</f>
        <v/>
      </c>
      <c r="W77" t="str">
        <f>IFERROR(RANK(V77,V$12:V$211,1)+COUNTIF(V$12:V77,V77)-1,"")</f>
        <v/>
      </c>
      <c r="Z77">
        <v>66</v>
      </c>
      <c r="AA77" s="422" t="str">
        <f t="shared" si="24"/>
        <v/>
      </c>
      <c r="AB77" s="498" t="str">
        <f t="shared" si="25"/>
        <v/>
      </c>
      <c r="AC77" s="423" t="str">
        <f t="shared" ref="AC77:AC140" si="38">_xlfn.SINGLE(_xlfn.XLOOKUP(Z77,W$12:W$211,N$12:N$211,""))</f>
        <v/>
      </c>
      <c r="AD77" s="470" t="str">
        <f t="shared" ref="AD77:AD140" si="39">_xlfn.SINGLE(_xlfn.XLOOKUP(Z77,W$12:W$211,P$12:P$211,""))</f>
        <v/>
      </c>
      <c r="AE77" s="468" t="str">
        <f t="shared" ref="AE77:AE140" si="40">_xlfn.SINGLE(_xlfn.XLOOKUP(Z77,W$12:W$211,Q$12:Q$211,""))</f>
        <v/>
      </c>
      <c r="AF77" s="457" t="str">
        <f t="shared" ref="AF77:AF140" si="41">_xlfn.SINGLE(_xlfn.XLOOKUP(Z77,W$12:W$211,R$12:R$211,""))</f>
        <v/>
      </c>
      <c r="AG77" s="472" t="str">
        <f t="shared" ref="AG77:AG140" si="42">_xlfn.SINGLE(_xlfn.XLOOKUP(Z77,W$12:W$211,S$12:S$211,""))</f>
        <v/>
      </c>
      <c r="AH77" s="490"/>
      <c r="AI77" s="488"/>
      <c r="AL77">
        <v>66</v>
      </c>
      <c r="AM77">
        <v>44</v>
      </c>
    </row>
    <row r="78" spans="1:39" x14ac:dyDescent="0.25">
      <c r="A78" t="str">
        <f>'New order'!U80</f>
        <v/>
      </c>
      <c r="B78" t="str">
        <f>'New order'!V80</f>
        <v/>
      </c>
      <c r="C78">
        <f>'New order'!AT80</f>
        <v>10</v>
      </c>
      <c r="D78" t="str">
        <f>'New order'!Y80</f>
        <v/>
      </c>
      <c r="E78">
        <f t="shared" si="26"/>
        <v>1</v>
      </c>
      <c r="F78">
        <f t="shared" si="27"/>
        <v>0</v>
      </c>
      <c r="G78" t="str">
        <f>'New order'!T80</f>
        <v/>
      </c>
      <c r="H78">
        <f>COUNTIF(C$12:C78,C78)</f>
        <v>67</v>
      </c>
      <c r="I78">
        <v>1</v>
      </c>
      <c r="J78">
        <f t="shared" si="28"/>
        <v>200</v>
      </c>
      <c r="K78" t="str">
        <f t="shared" si="23"/>
        <v/>
      </c>
      <c r="L78" t="str">
        <f t="shared" ref="L78:L141" si="43">IF(K78=K77,"",K78)</f>
        <v/>
      </c>
      <c r="M78" t="str">
        <f>IF(L78&lt;&gt;"",1+COUNT(M$12:M77),"")</f>
        <v/>
      </c>
      <c r="N78" t="str">
        <f t="shared" si="29"/>
        <v/>
      </c>
      <c r="O78" t="str">
        <f t="shared" si="30"/>
        <v/>
      </c>
      <c r="P78" t="str">
        <f t="shared" si="31"/>
        <v/>
      </c>
      <c r="Q78" t="str">
        <f t="shared" si="32"/>
        <v/>
      </c>
      <c r="R78" t="str">
        <f t="shared" si="33"/>
        <v/>
      </c>
      <c r="S78" t="str">
        <f t="shared" si="34"/>
        <v/>
      </c>
      <c r="T78" t="str">
        <f t="shared" si="35"/>
        <v/>
      </c>
      <c r="U78">
        <f t="shared" si="36"/>
        <v>0</v>
      </c>
      <c r="V78" t="str">
        <f t="shared" si="37"/>
        <v/>
      </c>
      <c r="W78" t="str">
        <f>IFERROR(RANK(V78,V$12:V$211,1)+COUNTIF(V$12:V78,V78)-1,"")</f>
        <v/>
      </c>
      <c r="Z78">
        <v>67</v>
      </c>
      <c r="AA78" s="522" t="str">
        <f t="shared" si="24"/>
        <v/>
      </c>
      <c r="AB78" s="523" t="str">
        <f t="shared" si="25"/>
        <v/>
      </c>
      <c r="AC78" s="524" t="str">
        <f t="shared" si="38"/>
        <v/>
      </c>
      <c r="AD78" s="525" t="str">
        <f t="shared" si="39"/>
        <v/>
      </c>
      <c r="AE78" s="526" t="str">
        <f t="shared" si="40"/>
        <v/>
      </c>
      <c r="AF78" s="527" t="str">
        <f t="shared" si="41"/>
        <v/>
      </c>
      <c r="AG78" s="528" t="str">
        <f t="shared" si="42"/>
        <v/>
      </c>
      <c r="AH78" s="529"/>
      <c r="AI78" s="530"/>
      <c r="AL78">
        <v>67</v>
      </c>
      <c r="AM78">
        <v>42</v>
      </c>
    </row>
    <row r="79" spans="1:39" x14ac:dyDescent="0.25">
      <c r="A79" t="str">
        <f>'New order'!U81</f>
        <v/>
      </c>
      <c r="B79" t="str">
        <f>'New order'!V81</f>
        <v/>
      </c>
      <c r="C79">
        <f>'New order'!AT81</f>
        <v>10</v>
      </c>
      <c r="D79" t="str">
        <f>'New order'!Y81</f>
        <v/>
      </c>
      <c r="E79">
        <f t="shared" si="26"/>
        <v>1</v>
      </c>
      <c r="F79">
        <f t="shared" si="27"/>
        <v>0</v>
      </c>
      <c r="G79" t="str">
        <f>'New order'!T81</f>
        <v/>
      </c>
      <c r="H79">
        <f>COUNTIF(C$12:C79,C79)</f>
        <v>68</v>
      </c>
      <c r="I79">
        <v>1</v>
      </c>
      <c r="J79">
        <f t="shared" si="28"/>
        <v>200</v>
      </c>
      <c r="K79" t="str">
        <f t="shared" si="23"/>
        <v/>
      </c>
      <c r="L79" t="str">
        <f t="shared" si="43"/>
        <v/>
      </c>
      <c r="M79" t="str">
        <f>IF(L79&lt;&gt;"",1+COUNT(M$12:M78),"")</f>
        <v/>
      </c>
      <c r="N79" t="str">
        <f t="shared" si="29"/>
        <v/>
      </c>
      <c r="O79" t="str">
        <f t="shared" si="30"/>
        <v/>
      </c>
      <c r="P79" t="str">
        <f t="shared" si="31"/>
        <v/>
      </c>
      <c r="Q79" t="str">
        <f t="shared" si="32"/>
        <v/>
      </c>
      <c r="R79" t="str">
        <f t="shared" si="33"/>
        <v/>
      </c>
      <c r="S79" t="str">
        <f t="shared" si="34"/>
        <v/>
      </c>
      <c r="T79" t="str">
        <f t="shared" si="35"/>
        <v/>
      </c>
      <c r="U79">
        <f t="shared" si="36"/>
        <v>0</v>
      </c>
      <c r="V79" t="str">
        <f t="shared" si="37"/>
        <v/>
      </c>
      <c r="W79" t="str">
        <f>IFERROR(RANK(V79,V$12:V$211,1)+COUNTIF(V$12:V79,V79)-1,"")</f>
        <v/>
      </c>
      <c r="Z79">
        <v>68</v>
      </c>
      <c r="AA79" s="422" t="str">
        <f t="shared" si="24"/>
        <v/>
      </c>
      <c r="AB79" s="498" t="str">
        <f t="shared" si="25"/>
        <v/>
      </c>
      <c r="AC79" s="423" t="str">
        <f t="shared" si="38"/>
        <v/>
      </c>
      <c r="AD79" s="470" t="str">
        <f t="shared" si="39"/>
        <v/>
      </c>
      <c r="AE79" s="468" t="str">
        <f t="shared" si="40"/>
        <v/>
      </c>
      <c r="AF79" s="457" t="str">
        <f t="shared" si="41"/>
        <v/>
      </c>
      <c r="AG79" s="472" t="str">
        <f t="shared" si="42"/>
        <v/>
      </c>
      <c r="AH79" s="490"/>
      <c r="AI79" s="488"/>
      <c r="AL79">
        <v>68</v>
      </c>
      <c r="AM79">
        <v>40</v>
      </c>
    </row>
    <row r="80" spans="1:39" x14ac:dyDescent="0.25">
      <c r="A80" t="str">
        <f>'New order'!U82</f>
        <v/>
      </c>
      <c r="B80" t="str">
        <f>'New order'!V82</f>
        <v/>
      </c>
      <c r="C80">
        <f>'New order'!AT82</f>
        <v>10</v>
      </c>
      <c r="D80" t="str">
        <f>'New order'!Y82</f>
        <v/>
      </c>
      <c r="E80">
        <f t="shared" si="26"/>
        <v>1</v>
      </c>
      <c r="F80">
        <f t="shared" si="27"/>
        <v>0</v>
      </c>
      <c r="G80" t="str">
        <f>'New order'!T82</f>
        <v/>
      </c>
      <c r="H80">
        <f>COUNTIF(C$12:C80,C80)</f>
        <v>69</v>
      </c>
      <c r="I80">
        <v>1</v>
      </c>
      <c r="J80">
        <f t="shared" si="28"/>
        <v>200</v>
      </c>
      <c r="K80" t="str">
        <f t="shared" si="23"/>
        <v/>
      </c>
      <c r="L80" t="str">
        <f t="shared" si="43"/>
        <v/>
      </c>
      <c r="M80" t="str">
        <f>IF(L80&lt;&gt;"",1+COUNT(M$12:M79),"")</f>
        <v/>
      </c>
      <c r="N80" t="str">
        <f t="shared" si="29"/>
        <v/>
      </c>
      <c r="O80" t="str">
        <f t="shared" si="30"/>
        <v/>
      </c>
      <c r="P80" t="str">
        <f t="shared" si="31"/>
        <v/>
      </c>
      <c r="Q80" t="str">
        <f t="shared" si="32"/>
        <v/>
      </c>
      <c r="R80" t="str">
        <f t="shared" si="33"/>
        <v/>
      </c>
      <c r="S80" t="str">
        <f t="shared" si="34"/>
        <v/>
      </c>
      <c r="T80" t="str">
        <f t="shared" si="35"/>
        <v/>
      </c>
      <c r="U80">
        <f t="shared" si="36"/>
        <v>0</v>
      </c>
      <c r="V80" t="str">
        <f t="shared" si="37"/>
        <v/>
      </c>
      <c r="W80" t="str">
        <f>IFERROR(RANK(V80,V$12:V$211,1)+COUNTIF(V$12:V80,V80)-1,"")</f>
        <v/>
      </c>
      <c r="Z80">
        <v>69</v>
      </c>
      <c r="AA80" s="522" t="str">
        <f t="shared" si="24"/>
        <v/>
      </c>
      <c r="AB80" s="523" t="str">
        <f t="shared" si="25"/>
        <v/>
      </c>
      <c r="AC80" s="524" t="str">
        <f t="shared" si="38"/>
        <v/>
      </c>
      <c r="AD80" s="525" t="str">
        <f t="shared" si="39"/>
        <v/>
      </c>
      <c r="AE80" s="526" t="str">
        <f t="shared" si="40"/>
        <v/>
      </c>
      <c r="AF80" s="527" t="str">
        <f t="shared" si="41"/>
        <v/>
      </c>
      <c r="AG80" s="528" t="str">
        <f t="shared" si="42"/>
        <v/>
      </c>
      <c r="AH80" s="529"/>
      <c r="AI80" s="530"/>
      <c r="AL80">
        <v>69</v>
      </c>
      <c r="AM80">
        <v>38</v>
      </c>
    </row>
    <row r="81" spans="1:39" x14ac:dyDescent="0.25">
      <c r="A81" t="str">
        <f>'New order'!U83</f>
        <v/>
      </c>
      <c r="B81" t="str">
        <f>'New order'!V83</f>
        <v/>
      </c>
      <c r="C81">
        <f>'New order'!AT83</f>
        <v>10</v>
      </c>
      <c r="D81" t="str">
        <f>'New order'!Y83</f>
        <v/>
      </c>
      <c r="E81">
        <f t="shared" si="26"/>
        <v>1</v>
      </c>
      <c r="F81">
        <f t="shared" si="27"/>
        <v>0</v>
      </c>
      <c r="G81" t="str">
        <f>'New order'!T83</f>
        <v/>
      </c>
      <c r="H81">
        <f>COUNTIF(C$12:C81,C81)</f>
        <v>70</v>
      </c>
      <c r="I81">
        <v>1</v>
      </c>
      <c r="J81">
        <f t="shared" si="28"/>
        <v>200</v>
      </c>
      <c r="K81" t="str">
        <f t="shared" si="23"/>
        <v/>
      </c>
      <c r="L81" t="str">
        <f t="shared" si="43"/>
        <v/>
      </c>
      <c r="M81" t="str">
        <f>IF(L81&lt;&gt;"",1+COUNT(M$12:M80),"")</f>
        <v/>
      </c>
      <c r="N81" t="str">
        <f t="shared" si="29"/>
        <v/>
      </c>
      <c r="O81" t="str">
        <f t="shared" si="30"/>
        <v/>
      </c>
      <c r="P81" t="str">
        <f t="shared" si="31"/>
        <v/>
      </c>
      <c r="Q81" t="str">
        <f t="shared" si="32"/>
        <v/>
      </c>
      <c r="R81" t="str">
        <f t="shared" si="33"/>
        <v/>
      </c>
      <c r="S81" t="str">
        <f t="shared" si="34"/>
        <v/>
      </c>
      <c r="T81" t="str">
        <f t="shared" si="35"/>
        <v/>
      </c>
      <c r="U81">
        <f t="shared" si="36"/>
        <v>0</v>
      </c>
      <c r="V81" t="str">
        <f t="shared" si="37"/>
        <v/>
      </c>
      <c r="W81" t="str">
        <f>IFERROR(RANK(V81,V$12:V$211,1)+COUNTIF(V$12:V81,V81)-1,"")</f>
        <v/>
      </c>
      <c r="Z81">
        <v>70</v>
      </c>
      <c r="AA81" s="422" t="str">
        <f t="shared" si="24"/>
        <v/>
      </c>
      <c r="AB81" s="498" t="str">
        <f t="shared" si="25"/>
        <v/>
      </c>
      <c r="AC81" s="423" t="str">
        <f t="shared" si="38"/>
        <v/>
      </c>
      <c r="AD81" s="470" t="str">
        <f t="shared" si="39"/>
        <v/>
      </c>
      <c r="AE81" s="468" t="str">
        <f t="shared" si="40"/>
        <v/>
      </c>
      <c r="AF81" s="457" t="str">
        <f t="shared" si="41"/>
        <v/>
      </c>
      <c r="AG81" s="472" t="str">
        <f t="shared" si="42"/>
        <v/>
      </c>
      <c r="AH81" s="490"/>
      <c r="AI81" s="488"/>
      <c r="AL81">
        <v>70</v>
      </c>
      <c r="AM81">
        <v>36</v>
      </c>
    </row>
    <row r="82" spans="1:39" x14ac:dyDescent="0.25">
      <c r="A82" t="str">
        <f>'New order'!U84</f>
        <v/>
      </c>
      <c r="B82" t="str">
        <f>'New order'!V84</f>
        <v/>
      </c>
      <c r="C82">
        <f>'New order'!AT84</f>
        <v>10</v>
      </c>
      <c r="D82" t="str">
        <f>'New order'!Y84</f>
        <v/>
      </c>
      <c r="E82">
        <f t="shared" si="26"/>
        <v>1</v>
      </c>
      <c r="F82">
        <f t="shared" si="27"/>
        <v>0</v>
      </c>
      <c r="G82" t="str">
        <f>'New order'!T84</f>
        <v/>
      </c>
      <c r="H82">
        <f>COUNTIF(C$12:C82,C82)</f>
        <v>71</v>
      </c>
      <c r="I82">
        <v>1</v>
      </c>
      <c r="J82">
        <f t="shared" si="28"/>
        <v>200</v>
      </c>
      <c r="K82" t="str">
        <f t="shared" si="23"/>
        <v/>
      </c>
      <c r="L82" t="str">
        <f t="shared" si="43"/>
        <v/>
      </c>
      <c r="M82" t="str">
        <f>IF(L82&lt;&gt;"",1+COUNT(M$12:M81),"")</f>
        <v/>
      </c>
      <c r="N82" t="str">
        <f t="shared" si="29"/>
        <v/>
      </c>
      <c r="O82" t="str">
        <f t="shared" si="30"/>
        <v/>
      </c>
      <c r="P82" t="str">
        <f t="shared" si="31"/>
        <v/>
      </c>
      <c r="Q82" t="str">
        <f t="shared" si="32"/>
        <v/>
      </c>
      <c r="R82" t="str">
        <f t="shared" si="33"/>
        <v/>
      </c>
      <c r="S82" t="str">
        <f t="shared" si="34"/>
        <v/>
      </c>
      <c r="T82" t="str">
        <f t="shared" si="35"/>
        <v/>
      </c>
      <c r="U82">
        <f t="shared" si="36"/>
        <v>0</v>
      </c>
      <c r="V82" t="str">
        <f t="shared" si="37"/>
        <v/>
      </c>
      <c r="W82" t="str">
        <f>IFERROR(RANK(V82,V$12:V$211,1)+COUNTIF(V$12:V82,V82)-1,"")</f>
        <v/>
      </c>
      <c r="Z82">
        <v>71</v>
      </c>
      <c r="AA82" s="522" t="str">
        <f t="shared" si="24"/>
        <v/>
      </c>
      <c r="AB82" s="523" t="str">
        <f t="shared" si="25"/>
        <v/>
      </c>
      <c r="AC82" s="524" t="str">
        <f t="shared" si="38"/>
        <v/>
      </c>
      <c r="AD82" s="525" t="str">
        <f t="shared" si="39"/>
        <v/>
      </c>
      <c r="AE82" s="526" t="str">
        <f t="shared" si="40"/>
        <v/>
      </c>
      <c r="AF82" s="527" t="str">
        <f t="shared" si="41"/>
        <v/>
      </c>
      <c r="AG82" s="528" t="str">
        <f t="shared" si="42"/>
        <v/>
      </c>
      <c r="AH82" s="529"/>
      <c r="AI82" s="530"/>
      <c r="AL82">
        <v>71</v>
      </c>
      <c r="AM82">
        <v>34</v>
      </c>
    </row>
    <row r="83" spans="1:39" x14ac:dyDescent="0.25">
      <c r="A83" t="str">
        <f>'New order'!U85</f>
        <v/>
      </c>
      <c r="B83" t="str">
        <f>'New order'!V85</f>
        <v/>
      </c>
      <c r="C83">
        <f>'New order'!AT85</f>
        <v>10</v>
      </c>
      <c r="D83" t="str">
        <f>'New order'!Y85</f>
        <v/>
      </c>
      <c r="E83">
        <f t="shared" si="26"/>
        <v>1</v>
      </c>
      <c r="F83">
        <f t="shared" si="27"/>
        <v>0</v>
      </c>
      <c r="G83" t="str">
        <f>'New order'!T85</f>
        <v/>
      </c>
      <c r="H83">
        <f>COUNTIF(C$12:C83,C83)</f>
        <v>72</v>
      </c>
      <c r="I83">
        <v>1</v>
      </c>
      <c r="J83">
        <f t="shared" si="28"/>
        <v>200</v>
      </c>
      <c r="K83" t="str">
        <f t="shared" si="23"/>
        <v/>
      </c>
      <c r="L83" t="str">
        <f t="shared" si="43"/>
        <v/>
      </c>
      <c r="M83" t="str">
        <f>IF(L83&lt;&gt;"",1+COUNT(M$12:M82),"")</f>
        <v/>
      </c>
      <c r="N83" t="str">
        <f t="shared" si="29"/>
        <v/>
      </c>
      <c r="O83" t="str">
        <f t="shared" si="30"/>
        <v/>
      </c>
      <c r="P83" t="str">
        <f t="shared" si="31"/>
        <v/>
      </c>
      <c r="Q83" t="str">
        <f t="shared" si="32"/>
        <v/>
      </c>
      <c r="R83" t="str">
        <f t="shared" si="33"/>
        <v/>
      </c>
      <c r="S83" t="str">
        <f t="shared" si="34"/>
        <v/>
      </c>
      <c r="T83" t="str">
        <f t="shared" si="35"/>
        <v/>
      </c>
      <c r="U83">
        <f t="shared" si="36"/>
        <v>0</v>
      </c>
      <c r="V83" t="str">
        <f t="shared" si="37"/>
        <v/>
      </c>
      <c r="W83" t="str">
        <f>IFERROR(RANK(V83,V$12:V$211,1)+COUNTIF(V$12:V83,V83)-1,"")</f>
        <v/>
      </c>
      <c r="Z83">
        <v>72</v>
      </c>
      <c r="AA83" s="422" t="str">
        <f t="shared" si="24"/>
        <v/>
      </c>
      <c r="AB83" s="498" t="str">
        <f t="shared" si="25"/>
        <v/>
      </c>
      <c r="AC83" s="423" t="str">
        <f t="shared" si="38"/>
        <v/>
      </c>
      <c r="AD83" s="470" t="str">
        <f t="shared" si="39"/>
        <v/>
      </c>
      <c r="AE83" s="468" t="str">
        <f t="shared" si="40"/>
        <v/>
      </c>
      <c r="AF83" s="457" t="str">
        <f t="shared" si="41"/>
        <v/>
      </c>
      <c r="AG83" s="472" t="str">
        <f t="shared" si="42"/>
        <v/>
      </c>
      <c r="AH83" s="490"/>
      <c r="AI83" s="488"/>
      <c r="AL83">
        <v>72</v>
      </c>
      <c r="AM83">
        <v>32</v>
      </c>
    </row>
    <row r="84" spans="1:39" x14ac:dyDescent="0.25">
      <c r="A84" t="str">
        <f>'New order'!U86</f>
        <v/>
      </c>
      <c r="B84" t="str">
        <f>'New order'!V86</f>
        <v/>
      </c>
      <c r="C84">
        <f>'New order'!AT86</f>
        <v>10</v>
      </c>
      <c r="D84" t="str">
        <f>'New order'!Y86</f>
        <v/>
      </c>
      <c r="E84">
        <f t="shared" si="26"/>
        <v>1</v>
      </c>
      <c r="F84">
        <f t="shared" si="27"/>
        <v>0</v>
      </c>
      <c r="G84" t="str">
        <f>'New order'!T86</f>
        <v/>
      </c>
      <c r="H84">
        <f>COUNTIF(C$12:C84,C84)</f>
        <v>73</v>
      </c>
      <c r="I84">
        <v>1</v>
      </c>
      <c r="J84">
        <f t="shared" si="28"/>
        <v>200</v>
      </c>
      <c r="K84" t="str">
        <f t="shared" si="23"/>
        <v/>
      </c>
      <c r="L84" t="str">
        <f t="shared" si="43"/>
        <v/>
      </c>
      <c r="M84" t="str">
        <f>IF(L84&lt;&gt;"",1+COUNT(M$12:M83),"")</f>
        <v/>
      </c>
      <c r="N84" t="str">
        <f t="shared" si="29"/>
        <v/>
      </c>
      <c r="O84" t="str">
        <f t="shared" si="30"/>
        <v/>
      </c>
      <c r="P84" t="str">
        <f t="shared" si="31"/>
        <v/>
      </c>
      <c r="Q84" t="str">
        <f t="shared" si="32"/>
        <v/>
      </c>
      <c r="R84" t="str">
        <f t="shared" si="33"/>
        <v/>
      </c>
      <c r="S84" t="str">
        <f t="shared" si="34"/>
        <v/>
      </c>
      <c r="T84" t="str">
        <f t="shared" si="35"/>
        <v/>
      </c>
      <c r="U84">
        <f t="shared" si="36"/>
        <v>0</v>
      </c>
      <c r="V84" t="str">
        <f t="shared" si="37"/>
        <v/>
      </c>
      <c r="W84" t="str">
        <f>IFERROR(RANK(V84,V$12:V$211,1)+COUNTIF(V$12:V84,V84)-1,"")</f>
        <v/>
      </c>
      <c r="Z84">
        <v>73</v>
      </c>
      <c r="AA84" s="522" t="str">
        <f t="shared" si="24"/>
        <v/>
      </c>
      <c r="AB84" s="523" t="str">
        <f t="shared" si="25"/>
        <v/>
      </c>
      <c r="AC84" s="524" t="str">
        <f t="shared" si="38"/>
        <v/>
      </c>
      <c r="AD84" s="525" t="str">
        <f t="shared" si="39"/>
        <v/>
      </c>
      <c r="AE84" s="526" t="str">
        <f t="shared" si="40"/>
        <v/>
      </c>
      <c r="AF84" s="527" t="str">
        <f t="shared" si="41"/>
        <v/>
      </c>
      <c r="AG84" s="528" t="str">
        <f t="shared" si="42"/>
        <v/>
      </c>
      <c r="AH84" s="529"/>
      <c r="AI84" s="530"/>
      <c r="AL84">
        <v>73</v>
      </c>
      <c r="AM84">
        <v>88</v>
      </c>
    </row>
    <row r="85" spans="1:39" x14ac:dyDescent="0.25">
      <c r="A85" t="str">
        <f>'New order'!U87</f>
        <v/>
      </c>
      <c r="B85" t="str">
        <f>'New order'!V87</f>
        <v/>
      </c>
      <c r="C85">
        <f>'New order'!AT87</f>
        <v>10</v>
      </c>
      <c r="D85" t="str">
        <f>'New order'!Y87</f>
        <v/>
      </c>
      <c r="E85">
        <f t="shared" si="26"/>
        <v>1</v>
      </c>
      <c r="F85">
        <f t="shared" si="27"/>
        <v>0</v>
      </c>
      <c r="G85" t="str">
        <f>'New order'!T87</f>
        <v/>
      </c>
      <c r="H85">
        <f>COUNTIF(C$12:C85,C85)</f>
        <v>74</v>
      </c>
      <c r="I85">
        <v>1</v>
      </c>
      <c r="J85">
        <f t="shared" si="28"/>
        <v>200</v>
      </c>
      <c r="K85" t="str">
        <f t="shared" ref="K85:K90" si="44">IF(A85&lt;&gt;"",A85&amp;B85&amp;C85,"")</f>
        <v/>
      </c>
      <c r="L85" t="str">
        <f t="shared" si="43"/>
        <v/>
      </c>
      <c r="M85" t="str">
        <f>IF(L85&lt;&gt;"",1+COUNT(M$12:M84),"")</f>
        <v/>
      </c>
      <c r="N85" t="str">
        <f t="shared" si="29"/>
        <v/>
      </c>
      <c r="O85" t="str">
        <f t="shared" si="30"/>
        <v/>
      </c>
      <c r="P85" t="str">
        <f t="shared" si="31"/>
        <v/>
      </c>
      <c r="Q85" t="str">
        <f t="shared" si="32"/>
        <v/>
      </c>
      <c r="R85" t="str">
        <f t="shared" si="33"/>
        <v/>
      </c>
      <c r="S85" t="str">
        <f t="shared" si="34"/>
        <v/>
      </c>
      <c r="T85" t="str">
        <f t="shared" si="35"/>
        <v/>
      </c>
      <c r="U85">
        <f t="shared" si="36"/>
        <v>0</v>
      </c>
      <c r="V85" t="str">
        <f t="shared" si="37"/>
        <v/>
      </c>
      <c r="W85" t="str">
        <f>IFERROR(RANK(V85,V$12:V$211,1)+COUNTIF(V$12:V85,V85)-1,"")</f>
        <v/>
      </c>
      <c r="Z85">
        <v>74</v>
      </c>
      <c r="AA85" s="422" t="str">
        <f t="shared" si="24"/>
        <v/>
      </c>
      <c r="AB85" s="498" t="str">
        <f t="shared" si="25"/>
        <v/>
      </c>
      <c r="AC85" s="423" t="str">
        <f t="shared" si="38"/>
        <v/>
      </c>
      <c r="AD85" s="470" t="str">
        <f t="shared" si="39"/>
        <v/>
      </c>
      <c r="AE85" s="468" t="str">
        <f t="shared" si="40"/>
        <v/>
      </c>
      <c r="AF85" s="457" t="str">
        <f t="shared" si="41"/>
        <v/>
      </c>
      <c r="AG85" s="472" t="str">
        <f t="shared" si="42"/>
        <v/>
      </c>
      <c r="AH85" s="490"/>
      <c r="AI85" s="488"/>
      <c r="AL85">
        <v>74</v>
      </c>
      <c r="AM85">
        <v>86</v>
      </c>
    </row>
    <row r="86" spans="1:39" x14ac:dyDescent="0.25">
      <c r="A86" t="str">
        <f>'New order'!U88</f>
        <v/>
      </c>
      <c r="B86" t="str">
        <f>'New order'!V88</f>
        <v/>
      </c>
      <c r="C86">
        <f>'New order'!AT88</f>
        <v>10</v>
      </c>
      <c r="D86" t="str">
        <f>'New order'!Y88</f>
        <v/>
      </c>
      <c r="E86">
        <f t="shared" si="26"/>
        <v>1</v>
      </c>
      <c r="F86">
        <f t="shared" si="27"/>
        <v>0</v>
      </c>
      <c r="G86" t="str">
        <f>'New order'!T88</f>
        <v/>
      </c>
      <c r="H86">
        <f>COUNTIF(C$12:C86,C86)</f>
        <v>75</v>
      </c>
      <c r="I86">
        <v>1</v>
      </c>
      <c r="J86">
        <f t="shared" si="28"/>
        <v>200</v>
      </c>
      <c r="K86" t="str">
        <f t="shared" si="44"/>
        <v/>
      </c>
      <c r="L86" t="str">
        <f t="shared" si="43"/>
        <v/>
      </c>
      <c r="M86" t="str">
        <f>IF(L86&lt;&gt;"",1+COUNT(M$12:M85),"")</f>
        <v/>
      </c>
      <c r="N86" t="str">
        <f t="shared" si="29"/>
        <v/>
      </c>
      <c r="O86" t="str">
        <f t="shared" si="30"/>
        <v/>
      </c>
      <c r="P86" t="str">
        <f t="shared" si="31"/>
        <v/>
      </c>
      <c r="Q86" t="str">
        <f t="shared" si="32"/>
        <v/>
      </c>
      <c r="R86" t="str">
        <f t="shared" si="33"/>
        <v/>
      </c>
      <c r="S86" t="str">
        <f t="shared" si="34"/>
        <v/>
      </c>
      <c r="T86" t="str">
        <f t="shared" si="35"/>
        <v/>
      </c>
      <c r="U86">
        <f t="shared" si="36"/>
        <v>0</v>
      </c>
      <c r="V86" t="str">
        <f t="shared" si="37"/>
        <v/>
      </c>
      <c r="W86" t="str">
        <f>IFERROR(RANK(V86,V$12:V$211,1)+COUNTIF(V$12:V86,V86)-1,"")</f>
        <v/>
      </c>
      <c r="Z86">
        <v>75</v>
      </c>
      <c r="AA86" s="522" t="str">
        <f t="shared" si="24"/>
        <v/>
      </c>
      <c r="AB86" s="523" t="str">
        <f t="shared" si="25"/>
        <v/>
      </c>
      <c r="AC86" s="524" t="str">
        <f t="shared" si="38"/>
        <v/>
      </c>
      <c r="AD86" s="525" t="str">
        <f t="shared" si="39"/>
        <v/>
      </c>
      <c r="AE86" s="526" t="str">
        <f t="shared" si="40"/>
        <v/>
      </c>
      <c r="AF86" s="527" t="str">
        <f t="shared" si="41"/>
        <v/>
      </c>
      <c r="AG86" s="528" t="str">
        <f t="shared" si="42"/>
        <v/>
      </c>
      <c r="AH86" s="529"/>
      <c r="AI86" s="530"/>
      <c r="AL86">
        <v>75</v>
      </c>
      <c r="AM86">
        <v>84</v>
      </c>
    </row>
    <row r="87" spans="1:39" x14ac:dyDescent="0.25">
      <c r="A87" t="str">
        <f>'New order'!U89</f>
        <v/>
      </c>
      <c r="B87" t="str">
        <f>'New order'!V89</f>
        <v/>
      </c>
      <c r="C87">
        <f>'New order'!AT89</f>
        <v>10</v>
      </c>
      <c r="D87" t="str">
        <f>'New order'!Y89</f>
        <v/>
      </c>
      <c r="E87">
        <f t="shared" si="26"/>
        <v>1</v>
      </c>
      <c r="F87">
        <f t="shared" si="27"/>
        <v>0</v>
      </c>
      <c r="G87" t="str">
        <f>'New order'!T89</f>
        <v/>
      </c>
      <c r="H87">
        <f>COUNTIF(C$12:C87,C87)</f>
        <v>76</v>
      </c>
      <c r="I87">
        <v>1</v>
      </c>
      <c r="J87">
        <f t="shared" si="28"/>
        <v>200</v>
      </c>
      <c r="K87" t="str">
        <f t="shared" si="44"/>
        <v/>
      </c>
      <c r="L87" t="str">
        <f t="shared" si="43"/>
        <v/>
      </c>
      <c r="M87" t="str">
        <f>IF(L87&lt;&gt;"",1+COUNT(M$12:M86),"")</f>
        <v/>
      </c>
      <c r="N87" t="str">
        <f t="shared" si="29"/>
        <v/>
      </c>
      <c r="O87" t="str">
        <f t="shared" si="30"/>
        <v/>
      </c>
      <c r="P87" t="str">
        <f t="shared" si="31"/>
        <v/>
      </c>
      <c r="Q87" t="str">
        <f t="shared" si="32"/>
        <v/>
      </c>
      <c r="R87" t="str">
        <f t="shared" si="33"/>
        <v/>
      </c>
      <c r="S87" t="str">
        <f t="shared" si="34"/>
        <v/>
      </c>
      <c r="T87" t="str">
        <f t="shared" si="35"/>
        <v/>
      </c>
      <c r="U87">
        <f t="shared" si="36"/>
        <v>0</v>
      </c>
      <c r="V87" t="str">
        <f t="shared" si="37"/>
        <v/>
      </c>
      <c r="W87" t="str">
        <f>IFERROR(RANK(V87,V$12:V$211,1)+COUNTIF(V$12:V87,V87)-1,"")</f>
        <v/>
      </c>
      <c r="Z87">
        <v>76</v>
      </c>
      <c r="AA87" s="422" t="str">
        <f t="shared" si="24"/>
        <v/>
      </c>
      <c r="AB87" s="498" t="str">
        <f t="shared" si="25"/>
        <v/>
      </c>
      <c r="AC87" s="423" t="str">
        <f t="shared" si="38"/>
        <v/>
      </c>
      <c r="AD87" s="470" t="str">
        <f t="shared" si="39"/>
        <v/>
      </c>
      <c r="AE87" s="468" t="str">
        <f t="shared" si="40"/>
        <v/>
      </c>
      <c r="AF87" s="457" t="str">
        <f t="shared" si="41"/>
        <v/>
      </c>
      <c r="AG87" s="472" t="str">
        <f t="shared" si="42"/>
        <v/>
      </c>
      <c r="AH87" s="490"/>
      <c r="AI87" s="488"/>
      <c r="AL87">
        <v>76</v>
      </c>
      <c r="AM87">
        <v>82</v>
      </c>
    </row>
    <row r="88" spans="1:39" x14ac:dyDescent="0.25">
      <c r="A88" t="str">
        <f>'New order'!U90</f>
        <v/>
      </c>
      <c r="B88" t="str">
        <f>'New order'!V90</f>
        <v/>
      </c>
      <c r="C88">
        <f>'New order'!AT90</f>
        <v>10</v>
      </c>
      <c r="D88" t="str">
        <f>'New order'!Y90</f>
        <v/>
      </c>
      <c r="E88">
        <f t="shared" si="26"/>
        <v>1</v>
      </c>
      <c r="F88">
        <f t="shared" si="27"/>
        <v>0</v>
      </c>
      <c r="G88" t="str">
        <f>'New order'!T90</f>
        <v/>
      </c>
      <c r="H88">
        <f>COUNTIF(C$12:C88,C88)</f>
        <v>77</v>
      </c>
      <c r="I88">
        <v>1</v>
      </c>
      <c r="J88">
        <f t="shared" si="28"/>
        <v>200</v>
      </c>
      <c r="K88" t="str">
        <f t="shared" si="44"/>
        <v/>
      </c>
      <c r="L88" t="str">
        <f t="shared" si="43"/>
        <v/>
      </c>
      <c r="M88" t="str">
        <f>IF(L88&lt;&gt;"",1+COUNT(M$12:M87),"")</f>
        <v/>
      </c>
      <c r="N88" t="str">
        <f t="shared" si="29"/>
        <v/>
      </c>
      <c r="O88" t="str">
        <f t="shared" si="30"/>
        <v/>
      </c>
      <c r="P88" t="str">
        <f t="shared" si="31"/>
        <v/>
      </c>
      <c r="Q88" t="str">
        <f t="shared" si="32"/>
        <v/>
      </c>
      <c r="R88" t="str">
        <f t="shared" si="33"/>
        <v/>
      </c>
      <c r="S88" t="str">
        <f t="shared" si="34"/>
        <v/>
      </c>
      <c r="T88" t="str">
        <f t="shared" si="35"/>
        <v/>
      </c>
      <c r="U88">
        <f t="shared" si="36"/>
        <v>0</v>
      </c>
      <c r="V88" t="str">
        <f t="shared" si="37"/>
        <v/>
      </c>
      <c r="W88" t="str">
        <f>IFERROR(RANK(V88,V$12:V$211,1)+COUNTIF(V$12:V88,V88)-1,"")</f>
        <v/>
      </c>
      <c r="Z88">
        <v>77</v>
      </c>
      <c r="AA88" s="522" t="str">
        <f t="shared" si="24"/>
        <v/>
      </c>
      <c r="AB88" s="523" t="str">
        <f t="shared" si="25"/>
        <v/>
      </c>
      <c r="AC88" s="524" t="str">
        <f t="shared" si="38"/>
        <v/>
      </c>
      <c r="AD88" s="525" t="str">
        <f t="shared" si="39"/>
        <v/>
      </c>
      <c r="AE88" s="526" t="str">
        <f t="shared" si="40"/>
        <v/>
      </c>
      <c r="AF88" s="527" t="str">
        <f t="shared" si="41"/>
        <v/>
      </c>
      <c r="AG88" s="528" t="str">
        <f t="shared" si="42"/>
        <v/>
      </c>
      <c r="AH88" s="529"/>
      <c r="AI88" s="530"/>
      <c r="AL88">
        <v>77</v>
      </c>
      <c r="AM88">
        <v>80</v>
      </c>
    </row>
    <row r="89" spans="1:39" x14ac:dyDescent="0.25">
      <c r="A89" t="str">
        <f>'New order'!U91</f>
        <v/>
      </c>
      <c r="B89" t="str">
        <f>'New order'!V91</f>
        <v/>
      </c>
      <c r="C89">
        <f>'New order'!AT91</f>
        <v>10</v>
      </c>
      <c r="D89" t="str">
        <f>'New order'!Y91</f>
        <v/>
      </c>
      <c r="E89">
        <f t="shared" si="26"/>
        <v>1</v>
      </c>
      <c r="F89">
        <f t="shared" si="27"/>
        <v>0</v>
      </c>
      <c r="G89" t="str">
        <f>'New order'!T91</f>
        <v/>
      </c>
      <c r="H89">
        <f>COUNTIF(C$12:C89,C89)</f>
        <v>78</v>
      </c>
      <c r="I89">
        <v>1</v>
      </c>
      <c r="J89">
        <f t="shared" si="28"/>
        <v>200</v>
      </c>
      <c r="K89" t="str">
        <f t="shared" si="44"/>
        <v/>
      </c>
      <c r="L89" t="str">
        <f t="shared" si="43"/>
        <v/>
      </c>
      <c r="M89" t="str">
        <f>IF(L89&lt;&gt;"",1+COUNT(M$12:M88),"")</f>
        <v/>
      </c>
      <c r="N89" t="str">
        <f t="shared" si="29"/>
        <v/>
      </c>
      <c r="O89" t="str">
        <f t="shared" si="30"/>
        <v/>
      </c>
      <c r="P89" t="str">
        <f t="shared" si="31"/>
        <v/>
      </c>
      <c r="Q89" t="str">
        <f t="shared" si="32"/>
        <v/>
      </c>
      <c r="R89" t="str">
        <f t="shared" si="33"/>
        <v/>
      </c>
      <c r="S89" t="str">
        <f t="shared" si="34"/>
        <v/>
      </c>
      <c r="T89" t="str">
        <f t="shared" si="35"/>
        <v/>
      </c>
      <c r="U89">
        <f t="shared" si="36"/>
        <v>0</v>
      </c>
      <c r="V89" t="str">
        <f t="shared" si="37"/>
        <v/>
      </c>
      <c r="W89" t="str">
        <f>IFERROR(RANK(V89,V$12:V$211,1)+COUNTIF(V$12:V89,V89)-1,"")</f>
        <v/>
      </c>
      <c r="Z89">
        <v>78</v>
      </c>
      <c r="AA89" s="422" t="str">
        <f t="shared" si="24"/>
        <v/>
      </c>
      <c r="AB89" s="498" t="str">
        <f t="shared" si="25"/>
        <v/>
      </c>
      <c r="AC89" s="423" t="str">
        <f t="shared" si="38"/>
        <v/>
      </c>
      <c r="AD89" s="470" t="str">
        <f t="shared" si="39"/>
        <v/>
      </c>
      <c r="AE89" s="468" t="str">
        <f t="shared" si="40"/>
        <v/>
      </c>
      <c r="AF89" s="457" t="str">
        <f t="shared" si="41"/>
        <v/>
      </c>
      <c r="AG89" s="472" t="str">
        <f t="shared" si="42"/>
        <v/>
      </c>
      <c r="AH89" s="490"/>
      <c r="AI89" s="488"/>
      <c r="AL89">
        <v>78</v>
      </c>
      <c r="AM89">
        <v>78</v>
      </c>
    </row>
    <row r="90" spans="1:39" x14ac:dyDescent="0.25">
      <c r="A90" t="str">
        <f>'New order'!U92</f>
        <v/>
      </c>
      <c r="B90" t="str">
        <f>'New order'!V92</f>
        <v/>
      </c>
      <c r="C90">
        <f>'New order'!AT92</f>
        <v>10</v>
      </c>
      <c r="D90" t="str">
        <f>'New order'!Y92</f>
        <v/>
      </c>
      <c r="E90">
        <f t="shared" si="26"/>
        <v>1</v>
      </c>
      <c r="F90">
        <f t="shared" si="27"/>
        <v>0</v>
      </c>
      <c r="G90" t="str">
        <f>'New order'!T92</f>
        <v/>
      </c>
      <c r="H90">
        <f>COUNTIF(C$12:C90,C90)</f>
        <v>79</v>
      </c>
      <c r="I90">
        <v>1</v>
      </c>
      <c r="J90">
        <f t="shared" si="28"/>
        <v>200</v>
      </c>
      <c r="K90" t="str">
        <f t="shared" si="44"/>
        <v/>
      </c>
      <c r="L90" t="str">
        <f t="shared" si="43"/>
        <v/>
      </c>
      <c r="M90" t="str">
        <f>IF(L90&lt;&gt;"",1+COUNT(M$12:M89),"")</f>
        <v/>
      </c>
      <c r="N90" t="str">
        <f t="shared" si="29"/>
        <v/>
      </c>
      <c r="O90" t="str">
        <f t="shared" si="30"/>
        <v/>
      </c>
      <c r="P90" t="str">
        <f t="shared" si="31"/>
        <v/>
      </c>
      <c r="Q90" t="str">
        <f t="shared" si="32"/>
        <v/>
      </c>
      <c r="R90" t="str">
        <f t="shared" si="33"/>
        <v/>
      </c>
      <c r="S90" t="str">
        <f t="shared" si="34"/>
        <v/>
      </c>
      <c r="T90" t="str">
        <f t="shared" si="35"/>
        <v/>
      </c>
      <c r="U90">
        <f t="shared" si="36"/>
        <v>0</v>
      </c>
      <c r="V90" t="str">
        <f t="shared" si="37"/>
        <v/>
      </c>
      <c r="W90" t="str">
        <f>IFERROR(RANK(V90,V$12:V$211,1)+COUNTIF(V$12:V90,V90)-1,"")</f>
        <v/>
      </c>
      <c r="Z90">
        <v>79</v>
      </c>
      <c r="AA90" s="522" t="str">
        <f t="shared" si="24"/>
        <v/>
      </c>
      <c r="AB90" s="523" t="str">
        <f t="shared" si="25"/>
        <v/>
      </c>
      <c r="AC90" s="524" t="str">
        <f t="shared" si="38"/>
        <v/>
      </c>
      <c r="AD90" s="525" t="str">
        <f t="shared" si="39"/>
        <v/>
      </c>
      <c r="AE90" s="526" t="str">
        <f t="shared" si="40"/>
        <v/>
      </c>
      <c r="AF90" s="527" t="str">
        <f t="shared" si="41"/>
        <v/>
      </c>
      <c r="AG90" s="528" t="str">
        <f t="shared" si="42"/>
        <v/>
      </c>
      <c r="AH90" s="529"/>
      <c r="AI90" s="530"/>
      <c r="AL90">
        <v>79</v>
      </c>
      <c r="AM90">
        <v>76</v>
      </c>
    </row>
    <row r="91" spans="1:39" x14ac:dyDescent="0.25">
      <c r="A91" t="str">
        <f>'New order'!U93</f>
        <v/>
      </c>
      <c r="B91" t="str">
        <f>'New order'!V93</f>
        <v/>
      </c>
      <c r="C91">
        <f>'New order'!AT93</f>
        <v>10</v>
      </c>
      <c r="D91" t="str">
        <f>'New order'!Y93</f>
        <v/>
      </c>
      <c r="E91">
        <f t="shared" si="26"/>
        <v>1</v>
      </c>
      <c r="F91">
        <f t="shared" si="27"/>
        <v>0</v>
      </c>
      <c r="G91" t="str">
        <f>'New order'!T93</f>
        <v/>
      </c>
      <c r="H91">
        <f>COUNTIF(C$12:C91,C91)</f>
        <v>80</v>
      </c>
      <c r="I91">
        <v>1</v>
      </c>
      <c r="J91">
        <f>SUMIFS(I$12:I$211,A$12:A$211,A91,B$12:B$211,B91,C$12:C$211,C91)</f>
        <v>200</v>
      </c>
      <c r="K91" t="str">
        <f>IF(A91&lt;&gt;"",A91&amp;B91&amp;C91,"")</f>
        <v/>
      </c>
      <c r="L91" t="str">
        <f>IF(K91=K90,"",K91)</f>
        <v/>
      </c>
      <c r="M91" t="str">
        <f>IF(L91&lt;&gt;"",1+COUNT(M$12:M90),"")</f>
        <v/>
      </c>
      <c r="N91" t="str">
        <f t="shared" si="29"/>
        <v/>
      </c>
      <c r="O91" t="str">
        <f t="shared" si="30"/>
        <v/>
      </c>
      <c r="P91" t="str">
        <f>IF(M91&lt;&gt;"",J91,"")</f>
        <v/>
      </c>
      <c r="Q91" t="str">
        <f t="shared" si="32"/>
        <v/>
      </c>
      <c r="R91" t="str">
        <f>IF(M91&lt;&gt;"",E91,"")</f>
        <v/>
      </c>
      <c r="S91" t="str">
        <f t="shared" si="34"/>
        <v/>
      </c>
      <c r="T91" t="str">
        <f t="shared" si="35"/>
        <v/>
      </c>
      <c r="U91">
        <f t="shared" si="36"/>
        <v>0</v>
      </c>
      <c r="V91" t="str">
        <f>IFERROR(R91*1000+U91+IF(U91=100,10000,0),"")</f>
        <v/>
      </c>
      <c r="W91" t="str">
        <f>IFERROR(RANK(V91,V$12:V$211,1)+COUNTIF(V$12:V91,V91)-1,"")</f>
        <v/>
      </c>
      <c r="Z91">
        <v>80</v>
      </c>
      <c r="AA91" s="422" t="str">
        <f t="shared" si="24"/>
        <v/>
      </c>
      <c r="AB91" s="498" t="str">
        <f t="shared" si="25"/>
        <v/>
      </c>
      <c r="AC91" s="423" t="str">
        <f t="shared" si="38"/>
        <v/>
      </c>
      <c r="AD91" s="470" t="str">
        <f t="shared" si="39"/>
        <v/>
      </c>
      <c r="AE91" s="468" t="str">
        <f t="shared" si="40"/>
        <v/>
      </c>
      <c r="AF91" s="457" t="str">
        <f t="shared" si="41"/>
        <v/>
      </c>
      <c r="AG91" s="472" t="str">
        <f t="shared" si="42"/>
        <v/>
      </c>
      <c r="AH91" s="490"/>
      <c r="AI91" s="488"/>
      <c r="AL91">
        <v>80</v>
      </c>
      <c r="AM91">
        <v>74</v>
      </c>
    </row>
    <row r="92" spans="1:39" x14ac:dyDescent="0.25">
      <c r="A92" t="str">
        <f>'New order'!U94</f>
        <v/>
      </c>
      <c r="B92" t="str">
        <f>'New order'!V94</f>
        <v/>
      </c>
      <c r="C92">
        <f>'New order'!AT94</f>
        <v>10</v>
      </c>
      <c r="D92" t="str">
        <f>'New order'!Y94</f>
        <v/>
      </c>
      <c r="E92">
        <f t="shared" si="26"/>
        <v>1</v>
      </c>
      <c r="F92">
        <f t="shared" si="27"/>
        <v>0</v>
      </c>
      <c r="G92" t="str">
        <f>'New order'!T94</f>
        <v/>
      </c>
      <c r="H92">
        <f>COUNTIF(C$12:C92,C92)</f>
        <v>81</v>
      </c>
      <c r="I92">
        <v>1</v>
      </c>
      <c r="J92">
        <f t="shared" si="28"/>
        <v>200</v>
      </c>
      <c r="K92" t="str">
        <f t="shared" ref="K92:K155" si="45">IF(A92&lt;&gt;"",A92&amp;B92&amp;C92,"")</f>
        <v/>
      </c>
      <c r="L92" t="str">
        <f t="shared" si="43"/>
        <v/>
      </c>
      <c r="M92" t="str">
        <f>IF(L92&lt;&gt;"",1+COUNT(M$12:M91),"")</f>
        <v/>
      </c>
      <c r="N92" t="str">
        <f t="shared" si="29"/>
        <v/>
      </c>
      <c r="O92" t="str">
        <f t="shared" si="30"/>
        <v/>
      </c>
      <c r="P92" t="str">
        <f t="shared" si="31"/>
        <v/>
      </c>
      <c r="Q92" t="str">
        <f t="shared" si="32"/>
        <v/>
      </c>
      <c r="R92" t="str">
        <f t="shared" si="33"/>
        <v/>
      </c>
      <c r="S92" t="str">
        <f t="shared" si="34"/>
        <v/>
      </c>
      <c r="T92" t="str">
        <f t="shared" si="35"/>
        <v/>
      </c>
      <c r="U92">
        <f t="shared" si="36"/>
        <v>0</v>
      </c>
      <c r="V92" t="str">
        <f t="shared" si="37"/>
        <v/>
      </c>
      <c r="W92" t="str">
        <f>IFERROR(RANK(V92,V$12:V$211,1)+COUNTIF(V$12:V92,V92)-1,"")</f>
        <v/>
      </c>
      <c r="Z92">
        <v>81</v>
      </c>
      <c r="AA92" s="522" t="str">
        <f t="shared" si="24"/>
        <v/>
      </c>
      <c r="AB92" s="523" t="str">
        <f t="shared" si="25"/>
        <v/>
      </c>
      <c r="AC92" s="524" t="str">
        <f t="shared" si="38"/>
        <v/>
      </c>
      <c r="AD92" s="525" t="str">
        <f t="shared" si="39"/>
        <v/>
      </c>
      <c r="AE92" s="526" t="str">
        <f t="shared" si="40"/>
        <v/>
      </c>
      <c r="AF92" s="527" t="str">
        <f t="shared" si="41"/>
        <v/>
      </c>
      <c r="AG92" s="528" t="str">
        <f t="shared" si="42"/>
        <v/>
      </c>
      <c r="AH92" s="529"/>
      <c r="AI92" s="530"/>
      <c r="AL92">
        <v>81</v>
      </c>
      <c r="AM92">
        <v>72</v>
      </c>
    </row>
    <row r="93" spans="1:39" x14ac:dyDescent="0.25">
      <c r="A93" t="str">
        <f>'New order'!U95</f>
        <v/>
      </c>
      <c r="B93" t="str">
        <f>'New order'!V95</f>
        <v/>
      </c>
      <c r="C93">
        <f>'New order'!AT95</f>
        <v>10</v>
      </c>
      <c r="D93" t="str">
        <f>'New order'!Y95</f>
        <v/>
      </c>
      <c r="E93">
        <f t="shared" si="26"/>
        <v>1</v>
      </c>
      <c r="F93">
        <f t="shared" si="27"/>
        <v>0</v>
      </c>
      <c r="G93" t="str">
        <f>'New order'!T95</f>
        <v/>
      </c>
      <c r="H93">
        <f>COUNTIF(C$12:C93,C93)</f>
        <v>82</v>
      </c>
      <c r="I93">
        <v>1</v>
      </c>
      <c r="J93">
        <f t="shared" si="28"/>
        <v>200</v>
      </c>
      <c r="K93" t="str">
        <f t="shared" si="45"/>
        <v/>
      </c>
      <c r="L93" t="str">
        <f t="shared" si="43"/>
        <v/>
      </c>
      <c r="M93" t="str">
        <f>IF(L93&lt;&gt;"",1+COUNT(M$12:M92),"")</f>
        <v/>
      </c>
      <c r="N93" t="str">
        <f t="shared" si="29"/>
        <v/>
      </c>
      <c r="O93" t="str">
        <f t="shared" si="30"/>
        <v/>
      </c>
      <c r="P93" t="str">
        <f t="shared" si="31"/>
        <v/>
      </c>
      <c r="Q93" t="str">
        <f t="shared" si="32"/>
        <v/>
      </c>
      <c r="R93" t="str">
        <f t="shared" si="33"/>
        <v/>
      </c>
      <c r="S93" t="str">
        <f t="shared" si="34"/>
        <v/>
      </c>
      <c r="T93" t="str">
        <f t="shared" si="35"/>
        <v/>
      </c>
      <c r="U93">
        <f t="shared" si="36"/>
        <v>0</v>
      </c>
      <c r="V93" t="str">
        <f t="shared" si="37"/>
        <v/>
      </c>
      <c r="W93" t="str">
        <f>IFERROR(RANK(V93,V$12:V$211,1)+COUNTIF(V$12:V93,V93)-1,"")</f>
        <v/>
      </c>
      <c r="Z93">
        <v>82</v>
      </c>
      <c r="AA93" s="422" t="str">
        <f t="shared" si="24"/>
        <v/>
      </c>
      <c r="AB93" s="498" t="str">
        <f t="shared" si="25"/>
        <v/>
      </c>
      <c r="AC93" s="423" t="str">
        <f t="shared" si="38"/>
        <v/>
      </c>
      <c r="AD93" s="470" t="str">
        <f t="shared" si="39"/>
        <v/>
      </c>
      <c r="AE93" s="468" t="str">
        <f t="shared" si="40"/>
        <v/>
      </c>
      <c r="AF93" s="457" t="str">
        <f t="shared" si="41"/>
        <v/>
      </c>
      <c r="AG93" s="472" t="str">
        <f t="shared" si="42"/>
        <v/>
      </c>
      <c r="AH93" s="490"/>
      <c r="AI93" s="488"/>
      <c r="AL93">
        <v>82</v>
      </c>
      <c r="AM93">
        <v>70</v>
      </c>
    </row>
    <row r="94" spans="1:39" x14ac:dyDescent="0.25">
      <c r="A94" t="str">
        <f>'New order'!U96</f>
        <v/>
      </c>
      <c r="B94" t="str">
        <f>'New order'!V96</f>
        <v/>
      </c>
      <c r="C94">
        <f>'New order'!AT96</f>
        <v>10</v>
      </c>
      <c r="D94" t="str">
        <f>'New order'!Y96</f>
        <v/>
      </c>
      <c r="E94">
        <f t="shared" si="26"/>
        <v>1</v>
      </c>
      <c r="F94">
        <f t="shared" si="27"/>
        <v>0</v>
      </c>
      <c r="G94" t="str">
        <f>'New order'!T96</f>
        <v/>
      </c>
      <c r="H94">
        <f>COUNTIF(C$12:C94,C94)</f>
        <v>83</v>
      </c>
      <c r="I94">
        <v>1</v>
      </c>
      <c r="J94">
        <f t="shared" si="28"/>
        <v>200</v>
      </c>
      <c r="K94" t="str">
        <f t="shared" si="45"/>
        <v/>
      </c>
      <c r="L94" t="str">
        <f t="shared" si="43"/>
        <v/>
      </c>
      <c r="M94" t="str">
        <f>IF(L94&lt;&gt;"",1+COUNT(M$12:M93),"")</f>
        <v/>
      </c>
      <c r="N94" t="str">
        <f t="shared" si="29"/>
        <v/>
      </c>
      <c r="O94" t="str">
        <f t="shared" si="30"/>
        <v/>
      </c>
      <c r="P94" t="str">
        <f t="shared" si="31"/>
        <v/>
      </c>
      <c r="Q94" t="str">
        <f t="shared" si="32"/>
        <v/>
      </c>
      <c r="R94" t="str">
        <f t="shared" si="33"/>
        <v/>
      </c>
      <c r="S94" t="str">
        <f t="shared" si="34"/>
        <v/>
      </c>
      <c r="T94" t="str">
        <f t="shared" si="35"/>
        <v/>
      </c>
      <c r="U94">
        <f t="shared" si="36"/>
        <v>0</v>
      </c>
      <c r="V94" t="str">
        <f t="shared" si="37"/>
        <v/>
      </c>
      <c r="W94" t="str">
        <f>IFERROR(RANK(V94,V$12:V$211,1)+COUNTIF(V$12:V94,V94)-1,"")</f>
        <v/>
      </c>
      <c r="Z94">
        <v>83</v>
      </c>
      <c r="AA94" s="522" t="str">
        <f t="shared" si="24"/>
        <v/>
      </c>
      <c r="AB94" s="523" t="str">
        <f t="shared" si="25"/>
        <v/>
      </c>
      <c r="AC94" s="524" t="str">
        <f t="shared" si="38"/>
        <v/>
      </c>
      <c r="AD94" s="525" t="str">
        <f t="shared" si="39"/>
        <v/>
      </c>
      <c r="AE94" s="526" t="str">
        <f t="shared" si="40"/>
        <v/>
      </c>
      <c r="AF94" s="527" t="str">
        <f t="shared" si="41"/>
        <v/>
      </c>
      <c r="AG94" s="528" t="str">
        <f t="shared" si="42"/>
        <v/>
      </c>
      <c r="AH94" s="529"/>
      <c r="AI94" s="530"/>
      <c r="AL94">
        <v>83</v>
      </c>
      <c r="AM94">
        <v>68</v>
      </c>
    </row>
    <row r="95" spans="1:39" x14ac:dyDescent="0.25">
      <c r="A95" t="str">
        <f>'New order'!U97</f>
        <v/>
      </c>
      <c r="B95" t="str">
        <f>'New order'!V97</f>
        <v/>
      </c>
      <c r="C95">
        <f>'New order'!AT97</f>
        <v>10</v>
      </c>
      <c r="D95" t="str">
        <f>'New order'!Y97</f>
        <v/>
      </c>
      <c r="E95">
        <f t="shared" si="26"/>
        <v>1</v>
      </c>
      <c r="F95">
        <f t="shared" si="27"/>
        <v>0</v>
      </c>
      <c r="G95" t="str">
        <f>'New order'!T97</f>
        <v/>
      </c>
      <c r="H95">
        <f>COUNTIF(C$12:C95,C95)</f>
        <v>84</v>
      </c>
      <c r="I95">
        <v>1</v>
      </c>
      <c r="J95">
        <f t="shared" si="28"/>
        <v>200</v>
      </c>
      <c r="K95" t="str">
        <f t="shared" si="45"/>
        <v/>
      </c>
      <c r="L95" t="str">
        <f t="shared" si="43"/>
        <v/>
      </c>
      <c r="M95" t="str">
        <f>IF(L95&lt;&gt;"",1+COUNT(M$12:M94),"")</f>
        <v/>
      </c>
      <c r="N95" t="str">
        <f t="shared" si="29"/>
        <v/>
      </c>
      <c r="O95" t="str">
        <f t="shared" si="30"/>
        <v/>
      </c>
      <c r="P95" t="str">
        <f t="shared" si="31"/>
        <v/>
      </c>
      <c r="Q95" t="str">
        <f t="shared" si="32"/>
        <v/>
      </c>
      <c r="R95" t="str">
        <f t="shared" si="33"/>
        <v/>
      </c>
      <c r="S95" t="str">
        <f t="shared" si="34"/>
        <v/>
      </c>
      <c r="T95" t="str">
        <f t="shared" si="35"/>
        <v/>
      </c>
      <c r="U95">
        <f t="shared" si="36"/>
        <v>0</v>
      </c>
      <c r="V95" t="str">
        <f t="shared" si="37"/>
        <v/>
      </c>
      <c r="W95" t="str">
        <f>IFERROR(RANK(V95,V$12:V$211,1)+COUNTIF(V$12:V95,V95)-1,"")</f>
        <v/>
      </c>
      <c r="Z95">
        <v>84</v>
      </c>
      <c r="AA95" s="422" t="str">
        <f t="shared" si="24"/>
        <v/>
      </c>
      <c r="AB95" s="498" t="str">
        <f t="shared" si="25"/>
        <v/>
      </c>
      <c r="AC95" s="423" t="str">
        <f t="shared" si="38"/>
        <v/>
      </c>
      <c r="AD95" s="470" t="str">
        <f t="shared" si="39"/>
        <v/>
      </c>
      <c r="AE95" s="468" t="str">
        <f t="shared" si="40"/>
        <v/>
      </c>
      <c r="AF95" s="457" t="str">
        <f t="shared" si="41"/>
        <v/>
      </c>
      <c r="AG95" s="472" t="str">
        <f t="shared" si="42"/>
        <v/>
      </c>
      <c r="AH95" s="490"/>
      <c r="AI95" s="488"/>
      <c r="AL95">
        <v>84</v>
      </c>
      <c r="AM95">
        <v>66</v>
      </c>
    </row>
    <row r="96" spans="1:39" x14ac:dyDescent="0.25">
      <c r="A96" t="str">
        <f>'New order'!U98</f>
        <v/>
      </c>
      <c r="B96" t="str">
        <f>'New order'!V98</f>
        <v/>
      </c>
      <c r="C96">
        <f>'New order'!AT98</f>
        <v>10</v>
      </c>
      <c r="D96" t="str">
        <f>'New order'!Y98</f>
        <v/>
      </c>
      <c r="E96">
        <f t="shared" si="26"/>
        <v>1</v>
      </c>
      <c r="F96">
        <f t="shared" si="27"/>
        <v>0</v>
      </c>
      <c r="G96" t="str">
        <f>'New order'!T98</f>
        <v/>
      </c>
      <c r="H96">
        <f>COUNTIF(C$12:C96,C96)</f>
        <v>85</v>
      </c>
      <c r="I96">
        <v>1</v>
      </c>
      <c r="J96">
        <f t="shared" si="28"/>
        <v>200</v>
      </c>
      <c r="K96" t="str">
        <f t="shared" si="45"/>
        <v/>
      </c>
      <c r="L96" t="str">
        <f t="shared" si="43"/>
        <v/>
      </c>
      <c r="M96" t="str">
        <f>IF(L96&lt;&gt;"",1+COUNT(M$12:M95),"")</f>
        <v/>
      </c>
      <c r="N96" t="str">
        <f t="shared" si="29"/>
        <v/>
      </c>
      <c r="O96" t="str">
        <f t="shared" si="30"/>
        <v/>
      </c>
      <c r="P96" t="str">
        <f t="shared" si="31"/>
        <v/>
      </c>
      <c r="Q96" t="str">
        <f t="shared" si="32"/>
        <v/>
      </c>
      <c r="R96" t="str">
        <f t="shared" si="33"/>
        <v/>
      </c>
      <c r="S96" t="str">
        <f t="shared" si="34"/>
        <v/>
      </c>
      <c r="T96" t="str">
        <f t="shared" si="35"/>
        <v/>
      </c>
      <c r="U96">
        <f t="shared" si="36"/>
        <v>0</v>
      </c>
      <c r="V96" t="str">
        <f t="shared" si="37"/>
        <v/>
      </c>
      <c r="W96" t="str">
        <f>IFERROR(RANK(V96,V$12:V$211,1)+COUNTIF(V$12:V96,V96)-1,"")</f>
        <v/>
      </c>
      <c r="Z96">
        <v>85</v>
      </c>
      <c r="AA96" s="522" t="str">
        <f t="shared" si="24"/>
        <v/>
      </c>
      <c r="AB96" s="523" t="str">
        <f t="shared" si="25"/>
        <v/>
      </c>
      <c r="AC96" s="524" t="str">
        <f t="shared" si="38"/>
        <v/>
      </c>
      <c r="AD96" s="525" t="str">
        <f t="shared" si="39"/>
        <v/>
      </c>
      <c r="AE96" s="526" t="str">
        <f t="shared" si="40"/>
        <v/>
      </c>
      <c r="AF96" s="527" t="str">
        <f t="shared" si="41"/>
        <v/>
      </c>
      <c r="AG96" s="528" t="str">
        <f t="shared" si="42"/>
        <v/>
      </c>
      <c r="AH96" s="529"/>
      <c r="AI96" s="530"/>
      <c r="AL96">
        <v>85</v>
      </c>
      <c r="AM96">
        <v>64</v>
      </c>
    </row>
    <row r="97" spans="1:39" x14ac:dyDescent="0.25">
      <c r="A97" t="str">
        <f>'New order'!U99</f>
        <v/>
      </c>
      <c r="B97" t="str">
        <f>'New order'!V99</f>
        <v/>
      </c>
      <c r="C97">
        <f>'New order'!AT99</f>
        <v>10</v>
      </c>
      <c r="D97" t="str">
        <f>'New order'!Y99</f>
        <v/>
      </c>
      <c r="E97">
        <f t="shared" si="26"/>
        <v>1</v>
      </c>
      <c r="F97">
        <f t="shared" si="27"/>
        <v>0</v>
      </c>
      <c r="G97" t="str">
        <f>'New order'!T99</f>
        <v/>
      </c>
      <c r="H97">
        <f>COUNTIF(C$12:C97,C97)</f>
        <v>86</v>
      </c>
      <c r="I97">
        <v>1</v>
      </c>
      <c r="J97">
        <f t="shared" si="28"/>
        <v>200</v>
      </c>
      <c r="K97" t="str">
        <f t="shared" si="45"/>
        <v/>
      </c>
      <c r="L97" t="str">
        <f t="shared" si="43"/>
        <v/>
      </c>
      <c r="M97" t="str">
        <f>IF(L97&lt;&gt;"",1+COUNT(M$12:M96),"")</f>
        <v/>
      </c>
      <c r="N97" t="str">
        <f t="shared" si="29"/>
        <v/>
      </c>
      <c r="O97" t="str">
        <f t="shared" si="30"/>
        <v/>
      </c>
      <c r="P97" t="str">
        <f t="shared" si="31"/>
        <v/>
      </c>
      <c r="Q97" t="str">
        <f t="shared" si="32"/>
        <v/>
      </c>
      <c r="R97" t="str">
        <f t="shared" si="33"/>
        <v/>
      </c>
      <c r="S97" t="str">
        <f t="shared" si="34"/>
        <v/>
      </c>
      <c r="T97" t="str">
        <f t="shared" si="35"/>
        <v/>
      </c>
      <c r="U97">
        <f t="shared" si="36"/>
        <v>0</v>
      </c>
      <c r="V97" t="str">
        <f t="shared" si="37"/>
        <v/>
      </c>
      <c r="W97" t="str">
        <f>IFERROR(RANK(V97,V$12:V$211,1)+COUNTIF(V$12:V97,V97)-1,"")</f>
        <v/>
      </c>
      <c r="Z97">
        <v>86</v>
      </c>
      <c r="AA97" s="422" t="str">
        <f t="shared" si="24"/>
        <v/>
      </c>
      <c r="AB97" s="498" t="str">
        <f t="shared" si="25"/>
        <v/>
      </c>
      <c r="AC97" s="423" t="str">
        <f t="shared" si="38"/>
        <v/>
      </c>
      <c r="AD97" s="470" t="str">
        <f t="shared" si="39"/>
        <v/>
      </c>
      <c r="AE97" s="468" t="str">
        <f t="shared" si="40"/>
        <v/>
      </c>
      <c r="AF97" s="457" t="str">
        <f t="shared" si="41"/>
        <v/>
      </c>
      <c r="AG97" s="472" t="str">
        <f t="shared" si="42"/>
        <v/>
      </c>
      <c r="AH97" s="490"/>
      <c r="AI97" s="488"/>
      <c r="AL97">
        <v>86</v>
      </c>
      <c r="AM97">
        <v>62</v>
      </c>
    </row>
    <row r="98" spans="1:39" x14ac:dyDescent="0.25">
      <c r="A98" t="str">
        <f>'New order'!U100</f>
        <v/>
      </c>
      <c r="B98" t="str">
        <f>'New order'!V100</f>
        <v/>
      </c>
      <c r="C98">
        <f>'New order'!AT100</f>
        <v>10</v>
      </c>
      <c r="D98" t="str">
        <f>'New order'!Y100</f>
        <v/>
      </c>
      <c r="E98">
        <f t="shared" si="26"/>
        <v>1</v>
      </c>
      <c r="F98">
        <f t="shared" si="27"/>
        <v>0</v>
      </c>
      <c r="G98" t="str">
        <f>'New order'!T100</f>
        <v/>
      </c>
      <c r="H98">
        <f>COUNTIF(C$12:C98,C98)</f>
        <v>87</v>
      </c>
      <c r="I98">
        <v>1</v>
      </c>
      <c r="J98">
        <f t="shared" si="28"/>
        <v>200</v>
      </c>
      <c r="K98" t="str">
        <f t="shared" si="45"/>
        <v/>
      </c>
      <c r="L98" t="str">
        <f t="shared" si="43"/>
        <v/>
      </c>
      <c r="M98" t="str">
        <f>IF(L98&lt;&gt;"",1+COUNT(M$12:M97),"")</f>
        <v/>
      </c>
      <c r="N98" t="str">
        <f t="shared" si="29"/>
        <v/>
      </c>
      <c r="O98" t="str">
        <f t="shared" si="30"/>
        <v/>
      </c>
      <c r="P98" t="str">
        <f t="shared" si="31"/>
        <v/>
      </c>
      <c r="Q98" t="str">
        <f t="shared" si="32"/>
        <v/>
      </c>
      <c r="R98" t="str">
        <f t="shared" si="33"/>
        <v/>
      </c>
      <c r="S98" t="str">
        <f t="shared" si="34"/>
        <v/>
      </c>
      <c r="T98" t="str">
        <f t="shared" si="35"/>
        <v/>
      </c>
      <c r="U98">
        <f t="shared" si="36"/>
        <v>0</v>
      </c>
      <c r="V98" t="str">
        <f t="shared" si="37"/>
        <v/>
      </c>
      <c r="W98" t="str">
        <f>IFERROR(RANK(V98,V$12:V$211,1)+COUNTIF(V$12:V98,V98)-1,"")</f>
        <v/>
      </c>
      <c r="Z98">
        <v>87</v>
      </c>
      <c r="AA98" s="522" t="str">
        <f t="shared" si="24"/>
        <v/>
      </c>
      <c r="AB98" s="523" t="str">
        <f t="shared" si="25"/>
        <v/>
      </c>
      <c r="AC98" s="524" t="str">
        <f t="shared" si="38"/>
        <v/>
      </c>
      <c r="AD98" s="525" t="str">
        <f t="shared" si="39"/>
        <v/>
      </c>
      <c r="AE98" s="526" t="str">
        <f t="shared" si="40"/>
        <v/>
      </c>
      <c r="AF98" s="527" t="str">
        <f t="shared" si="41"/>
        <v/>
      </c>
      <c r="AG98" s="528" t="str">
        <f t="shared" si="42"/>
        <v/>
      </c>
      <c r="AH98" s="529"/>
      <c r="AI98" s="530"/>
      <c r="AL98">
        <v>87</v>
      </c>
      <c r="AM98">
        <v>61</v>
      </c>
    </row>
    <row r="99" spans="1:39" x14ac:dyDescent="0.25">
      <c r="A99" t="str">
        <f>'New order'!U101</f>
        <v/>
      </c>
      <c r="B99" t="str">
        <f>'New order'!V101</f>
        <v/>
      </c>
      <c r="C99">
        <f>'New order'!AT101</f>
        <v>10</v>
      </c>
      <c r="D99" t="str">
        <f>'New order'!Y101</f>
        <v/>
      </c>
      <c r="E99">
        <f t="shared" si="26"/>
        <v>1</v>
      </c>
      <c r="F99">
        <f t="shared" si="27"/>
        <v>0</v>
      </c>
      <c r="G99" t="str">
        <f>'New order'!T101</f>
        <v/>
      </c>
      <c r="H99">
        <f>COUNTIF(C$12:C99,C99)</f>
        <v>88</v>
      </c>
      <c r="I99">
        <v>1</v>
      </c>
      <c r="J99">
        <f t="shared" si="28"/>
        <v>200</v>
      </c>
      <c r="K99" t="str">
        <f t="shared" si="45"/>
        <v/>
      </c>
      <c r="L99" t="str">
        <f t="shared" si="43"/>
        <v/>
      </c>
      <c r="M99" t="str">
        <f>IF(L99&lt;&gt;"",1+COUNT(M$12:M98),"")</f>
        <v/>
      </c>
      <c r="N99" t="str">
        <f t="shared" si="29"/>
        <v/>
      </c>
      <c r="O99" t="str">
        <f t="shared" si="30"/>
        <v/>
      </c>
      <c r="P99" t="str">
        <f t="shared" si="31"/>
        <v/>
      </c>
      <c r="Q99" t="str">
        <f t="shared" si="32"/>
        <v/>
      </c>
      <c r="R99" t="str">
        <f t="shared" si="33"/>
        <v/>
      </c>
      <c r="S99" t="str">
        <f t="shared" si="34"/>
        <v/>
      </c>
      <c r="T99" t="str">
        <f t="shared" si="35"/>
        <v/>
      </c>
      <c r="U99">
        <f t="shared" si="36"/>
        <v>0</v>
      </c>
      <c r="V99" t="str">
        <f t="shared" si="37"/>
        <v/>
      </c>
      <c r="W99" t="str">
        <f>IFERROR(RANK(V99,V$12:V$211,1)+COUNTIF(V$12:V99,V99)-1,"")</f>
        <v/>
      </c>
      <c r="Z99">
        <v>88</v>
      </c>
      <c r="AA99" s="422" t="str">
        <f t="shared" si="24"/>
        <v/>
      </c>
      <c r="AB99" s="498" t="str">
        <f t="shared" si="25"/>
        <v/>
      </c>
      <c r="AC99" s="423" t="str">
        <f t="shared" si="38"/>
        <v/>
      </c>
      <c r="AD99" s="470" t="str">
        <f t="shared" si="39"/>
        <v/>
      </c>
      <c r="AE99" s="468" t="str">
        <f t="shared" si="40"/>
        <v/>
      </c>
      <c r="AF99" s="457" t="str">
        <f t="shared" si="41"/>
        <v/>
      </c>
      <c r="AG99" s="472" t="str">
        <f t="shared" si="42"/>
        <v/>
      </c>
      <c r="AH99" s="490"/>
      <c r="AI99" s="488"/>
      <c r="AL99">
        <v>88</v>
      </c>
      <c r="AM99">
        <v>63</v>
      </c>
    </row>
    <row r="100" spans="1:39" x14ac:dyDescent="0.25">
      <c r="A100" t="str">
        <f>'New order'!U102</f>
        <v/>
      </c>
      <c r="B100" t="str">
        <f>'New order'!V102</f>
        <v/>
      </c>
      <c r="C100">
        <f>'New order'!AT102</f>
        <v>10</v>
      </c>
      <c r="D100" t="str">
        <f>'New order'!Y102</f>
        <v/>
      </c>
      <c r="E100">
        <f t="shared" si="26"/>
        <v>1</v>
      </c>
      <c r="F100">
        <f t="shared" si="27"/>
        <v>0</v>
      </c>
      <c r="G100" t="str">
        <f>'New order'!T102</f>
        <v/>
      </c>
      <c r="H100">
        <f>COUNTIF(C$12:C100,C100)</f>
        <v>89</v>
      </c>
      <c r="I100">
        <v>1</v>
      </c>
      <c r="J100">
        <f t="shared" si="28"/>
        <v>200</v>
      </c>
      <c r="K100" t="str">
        <f t="shared" si="45"/>
        <v/>
      </c>
      <c r="L100" t="str">
        <f t="shared" si="43"/>
        <v/>
      </c>
      <c r="M100" t="str">
        <f>IF(L100&lt;&gt;"",1+COUNT(M$12:M99),"")</f>
        <v/>
      </c>
      <c r="N100" t="str">
        <f t="shared" si="29"/>
        <v/>
      </c>
      <c r="O100" t="str">
        <f t="shared" si="30"/>
        <v/>
      </c>
      <c r="P100" t="str">
        <f t="shared" si="31"/>
        <v/>
      </c>
      <c r="Q100" t="str">
        <f t="shared" si="32"/>
        <v/>
      </c>
      <c r="R100" t="str">
        <f t="shared" si="33"/>
        <v/>
      </c>
      <c r="S100" t="str">
        <f t="shared" si="34"/>
        <v/>
      </c>
      <c r="T100" t="str">
        <f t="shared" si="35"/>
        <v/>
      </c>
      <c r="U100">
        <f t="shared" si="36"/>
        <v>0</v>
      </c>
      <c r="V100" t="str">
        <f t="shared" si="37"/>
        <v/>
      </c>
      <c r="W100" t="str">
        <f>IFERROR(RANK(V100,V$12:V$211,1)+COUNTIF(V$12:V100,V100)-1,"")</f>
        <v/>
      </c>
      <c r="Z100">
        <v>89</v>
      </c>
      <c r="AA100" s="522" t="str">
        <f t="shared" si="24"/>
        <v/>
      </c>
      <c r="AB100" s="523" t="str">
        <f t="shared" si="25"/>
        <v/>
      </c>
      <c r="AC100" s="524" t="str">
        <f t="shared" si="38"/>
        <v/>
      </c>
      <c r="AD100" s="525" t="str">
        <f t="shared" si="39"/>
        <v/>
      </c>
      <c r="AE100" s="526" t="str">
        <f t="shared" si="40"/>
        <v/>
      </c>
      <c r="AF100" s="527" t="str">
        <f t="shared" si="41"/>
        <v/>
      </c>
      <c r="AG100" s="528" t="str">
        <f t="shared" si="42"/>
        <v/>
      </c>
      <c r="AH100" s="529"/>
      <c r="AI100" s="530"/>
      <c r="AL100">
        <v>89</v>
      </c>
      <c r="AM100">
        <v>65</v>
      </c>
    </row>
    <row r="101" spans="1:39" x14ac:dyDescent="0.25">
      <c r="A101" t="str">
        <f>'New order'!U103</f>
        <v/>
      </c>
      <c r="B101" t="str">
        <f>'New order'!V103</f>
        <v/>
      </c>
      <c r="C101">
        <f>'New order'!AT103</f>
        <v>10</v>
      </c>
      <c r="D101" t="str">
        <f>'New order'!Y103</f>
        <v/>
      </c>
      <c r="E101">
        <f t="shared" si="26"/>
        <v>1</v>
      </c>
      <c r="F101">
        <f t="shared" si="27"/>
        <v>0</v>
      </c>
      <c r="G101" t="str">
        <f>'New order'!T103</f>
        <v/>
      </c>
      <c r="H101">
        <f>COUNTIF(C$12:C101,C101)</f>
        <v>90</v>
      </c>
      <c r="I101">
        <v>1</v>
      </c>
      <c r="J101">
        <f t="shared" si="28"/>
        <v>200</v>
      </c>
      <c r="K101" t="str">
        <f t="shared" si="45"/>
        <v/>
      </c>
      <c r="L101" t="str">
        <f t="shared" si="43"/>
        <v/>
      </c>
      <c r="M101" t="str">
        <f>IF(L101&lt;&gt;"",1+COUNT(M$12:M100),"")</f>
        <v/>
      </c>
      <c r="N101" t="str">
        <f t="shared" si="29"/>
        <v/>
      </c>
      <c r="O101" t="str">
        <f t="shared" si="30"/>
        <v/>
      </c>
      <c r="P101" t="str">
        <f t="shared" si="31"/>
        <v/>
      </c>
      <c r="Q101" t="str">
        <f t="shared" si="32"/>
        <v/>
      </c>
      <c r="R101" t="str">
        <f t="shared" si="33"/>
        <v/>
      </c>
      <c r="S101" t="str">
        <f t="shared" si="34"/>
        <v/>
      </c>
      <c r="T101" t="str">
        <f t="shared" si="35"/>
        <v/>
      </c>
      <c r="U101">
        <f t="shared" si="36"/>
        <v>0</v>
      </c>
      <c r="V101" t="str">
        <f t="shared" si="37"/>
        <v/>
      </c>
      <c r="W101" t="str">
        <f>IFERROR(RANK(V101,V$12:V$211,1)+COUNTIF(V$12:V101,V101)-1,"")</f>
        <v/>
      </c>
      <c r="Z101">
        <v>90</v>
      </c>
      <c r="AA101" s="422" t="str">
        <f t="shared" si="24"/>
        <v/>
      </c>
      <c r="AB101" s="498" t="str">
        <f t="shared" si="25"/>
        <v/>
      </c>
      <c r="AC101" s="423" t="str">
        <f t="shared" si="38"/>
        <v/>
      </c>
      <c r="AD101" s="470" t="str">
        <f t="shared" si="39"/>
        <v/>
      </c>
      <c r="AE101" s="468" t="str">
        <f t="shared" si="40"/>
        <v/>
      </c>
      <c r="AF101" s="457" t="str">
        <f t="shared" si="41"/>
        <v/>
      </c>
      <c r="AG101" s="472" t="str">
        <f t="shared" si="42"/>
        <v/>
      </c>
      <c r="AH101" s="490"/>
      <c r="AI101" s="488"/>
      <c r="AL101">
        <v>90</v>
      </c>
      <c r="AM101">
        <v>67</v>
      </c>
    </row>
    <row r="102" spans="1:39" x14ac:dyDescent="0.25">
      <c r="A102" t="str">
        <f>'New order'!U104</f>
        <v/>
      </c>
      <c r="B102" t="str">
        <f>'New order'!V104</f>
        <v/>
      </c>
      <c r="C102">
        <f>'New order'!AT104</f>
        <v>10</v>
      </c>
      <c r="D102" t="str">
        <f>'New order'!Y104</f>
        <v/>
      </c>
      <c r="E102">
        <f t="shared" si="26"/>
        <v>1</v>
      </c>
      <c r="F102">
        <f t="shared" si="27"/>
        <v>0</v>
      </c>
      <c r="G102" t="str">
        <f>'New order'!T104</f>
        <v/>
      </c>
      <c r="H102">
        <f>COUNTIF(C$12:C102,C102)</f>
        <v>91</v>
      </c>
      <c r="I102">
        <v>1</v>
      </c>
      <c r="J102">
        <f t="shared" si="28"/>
        <v>200</v>
      </c>
      <c r="K102" t="str">
        <f t="shared" si="45"/>
        <v/>
      </c>
      <c r="L102" t="str">
        <f t="shared" si="43"/>
        <v/>
      </c>
      <c r="M102" t="str">
        <f>IF(L102&lt;&gt;"",1+COUNT(M$12:M101),"")</f>
        <v/>
      </c>
      <c r="N102" t="str">
        <f t="shared" si="29"/>
        <v/>
      </c>
      <c r="O102" t="str">
        <f t="shared" si="30"/>
        <v/>
      </c>
      <c r="P102" t="str">
        <f t="shared" si="31"/>
        <v/>
      </c>
      <c r="Q102" t="str">
        <f t="shared" si="32"/>
        <v/>
      </c>
      <c r="R102" t="str">
        <f t="shared" si="33"/>
        <v/>
      </c>
      <c r="S102" t="str">
        <f t="shared" si="34"/>
        <v/>
      </c>
      <c r="T102" t="str">
        <f t="shared" si="35"/>
        <v/>
      </c>
      <c r="U102">
        <f t="shared" si="36"/>
        <v>0</v>
      </c>
      <c r="V102" t="str">
        <f t="shared" si="37"/>
        <v/>
      </c>
      <c r="W102" t="str">
        <f>IFERROR(RANK(V102,V$12:V$211,1)+COUNTIF(V$12:V102,V102)-1,"")</f>
        <v/>
      </c>
      <c r="Z102">
        <v>91</v>
      </c>
      <c r="AA102" s="522" t="str">
        <f t="shared" si="24"/>
        <v/>
      </c>
      <c r="AB102" s="523" t="str">
        <f t="shared" si="25"/>
        <v/>
      </c>
      <c r="AC102" s="524" t="str">
        <f t="shared" si="38"/>
        <v/>
      </c>
      <c r="AD102" s="525" t="str">
        <f t="shared" si="39"/>
        <v/>
      </c>
      <c r="AE102" s="526" t="str">
        <f t="shared" si="40"/>
        <v/>
      </c>
      <c r="AF102" s="527" t="str">
        <f t="shared" si="41"/>
        <v/>
      </c>
      <c r="AG102" s="528" t="str">
        <f t="shared" si="42"/>
        <v/>
      </c>
      <c r="AH102" s="529"/>
      <c r="AI102" s="530"/>
      <c r="AL102">
        <v>91</v>
      </c>
      <c r="AM102">
        <v>69</v>
      </c>
    </row>
    <row r="103" spans="1:39" x14ac:dyDescent="0.25">
      <c r="A103" t="str">
        <f>'New order'!U105</f>
        <v/>
      </c>
      <c r="B103" t="str">
        <f>'New order'!V105</f>
        <v/>
      </c>
      <c r="C103">
        <f>'New order'!AT105</f>
        <v>10</v>
      </c>
      <c r="D103" t="str">
        <f>'New order'!Y105</f>
        <v/>
      </c>
      <c r="E103">
        <f t="shared" si="26"/>
        <v>1</v>
      </c>
      <c r="F103">
        <f t="shared" si="27"/>
        <v>0</v>
      </c>
      <c r="G103" t="str">
        <f>'New order'!T105</f>
        <v/>
      </c>
      <c r="H103">
        <f>COUNTIF(C$12:C103,C103)</f>
        <v>92</v>
      </c>
      <c r="I103">
        <v>1</v>
      </c>
      <c r="J103">
        <f t="shared" si="28"/>
        <v>200</v>
      </c>
      <c r="K103" t="str">
        <f t="shared" si="45"/>
        <v/>
      </c>
      <c r="L103" t="str">
        <f t="shared" si="43"/>
        <v/>
      </c>
      <c r="M103" t="str">
        <f>IF(L103&lt;&gt;"",1+COUNT(M$12:M102),"")</f>
        <v/>
      </c>
      <c r="N103" t="str">
        <f t="shared" si="29"/>
        <v/>
      </c>
      <c r="O103" t="str">
        <f t="shared" si="30"/>
        <v/>
      </c>
      <c r="P103" t="str">
        <f t="shared" si="31"/>
        <v/>
      </c>
      <c r="Q103" t="str">
        <f t="shared" si="32"/>
        <v/>
      </c>
      <c r="R103" t="str">
        <f t="shared" si="33"/>
        <v/>
      </c>
      <c r="S103" t="str">
        <f t="shared" si="34"/>
        <v/>
      </c>
      <c r="T103" t="str">
        <f t="shared" si="35"/>
        <v/>
      </c>
      <c r="U103">
        <f t="shared" si="36"/>
        <v>0</v>
      </c>
      <c r="V103" t="str">
        <f t="shared" si="37"/>
        <v/>
      </c>
      <c r="W103" t="str">
        <f>IFERROR(RANK(V103,V$12:V$211,1)+COUNTIF(V$12:V103,V103)-1,"")</f>
        <v/>
      </c>
      <c r="Z103">
        <v>92</v>
      </c>
      <c r="AA103" s="422" t="str">
        <f t="shared" si="24"/>
        <v/>
      </c>
      <c r="AB103" s="498" t="str">
        <f t="shared" si="25"/>
        <v/>
      </c>
      <c r="AC103" s="423" t="str">
        <f t="shared" si="38"/>
        <v/>
      </c>
      <c r="AD103" s="470" t="str">
        <f t="shared" si="39"/>
        <v/>
      </c>
      <c r="AE103" s="468" t="str">
        <f t="shared" si="40"/>
        <v/>
      </c>
      <c r="AF103" s="457" t="str">
        <f t="shared" si="41"/>
        <v/>
      </c>
      <c r="AG103" s="472" t="str">
        <f t="shared" si="42"/>
        <v/>
      </c>
      <c r="AH103" s="490"/>
      <c r="AI103" s="488"/>
      <c r="AL103">
        <v>92</v>
      </c>
      <c r="AM103">
        <v>71</v>
      </c>
    </row>
    <row r="104" spans="1:39" x14ac:dyDescent="0.25">
      <c r="A104" t="str">
        <f>'New order'!U106</f>
        <v/>
      </c>
      <c r="B104" t="str">
        <f>'New order'!V106</f>
        <v/>
      </c>
      <c r="C104">
        <f>'New order'!AT106</f>
        <v>10</v>
      </c>
      <c r="D104" t="str">
        <f>'New order'!Y106</f>
        <v/>
      </c>
      <c r="E104">
        <f t="shared" si="26"/>
        <v>1</v>
      </c>
      <c r="F104">
        <f t="shared" si="27"/>
        <v>0</v>
      </c>
      <c r="G104" t="str">
        <f>'New order'!T106</f>
        <v/>
      </c>
      <c r="H104">
        <f>COUNTIF(C$12:C104,C104)</f>
        <v>93</v>
      </c>
      <c r="I104">
        <v>1</v>
      </c>
      <c r="J104">
        <f t="shared" si="28"/>
        <v>200</v>
      </c>
      <c r="K104" t="str">
        <f t="shared" si="45"/>
        <v/>
      </c>
      <c r="L104" t="str">
        <f t="shared" si="43"/>
        <v/>
      </c>
      <c r="M104" t="str">
        <f>IF(L104&lt;&gt;"",1+COUNT(M$12:M103),"")</f>
        <v/>
      </c>
      <c r="N104" t="str">
        <f t="shared" si="29"/>
        <v/>
      </c>
      <c r="O104" t="str">
        <f t="shared" si="30"/>
        <v/>
      </c>
      <c r="P104" t="str">
        <f t="shared" si="31"/>
        <v/>
      </c>
      <c r="Q104" t="str">
        <f t="shared" si="32"/>
        <v/>
      </c>
      <c r="R104" t="str">
        <f t="shared" si="33"/>
        <v/>
      </c>
      <c r="S104" t="str">
        <f t="shared" si="34"/>
        <v/>
      </c>
      <c r="T104" t="str">
        <f t="shared" si="35"/>
        <v/>
      </c>
      <c r="U104">
        <f t="shared" si="36"/>
        <v>0</v>
      </c>
      <c r="V104" t="str">
        <f t="shared" si="37"/>
        <v/>
      </c>
      <c r="W104" t="str">
        <f>IFERROR(RANK(V104,V$12:V$211,1)+COUNTIF(V$12:V104,V104)-1,"")</f>
        <v/>
      </c>
      <c r="Z104">
        <v>93</v>
      </c>
      <c r="AA104" s="422" t="str">
        <f t="shared" si="24"/>
        <v/>
      </c>
      <c r="AB104" s="498" t="str">
        <f t="shared" si="25"/>
        <v/>
      </c>
      <c r="AC104" s="423" t="str">
        <f t="shared" si="38"/>
        <v/>
      </c>
      <c r="AD104" s="470" t="str">
        <f t="shared" si="39"/>
        <v/>
      </c>
      <c r="AE104" s="468" t="str">
        <f t="shared" si="40"/>
        <v/>
      </c>
      <c r="AF104" s="457" t="str">
        <f t="shared" si="41"/>
        <v/>
      </c>
      <c r="AG104" s="472" t="str">
        <f t="shared" si="42"/>
        <v/>
      </c>
      <c r="AH104" s="490"/>
      <c r="AI104" s="488"/>
      <c r="AL104">
        <v>93</v>
      </c>
      <c r="AM104">
        <v>73</v>
      </c>
    </row>
    <row r="105" spans="1:39" x14ac:dyDescent="0.25">
      <c r="A105" t="str">
        <f>'New order'!U107</f>
        <v/>
      </c>
      <c r="B105" t="str">
        <f>'New order'!V107</f>
        <v/>
      </c>
      <c r="C105">
        <f>'New order'!AT107</f>
        <v>10</v>
      </c>
      <c r="D105" t="str">
        <f>'New order'!Y107</f>
        <v/>
      </c>
      <c r="E105">
        <f t="shared" si="26"/>
        <v>1</v>
      </c>
      <c r="F105">
        <f t="shared" si="27"/>
        <v>0</v>
      </c>
      <c r="G105" t="str">
        <f>'New order'!T107</f>
        <v/>
      </c>
      <c r="H105">
        <f>COUNTIF(C$12:C105,C105)</f>
        <v>94</v>
      </c>
      <c r="I105">
        <v>1</v>
      </c>
      <c r="J105">
        <f t="shared" si="28"/>
        <v>200</v>
      </c>
      <c r="K105" t="str">
        <f t="shared" si="45"/>
        <v/>
      </c>
      <c r="L105" t="str">
        <f t="shared" si="43"/>
        <v/>
      </c>
      <c r="M105" t="str">
        <f>IF(L105&lt;&gt;"",1+COUNT(M$12:M104),"")</f>
        <v/>
      </c>
      <c r="N105" t="str">
        <f t="shared" si="29"/>
        <v/>
      </c>
      <c r="O105" t="str">
        <f t="shared" si="30"/>
        <v/>
      </c>
      <c r="P105" t="str">
        <f t="shared" si="31"/>
        <v/>
      </c>
      <c r="Q105" t="str">
        <f t="shared" si="32"/>
        <v/>
      </c>
      <c r="R105" t="str">
        <f t="shared" si="33"/>
        <v/>
      </c>
      <c r="S105" t="str">
        <f t="shared" si="34"/>
        <v/>
      </c>
      <c r="T105" t="str">
        <f t="shared" si="35"/>
        <v/>
      </c>
      <c r="U105">
        <f t="shared" si="36"/>
        <v>0</v>
      </c>
      <c r="V105" t="str">
        <f t="shared" si="37"/>
        <v/>
      </c>
      <c r="W105" t="str">
        <f>IFERROR(RANK(V105,V$12:V$211,1)+COUNTIF(V$12:V105,V105)-1,"")</f>
        <v/>
      </c>
      <c r="Z105">
        <v>94</v>
      </c>
      <c r="AA105" s="422" t="str">
        <f t="shared" si="24"/>
        <v/>
      </c>
      <c r="AB105" s="498" t="str">
        <f t="shared" si="25"/>
        <v/>
      </c>
      <c r="AC105" s="423" t="str">
        <f t="shared" si="38"/>
        <v/>
      </c>
      <c r="AD105" s="470" t="str">
        <f t="shared" si="39"/>
        <v/>
      </c>
      <c r="AE105" s="468" t="str">
        <f t="shared" si="40"/>
        <v/>
      </c>
      <c r="AF105" s="457" t="str">
        <f t="shared" si="41"/>
        <v/>
      </c>
      <c r="AG105" s="472" t="str">
        <f t="shared" si="42"/>
        <v/>
      </c>
      <c r="AH105" s="490"/>
      <c r="AI105" s="488"/>
      <c r="AL105">
        <v>94</v>
      </c>
      <c r="AM105">
        <v>75</v>
      </c>
    </row>
    <row r="106" spans="1:39" x14ac:dyDescent="0.25">
      <c r="A106" t="str">
        <f>'New order'!U108</f>
        <v/>
      </c>
      <c r="B106" t="str">
        <f>'New order'!V108</f>
        <v/>
      </c>
      <c r="C106">
        <f>'New order'!AT108</f>
        <v>10</v>
      </c>
      <c r="D106" t="str">
        <f>'New order'!Y108</f>
        <v/>
      </c>
      <c r="E106">
        <f t="shared" si="26"/>
        <v>1</v>
      </c>
      <c r="F106">
        <f t="shared" si="27"/>
        <v>0</v>
      </c>
      <c r="G106" t="str">
        <f>'New order'!T108</f>
        <v/>
      </c>
      <c r="H106">
        <f>COUNTIF(C$12:C106,C106)</f>
        <v>95</v>
      </c>
      <c r="I106">
        <v>1</v>
      </c>
      <c r="J106">
        <f t="shared" si="28"/>
        <v>200</v>
      </c>
      <c r="K106" t="str">
        <f t="shared" si="45"/>
        <v/>
      </c>
      <c r="L106" t="str">
        <f t="shared" si="43"/>
        <v/>
      </c>
      <c r="M106" t="str">
        <f>IF(L106&lt;&gt;"",1+COUNT(M$12:M105),"")</f>
        <v/>
      </c>
      <c r="N106" t="str">
        <f t="shared" si="29"/>
        <v/>
      </c>
      <c r="O106" t="str">
        <f t="shared" si="30"/>
        <v/>
      </c>
      <c r="P106" t="str">
        <f t="shared" si="31"/>
        <v/>
      </c>
      <c r="Q106" t="str">
        <f t="shared" si="32"/>
        <v/>
      </c>
      <c r="R106" t="str">
        <f t="shared" si="33"/>
        <v/>
      </c>
      <c r="S106" t="str">
        <f t="shared" si="34"/>
        <v/>
      </c>
      <c r="T106" t="str">
        <f t="shared" si="35"/>
        <v/>
      </c>
      <c r="U106">
        <f t="shared" si="36"/>
        <v>0</v>
      </c>
      <c r="V106" t="str">
        <f t="shared" si="37"/>
        <v/>
      </c>
      <c r="W106" t="str">
        <f>IFERROR(RANK(V106,V$12:V$211,1)+COUNTIF(V$12:V106,V106)-1,"")</f>
        <v/>
      </c>
      <c r="Z106">
        <v>95</v>
      </c>
      <c r="AA106" s="422" t="str">
        <f t="shared" si="24"/>
        <v/>
      </c>
      <c r="AB106" s="498" t="str">
        <f t="shared" si="25"/>
        <v/>
      </c>
      <c r="AC106" s="423" t="str">
        <f t="shared" si="38"/>
        <v/>
      </c>
      <c r="AD106" s="470" t="str">
        <f t="shared" si="39"/>
        <v/>
      </c>
      <c r="AE106" s="468" t="str">
        <f t="shared" si="40"/>
        <v/>
      </c>
      <c r="AF106" s="457" t="str">
        <f t="shared" si="41"/>
        <v/>
      </c>
      <c r="AG106" s="472" t="str">
        <f t="shared" si="42"/>
        <v/>
      </c>
      <c r="AH106" s="490"/>
      <c r="AI106" s="488"/>
      <c r="AL106">
        <v>95</v>
      </c>
      <c r="AM106">
        <v>77</v>
      </c>
    </row>
    <row r="107" spans="1:39" x14ac:dyDescent="0.25">
      <c r="A107" t="str">
        <f>'New order'!U109</f>
        <v/>
      </c>
      <c r="B107" t="str">
        <f>'New order'!V109</f>
        <v/>
      </c>
      <c r="C107">
        <f>'New order'!AT109</f>
        <v>10</v>
      </c>
      <c r="D107" t="str">
        <f>'New order'!Y109</f>
        <v/>
      </c>
      <c r="E107">
        <f t="shared" si="26"/>
        <v>1</v>
      </c>
      <c r="F107">
        <f t="shared" si="27"/>
        <v>0</v>
      </c>
      <c r="G107" t="str">
        <f>'New order'!T109</f>
        <v/>
      </c>
      <c r="H107">
        <f>COUNTIF(C$12:C107,C107)</f>
        <v>96</v>
      </c>
      <c r="I107">
        <v>1</v>
      </c>
      <c r="J107">
        <f t="shared" si="28"/>
        <v>200</v>
      </c>
      <c r="K107" t="str">
        <f t="shared" si="45"/>
        <v/>
      </c>
      <c r="L107" t="str">
        <f t="shared" si="43"/>
        <v/>
      </c>
      <c r="M107" t="str">
        <f>IF(L107&lt;&gt;"",1+COUNT(M$12:M106),"")</f>
        <v/>
      </c>
      <c r="N107" t="str">
        <f t="shared" si="29"/>
        <v/>
      </c>
      <c r="O107" t="str">
        <f t="shared" si="30"/>
        <v/>
      </c>
      <c r="P107" t="str">
        <f t="shared" si="31"/>
        <v/>
      </c>
      <c r="Q107" t="str">
        <f t="shared" si="32"/>
        <v/>
      </c>
      <c r="R107" t="str">
        <f t="shared" si="33"/>
        <v/>
      </c>
      <c r="S107" t="str">
        <f t="shared" si="34"/>
        <v/>
      </c>
      <c r="T107" t="str">
        <f t="shared" si="35"/>
        <v/>
      </c>
      <c r="U107">
        <f t="shared" si="36"/>
        <v>0</v>
      </c>
      <c r="V107" t="str">
        <f t="shared" si="37"/>
        <v/>
      </c>
      <c r="W107" t="str">
        <f>IFERROR(RANK(V107,V$12:V$211,1)+COUNTIF(V$12:V107,V107)-1,"")</f>
        <v/>
      </c>
      <c r="Z107">
        <v>96</v>
      </c>
      <c r="AA107" s="422" t="str">
        <f t="shared" si="24"/>
        <v/>
      </c>
      <c r="AB107" s="498" t="str">
        <f t="shared" si="25"/>
        <v/>
      </c>
      <c r="AC107" s="423" t="str">
        <f t="shared" si="38"/>
        <v/>
      </c>
      <c r="AD107" s="470" t="str">
        <f t="shared" si="39"/>
        <v/>
      </c>
      <c r="AE107" s="468" t="str">
        <f t="shared" si="40"/>
        <v/>
      </c>
      <c r="AF107" s="457" t="str">
        <f t="shared" si="41"/>
        <v/>
      </c>
      <c r="AG107" s="472" t="str">
        <f t="shared" si="42"/>
        <v/>
      </c>
      <c r="AH107" s="490"/>
      <c r="AI107" s="488"/>
      <c r="AL107">
        <v>96</v>
      </c>
      <c r="AM107">
        <v>79</v>
      </c>
    </row>
    <row r="108" spans="1:39" x14ac:dyDescent="0.25">
      <c r="A108" t="str">
        <f>'New order'!U110</f>
        <v/>
      </c>
      <c r="B108" t="str">
        <f>'New order'!V110</f>
        <v/>
      </c>
      <c r="C108">
        <f>'New order'!AT110</f>
        <v>10</v>
      </c>
      <c r="D108" t="str">
        <f>'New order'!Y110</f>
        <v/>
      </c>
      <c r="E108">
        <f t="shared" si="26"/>
        <v>1</v>
      </c>
      <c r="F108">
        <f t="shared" si="27"/>
        <v>0</v>
      </c>
      <c r="G108" t="str">
        <f>'New order'!T110</f>
        <v/>
      </c>
      <c r="H108">
        <f>COUNTIF(C$12:C108,C108)</f>
        <v>97</v>
      </c>
      <c r="I108">
        <v>1</v>
      </c>
      <c r="J108">
        <f t="shared" si="28"/>
        <v>200</v>
      </c>
      <c r="K108" t="str">
        <f t="shared" si="45"/>
        <v/>
      </c>
      <c r="L108" t="str">
        <f t="shared" si="43"/>
        <v/>
      </c>
      <c r="M108" t="str">
        <f>IF(L108&lt;&gt;"",1+COUNT(M$12:M107),"")</f>
        <v/>
      </c>
      <c r="N108" t="str">
        <f t="shared" si="29"/>
        <v/>
      </c>
      <c r="O108" t="str">
        <f t="shared" si="30"/>
        <v/>
      </c>
      <c r="P108" t="str">
        <f t="shared" si="31"/>
        <v/>
      </c>
      <c r="Q108" t="str">
        <f t="shared" si="32"/>
        <v/>
      </c>
      <c r="R108" t="str">
        <f t="shared" si="33"/>
        <v/>
      </c>
      <c r="S108" t="str">
        <f t="shared" si="34"/>
        <v/>
      </c>
      <c r="T108" t="str">
        <f t="shared" si="35"/>
        <v/>
      </c>
      <c r="U108">
        <f t="shared" si="36"/>
        <v>0</v>
      </c>
      <c r="V108" t="str">
        <f t="shared" si="37"/>
        <v/>
      </c>
      <c r="W108" t="str">
        <f>IFERROR(RANK(V108,V$12:V$211,1)+COUNTIF(V$12:V108,V108)-1,"")</f>
        <v/>
      </c>
      <c r="Z108">
        <v>97</v>
      </c>
      <c r="AA108" s="422" t="str">
        <f t="shared" ref="AA108:AA139" si="46">_xlfn.SINGLE(_xlfn.XLOOKUP(Z108,W$12:W$211,O$12:O$211,""))</f>
        <v/>
      </c>
      <c r="AB108" s="498" t="str">
        <f t="shared" ref="AB108:AB139" si="47">_xlfn.SINGLE(_xlfn.XLOOKUP(Z108,W$12:W$211,T$12:T$211,""))</f>
        <v/>
      </c>
      <c r="AC108" s="423" t="str">
        <f t="shared" si="38"/>
        <v/>
      </c>
      <c r="AD108" s="470" t="str">
        <f t="shared" si="39"/>
        <v/>
      </c>
      <c r="AE108" s="468" t="str">
        <f t="shared" si="40"/>
        <v/>
      </c>
      <c r="AF108" s="457" t="str">
        <f t="shared" si="41"/>
        <v/>
      </c>
      <c r="AG108" s="472" t="str">
        <f t="shared" si="42"/>
        <v/>
      </c>
      <c r="AH108" s="490"/>
      <c r="AI108" s="488"/>
      <c r="AL108">
        <v>97</v>
      </c>
      <c r="AM108">
        <v>81</v>
      </c>
    </row>
    <row r="109" spans="1:39" x14ac:dyDescent="0.25">
      <c r="A109" t="str">
        <f>'New order'!U111</f>
        <v/>
      </c>
      <c r="B109" t="str">
        <f>'New order'!V111</f>
        <v/>
      </c>
      <c r="C109">
        <f>'New order'!AT111</f>
        <v>10</v>
      </c>
      <c r="D109" t="str">
        <f>'New order'!Y111</f>
        <v/>
      </c>
      <c r="E109">
        <f t="shared" si="26"/>
        <v>1</v>
      </c>
      <c r="F109">
        <f t="shared" si="27"/>
        <v>0</v>
      </c>
      <c r="G109" t="str">
        <f>'New order'!T111</f>
        <v/>
      </c>
      <c r="H109">
        <f>COUNTIF(C$12:C109,C109)</f>
        <v>98</v>
      </c>
      <c r="I109">
        <v>1</v>
      </c>
      <c r="J109">
        <f t="shared" si="28"/>
        <v>200</v>
      </c>
      <c r="K109" t="str">
        <f t="shared" si="45"/>
        <v/>
      </c>
      <c r="L109" t="str">
        <f t="shared" si="43"/>
        <v/>
      </c>
      <c r="M109" t="str">
        <f>IF(L109&lt;&gt;"",1+COUNT(M$12:M108),"")</f>
        <v/>
      </c>
      <c r="N109" t="str">
        <f t="shared" si="29"/>
        <v/>
      </c>
      <c r="O109" t="str">
        <f t="shared" si="30"/>
        <v/>
      </c>
      <c r="P109" t="str">
        <f t="shared" si="31"/>
        <v/>
      </c>
      <c r="Q109" t="str">
        <f t="shared" si="32"/>
        <v/>
      </c>
      <c r="R109" t="str">
        <f t="shared" si="33"/>
        <v/>
      </c>
      <c r="S109" t="str">
        <f t="shared" si="34"/>
        <v/>
      </c>
      <c r="T109" t="str">
        <f t="shared" si="35"/>
        <v/>
      </c>
      <c r="U109">
        <f t="shared" si="36"/>
        <v>0</v>
      </c>
      <c r="V109" t="str">
        <f t="shared" si="37"/>
        <v/>
      </c>
      <c r="W109" t="str">
        <f>IFERROR(RANK(V109,V$12:V$211,1)+COUNTIF(V$12:V109,V109)-1,"")</f>
        <v/>
      </c>
      <c r="Z109">
        <v>98</v>
      </c>
      <c r="AA109" s="422" t="str">
        <f t="shared" si="46"/>
        <v/>
      </c>
      <c r="AB109" s="498" t="str">
        <f t="shared" si="47"/>
        <v/>
      </c>
      <c r="AC109" s="423" t="str">
        <f t="shared" si="38"/>
        <v/>
      </c>
      <c r="AD109" s="470" t="str">
        <f t="shared" si="39"/>
        <v/>
      </c>
      <c r="AE109" s="468" t="str">
        <f t="shared" si="40"/>
        <v/>
      </c>
      <c r="AF109" s="457" t="str">
        <f t="shared" si="41"/>
        <v/>
      </c>
      <c r="AG109" s="472" t="str">
        <f t="shared" si="42"/>
        <v/>
      </c>
      <c r="AH109" s="490"/>
      <c r="AI109" s="488"/>
      <c r="AL109">
        <v>98</v>
      </c>
      <c r="AM109">
        <v>83</v>
      </c>
    </row>
    <row r="110" spans="1:39" x14ac:dyDescent="0.25">
      <c r="A110" t="str">
        <f>'New order'!U112</f>
        <v/>
      </c>
      <c r="B110" t="str">
        <f>'New order'!V112</f>
        <v/>
      </c>
      <c r="C110">
        <f>'New order'!AT112</f>
        <v>10</v>
      </c>
      <c r="D110" t="str">
        <f>'New order'!Y112</f>
        <v/>
      </c>
      <c r="E110">
        <f t="shared" si="26"/>
        <v>1</v>
      </c>
      <c r="F110">
        <f t="shared" si="27"/>
        <v>0</v>
      </c>
      <c r="G110" t="str">
        <f>'New order'!T112</f>
        <v/>
      </c>
      <c r="H110">
        <f>COUNTIF(C$12:C110,C110)</f>
        <v>99</v>
      </c>
      <c r="I110">
        <v>1</v>
      </c>
      <c r="J110">
        <f t="shared" si="28"/>
        <v>200</v>
      </c>
      <c r="K110" t="str">
        <f t="shared" si="45"/>
        <v/>
      </c>
      <c r="L110" t="str">
        <f t="shared" si="43"/>
        <v/>
      </c>
      <c r="M110" t="str">
        <f>IF(L110&lt;&gt;"",1+COUNT(M$12:M109),"")</f>
        <v/>
      </c>
      <c r="N110" t="str">
        <f t="shared" si="29"/>
        <v/>
      </c>
      <c r="O110" t="str">
        <f t="shared" si="30"/>
        <v/>
      </c>
      <c r="P110" t="str">
        <f t="shared" si="31"/>
        <v/>
      </c>
      <c r="Q110" t="str">
        <f t="shared" si="32"/>
        <v/>
      </c>
      <c r="R110" t="str">
        <f t="shared" si="33"/>
        <v/>
      </c>
      <c r="S110" t="str">
        <f t="shared" si="34"/>
        <v/>
      </c>
      <c r="T110" t="str">
        <f t="shared" si="35"/>
        <v/>
      </c>
      <c r="U110">
        <f t="shared" si="36"/>
        <v>0</v>
      </c>
      <c r="V110" t="str">
        <f t="shared" si="37"/>
        <v/>
      </c>
      <c r="W110" t="str">
        <f>IFERROR(RANK(V110,V$12:V$211,1)+COUNTIF(V$12:V110,V110)-1,"")</f>
        <v/>
      </c>
      <c r="Z110">
        <v>99</v>
      </c>
      <c r="AA110" s="422" t="str">
        <f t="shared" si="46"/>
        <v/>
      </c>
      <c r="AB110" s="498" t="str">
        <f t="shared" si="47"/>
        <v/>
      </c>
      <c r="AC110" s="423" t="str">
        <f t="shared" si="38"/>
        <v/>
      </c>
      <c r="AD110" s="470" t="str">
        <f t="shared" si="39"/>
        <v/>
      </c>
      <c r="AE110" s="468" t="str">
        <f t="shared" si="40"/>
        <v/>
      </c>
      <c r="AF110" s="457" t="str">
        <f t="shared" si="41"/>
        <v/>
      </c>
      <c r="AG110" s="472" t="str">
        <f t="shared" si="42"/>
        <v/>
      </c>
      <c r="AH110" s="490"/>
      <c r="AI110" s="488"/>
      <c r="AL110">
        <v>99</v>
      </c>
      <c r="AM110">
        <v>85</v>
      </c>
    </row>
    <row r="111" spans="1:39" x14ac:dyDescent="0.25">
      <c r="A111" t="str">
        <f>'New order'!U113</f>
        <v/>
      </c>
      <c r="B111" t="str">
        <f>'New order'!V113</f>
        <v/>
      </c>
      <c r="C111">
        <f>'New order'!AT113</f>
        <v>10</v>
      </c>
      <c r="D111" t="str">
        <f>'New order'!Y113</f>
        <v/>
      </c>
      <c r="E111">
        <f t="shared" si="26"/>
        <v>1</v>
      </c>
      <c r="F111">
        <f t="shared" si="27"/>
        <v>0</v>
      </c>
      <c r="G111" t="str">
        <f>'New order'!T113</f>
        <v/>
      </c>
      <c r="H111">
        <f>COUNTIF(C$12:C111,C111)</f>
        <v>100</v>
      </c>
      <c r="I111">
        <v>1</v>
      </c>
      <c r="J111">
        <f t="shared" si="28"/>
        <v>200</v>
      </c>
      <c r="K111" t="str">
        <f t="shared" si="45"/>
        <v/>
      </c>
      <c r="L111" t="str">
        <f t="shared" si="43"/>
        <v/>
      </c>
      <c r="M111" t="str">
        <f>IF(L111&lt;&gt;"",1+COUNT(M$12:M110),"")</f>
        <v/>
      </c>
      <c r="N111" t="str">
        <f t="shared" si="29"/>
        <v/>
      </c>
      <c r="O111" t="str">
        <f t="shared" si="30"/>
        <v/>
      </c>
      <c r="P111" t="str">
        <f t="shared" si="31"/>
        <v/>
      </c>
      <c r="Q111" t="str">
        <f t="shared" si="32"/>
        <v/>
      </c>
      <c r="R111" t="str">
        <f t="shared" si="33"/>
        <v/>
      </c>
      <c r="S111" t="str">
        <f t="shared" si="34"/>
        <v/>
      </c>
      <c r="T111" t="str">
        <f t="shared" si="35"/>
        <v/>
      </c>
      <c r="U111">
        <f t="shared" si="36"/>
        <v>0</v>
      </c>
      <c r="V111" t="str">
        <f t="shared" si="37"/>
        <v/>
      </c>
      <c r="W111" t="str">
        <f>IFERROR(RANK(V111,V$12:V$211,1)+COUNTIF(V$12:V111,V111)-1,"")</f>
        <v/>
      </c>
      <c r="Z111">
        <v>100</v>
      </c>
      <c r="AA111" s="422" t="str">
        <f t="shared" si="46"/>
        <v/>
      </c>
      <c r="AB111" s="498" t="str">
        <f t="shared" si="47"/>
        <v/>
      </c>
      <c r="AC111" s="423" t="str">
        <f t="shared" si="38"/>
        <v/>
      </c>
      <c r="AD111" s="470" t="str">
        <f t="shared" si="39"/>
        <v/>
      </c>
      <c r="AE111" s="468" t="str">
        <f t="shared" si="40"/>
        <v/>
      </c>
      <c r="AF111" s="457" t="str">
        <f t="shared" si="41"/>
        <v/>
      </c>
      <c r="AG111" s="472" t="str">
        <f t="shared" si="42"/>
        <v/>
      </c>
      <c r="AH111" s="490"/>
      <c r="AI111" s="488"/>
      <c r="AL111">
        <v>100</v>
      </c>
      <c r="AM111">
        <v>87</v>
      </c>
    </row>
    <row r="112" spans="1:39" x14ac:dyDescent="0.25">
      <c r="A112" t="str">
        <f>'New order'!U114</f>
        <v/>
      </c>
      <c r="B112" t="str">
        <f>'New order'!V114</f>
        <v/>
      </c>
      <c r="C112">
        <f>'New order'!AT114</f>
        <v>10</v>
      </c>
      <c r="D112" t="str">
        <f>'New order'!Y114</f>
        <v/>
      </c>
      <c r="E112">
        <f t="shared" si="26"/>
        <v>1</v>
      </c>
      <c r="F112">
        <f t="shared" si="27"/>
        <v>0</v>
      </c>
      <c r="G112" t="str">
        <f>'New order'!T114</f>
        <v/>
      </c>
      <c r="H112">
        <f>COUNTIF(C$12:C112,C112)</f>
        <v>101</v>
      </c>
      <c r="I112">
        <v>1</v>
      </c>
      <c r="J112">
        <f t="shared" si="28"/>
        <v>200</v>
      </c>
      <c r="K112" t="str">
        <f t="shared" si="45"/>
        <v/>
      </c>
      <c r="L112" t="str">
        <f t="shared" si="43"/>
        <v/>
      </c>
      <c r="M112" t="str">
        <f>IF(L112&lt;&gt;"",1+COUNT(M$12:M111),"")</f>
        <v/>
      </c>
      <c r="N112" t="str">
        <f t="shared" si="29"/>
        <v/>
      </c>
      <c r="O112" t="str">
        <f t="shared" si="30"/>
        <v/>
      </c>
      <c r="P112" t="str">
        <f t="shared" si="31"/>
        <v/>
      </c>
      <c r="Q112" t="str">
        <f t="shared" si="32"/>
        <v/>
      </c>
      <c r="R112" t="str">
        <f t="shared" si="33"/>
        <v/>
      </c>
      <c r="S112" t="str">
        <f t="shared" si="34"/>
        <v/>
      </c>
      <c r="T112" t="str">
        <f t="shared" si="35"/>
        <v/>
      </c>
      <c r="U112">
        <f t="shared" si="36"/>
        <v>0</v>
      </c>
      <c r="V112" t="str">
        <f t="shared" si="37"/>
        <v/>
      </c>
      <c r="W112" t="str">
        <f>IFERROR(RANK(V112,V$12:V$211,1)+COUNTIF(V$12:V112,V112)-1,"")</f>
        <v/>
      </c>
      <c r="Z112">
        <v>101</v>
      </c>
      <c r="AA112" s="422" t="str">
        <f t="shared" si="46"/>
        <v/>
      </c>
      <c r="AB112" s="498" t="str">
        <f t="shared" si="47"/>
        <v/>
      </c>
      <c r="AC112" s="423" t="str">
        <f t="shared" si="38"/>
        <v/>
      </c>
      <c r="AD112" s="470" t="str">
        <f t="shared" si="39"/>
        <v/>
      </c>
      <c r="AE112" s="468" t="str">
        <f t="shared" si="40"/>
        <v/>
      </c>
      <c r="AF112" s="457" t="str">
        <f t="shared" si="41"/>
        <v/>
      </c>
      <c r="AG112" s="472" t="str">
        <f t="shared" si="42"/>
        <v/>
      </c>
      <c r="AH112" s="490"/>
      <c r="AI112" s="488"/>
      <c r="AL112">
        <v>101</v>
      </c>
      <c r="AM112">
        <v>89</v>
      </c>
    </row>
    <row r="113" spans="1:39" x14ac:dyDescent="0.25">
      <c r="A113" t="str">
        <f>'New order'!U115</f>
        <v/>
      </c>
      <c r="B113" t="str">
        <f>'New order'!V115</f>
        <v/>
      </c>
      <c r="C113">
        <f>'New order'!AT115</f>
        <v>10</v>
      </c>
      <c r="D113" t="str">
        <f>'New order'!Y115</f>
        <v/>
      </c>
      <c r="E113">
        <f t="shared" si="26"/>
        <v>1</v>
      </c>
      <c r="F113">
        <f t="shared" si="27"/>
        <v>0</v>
      </c>
      <c r="G113" t="str">
        <f>'New order'!T115</f>
        <v/>
      </c>
      <c r="H113">
        <f>COUNTIF(C$12:C113,C113)</f>
        <v>102</v>
      </c>
      <c r="I113">
        <v>1</v>
      </c>
      <c r="J113">
        <f t="shared" si="28"/>
        <v>200</v>
      </c>
      <c r="K113" t="str">
        <f t="shared" si="45"/>
        <v/>
      </c>
      <c r="L113" t="str">
        <f t="shared" si="43"/>
        <v/>
      </c>
      <c r="M113" t="str">
        <f>IF(L113&lt;&gt;"",1+COUNT(M$12:M112),"")</f>
        <v/>
      </c>
      <c r="N113" t="str">
        <f t="shared" si="29"/>
        <v/>
      </c>
      <c r="O113" t="str">
        <f t="shared" si="30"/>
        <v/>
      </c>
      <c r="P113" t="str">
        <f t="shared" si="31"/>
        <v/>
      </c>
      <c r="Q113" t="str">
        <f t="shared" si="32"/>
        <v/>
      </c>
      <c r="R113" t="str">
        <f t="shared" si="33"/>
        <v/>
      </c>
      <c r="S113" t="str">
        <f t="shared" si="34"/>
        <v/>
      </c>
      <c r="T113" t="str">
        <f t="shared" si="35"/>
        <v/>
      </c>
      <c r="U113">
        <f t="shared" si="36"/>
        <v>0</v>
      </c>
      <c r="V113" t="str">
        <f t="shared" si="37"/>
        <v/>
      </c>
      <c r="W113" t="str">
        <f>IFERROR(RANK(V113,V$12:V$211,1)+COUNTIF(V$12:V113,V113)-1,"")</f>
        <v/>
      </c>
      <c r="Z113">
        <v>102</v>
      </c>
      <c r="AA113" s="422" t="str">
        <f t="shared" si="46"/>
        <v/>
      </c>
      <c r="AB113" s="498" t="str">
        <f t="shared" si="47"/>
        <v/>
      </c>
      <c r="AC113" s="423" t="str">
        <f t="shared" si="38"/>
        <v/>
      </c>
      <c r="AD113" s="470" t="str">
        <f t="shared" si="39"/>
        <v/>
      </c>
      <c r="AE113" s="468" t="str">
        <f t="shared" si="40"/>
        <v/>
      </c>
      <c r="AF113" s="457" t="str">
        <f t="shared" si="41"/>
        <v/>
      </c>
      <c r="AG113" s="472" t="str">
        <f t="shared" si="42"/>
        <v/>
      </c>
      <c r="AH113" s="490"/>
      <c r="AI113" s="488"/>
      <c r="AL113">
        <v>102</v>
      </c>
      <c r="AM113">
        <v>91</v>
      </c>
    </row>
    <row r="114" spans="1:39" x14ac:dyDescent="0.25">
      <c r="A114" t="str">
        <f>'New order'!U116</f>
        <v/>
      </c>
      <c r="B114" t="str">
        <f>'New order'!V116</f>
        <v/>
      </c>
      <c r="C114">
        <f>'New order'!AT116</f>
        <v>10</v>
      </c>
      <c r="D114" t="str">
        <f>'New order'!Y116</f>
        <v/>
      </c>
      <c r="E114">
        <f t="shared" si="26"/>
        <v>1</v>
      </c>
      <c r="F114">
        <f t="shared" si="27"/>
        <v>0</v>
      </c>
      <c r="G114" t="str">
        <f>'New order'!T116</f>
        <v/>
      </c>
      <c r="H114">
        <f>COUNTIF(C$12:C114,C114)</f>
        <v>103</v>
      </c>
      <c r="I114">
        <v>1</v>
      </c>
      <c r="J114">
        <f t="shared" si="28"/>
        <v>200</v>
      </c>
      <c r="K114" t="str">
        <f t="shared" si="45"/>
        <v/>
      </c>
      <c r="L114" t="str">
        <f t="shared" si="43"/>
        <v/>
      </c>
      <c r="M114" t="str">
        <f>IF(L114&lt;&gt;"",1+COUNT(M$12:M113),"")</f>
        <v/>
      </c>
      <c r="N114" t="str">
        <f t="shared" si="29"/>
        <v/>
      </c>
      <c r="O114" t="str">
        <f t="shared" si="30"/>
        <v/>
      </c>
      <c r="P114" t="str">
        <f t="shared" si="31"/>
        <v/>
      </c>
      <c r="Q114" t="str">
        <f t="shared" si="32"/>
        <v/>
      </c>
      <c r="R114" t="str">
        <f t="shared" si="33"/>
        <v/>
      </c>
      <c r="S114" t="str">
        <f t="shared" si="34"/>
        <v/>
      </c>
      <c r="T114" t="str">
        <f t="shared" si="35"/>
        <v/>
      </c>
      <c r="U114">
        <f t="shared" si="36"/>
        <v>0</v>
      </c>
      <c r="V114" t="str">
        <f t="shared" si="37"/>
        <v/>
      </c>
      <c r="W114" t="str">
        <f>IFERROR(RANK(V114,V$12:V$211,1)+COUNTIF(V$12:V114,V114)-1,"")</f>
        <v/>
      </c>
      <c r="Z114">
        <v>103</v>
      </c>
      <c r="AA114" s="422" t="str">
        <f t="shared" si="46"/>
        <v/>
      </c>
      <c r="AB114" s="498" t="str">
        <f t="shared" si="47"/>
        <v/>
      </c>
      <c r="AC114" s="423" t="str">
        <f t="shared" si="38"/>
        <v/>
      </c>
      <c r="AD114" s="470" t="str">
        <f t="shared" si="39"/>
        <v/>
      </c>
      <c r="AE114" s="468" t="str">
        <f t="shared" si="40"/>
        <v/>
      </c>
      <c r="AF114" s="457" t="str">
        <f t="shared" si="41"/>
        <v/>
      </c>
      <c r="AG114" s="472" t="str">
        <f t="shared" si="42"/>
        <v/>
      </c>
      <c r="AH114" s="490"/>
      <c r="AI114" s="488"/>
      <c r="AL114">
        <v>0</v>
      </c>
      <c r="AM114" t="s">
        <v>1858</v>
      </c>
    </row>
    <row r="115" spans="1:39" x14ac:dyDescent="0.25">
      <c r="A115" t="str">
        <f>'New order'!U117</f>
        <v/>
      </c>
      <c r="B115" t="str">
        <f>'New order'!V117</f>
        <v/>
      </c>
      <c r="C115">
        <f>'New order'!AT117</f>
        <v>10</v>
      </c>
      <c r="D115" t="str">
        <f>'New order'!Y117</f>
        <v/>
      </c>
      <c r="E115">
        <f t="shared" si="26"/>
        <v>1</v>
      </c>
      <c r="F115">
        <f t="shared" si="27"/>
        <v>0</v>
      </c>
      <c r="G115" t="str">
        <f>'New order'!T117</f>
        <v/>
      </c>
      <c r="H115">
        <f>COUNTIF(C$12:C115,C115)</f>
        <v>104</v>
      </c>
      <c r="I115">
        <v>1</v>
      </c>
      <c r="J115">
        <f t="shared" si="28"/>
        <v>200</v>
      </c>
      <c r="K115" t="str">
        <f t="shared" si="45"/>
        <v/>
      </c>
      <c r="L115" t="str">
        <f t="shared" si="43"/>
        <v/>
      </c>
      <c r="M115" t="str">
        <f>IF(L115&lt;&gt;"",1+COUNT(M$12:M114),"")</f>
        <v/>
      </c>
      <c r="N115" t="str">
        <f t="shared" si="29"/>
        <v/>
      </c>
      <c r="O115" t="str">
        <f t="shared" si="30"/>
        <v/>
      </c>
      <c r="P115" t="str">
        <f t="shared" si="31"/>
        <v/>
      </c>
      <c r="Q115" t="str">
        <f t="shared" si="32"/>
        <v/>
      </c>
      <c r="R115" t="str">
        <f t="shared" si="33"/>
        <v/>
      </c>
      <c r="S115" t="str">
        <f t="shared" si="34"/>
        <v/>
      </c>
      <c r="T115" t="str">
        <f t="shared" si="35"/>
        <v/>
      </c>
      <c r="U115">
        <f t="shared" si="36"/>
        <v>0</v>
      </c>
      <c r="V115" t="str">
        <f t="shared" si="37"/>
        <v/>
      </c>
      <c r="W115" t="str">
        <f>IFERROR(RANK(V115,V$12:V$211,1)+COUNTIF(V$12:V115,V115)-1,"")</f>
        <v/>
      </c>
      <c r="Z115">
        <v>104</v>
      </c>
      <c r="AA115" s="422" t="str">
        <f t="shared" si="46"/>
        <v/>
      </c>
      <c r="AB115" s="498" t="str">
        <f t="shared" si="47"/>
        <v/>
      </c>
      <c r="AC115" s="423" t="str">
        <f t="shared" si="38"/>
        <v/>
      </c>
      <c r="AD115" s="470" t="str">
        <f t="shared" si="39"/>
        <v/>
      </c>
      <c r="AE115" s="468" t="str">
        <f t="shared" si="40"/>
        <v/>
      </c>
      <c r="AF115" s="457" t="str">
        <f t="shared" si="41"/>
        <v/>
      </c>
      <c r="AG115" s="472" t="str">
        <f t="shared" si="42"/>
        <v/>
      </c>
      <c r="AH115" s="490"/>
      <c r="AI115" s="488"/>
      <c r="AL115">
        <v>-1</v>
      </c>
      <c r="AM115">
        <v>-1</v>
      </c>
    </row>
    <row r="116" spans="1:39" x14ac:dyDescent="0.25">
      <c r="A116" t="str">
        <f>'New order'!U118</f>
        <v/>
      </c>
      <c r="B116" t="str">
        <f>'New order'!V118</f>
        <v/>
      </c>
      <c r="C116">
        <f>'New order'!AT118</f>
        <v>10</v>
      </c>
      <c r="D116" t="str">
        <f>'New order'!Y118</f>
        <v/>
      </c>
      <c r="E116">
        <f t="shared" si="26"/>
        <v>1</v>
      </c>
      <c r="F116">
        <f t="shared" si="27"/>
        <v>0</v>
      </c>
      <c r="G116" t="str">
        <f>'New order'!T118</f>
        <v/>
      </c>
      <c r="H116">
        <f>COUNTIF(C$12:C116,C116)</f>
        <v>105</v>
      </c>
      <c r="I116">
        <v>1</v>
      </c>
      <c r="J116">
        <f t="shared" si="28"/>
        <v>200</v>
      </c>
      <c r="K116" t="str">
        <f t="shared" si="45"/>
        <v/>
      </c>
      <c r="L116" t="str">
        <f t="shared" si="43"/>
        <v/>
      </c>
      <c r="M116" t="str">
        <f>IF(L116&lt;&gt;"",1+COUNT(M$12:M115),"")</f>
        <v/>
      </c>
      <c r="N116" t="str">
        <f t="shared" si="29"/>
        <v/>
      </c>
      <c r="O116" t="str">
        <f t="shared" si="30"/>
        <v/>
      </c>
      <c r="P116" t="str">
        <f t="shared" si="31"/>
        <v/>
      </c>
      <c r="Q116" t="str">
        <f t="shared" si="32"/>
        <v/>
      </c>
      <c r="R116" t="str">
        <f t="shared" si="33"/>
        <v/>
      </c>
      <c r="S116" t="str">
        <f t="shared" si="34"/>
        <v/>
      </c>
      <c r="T116" t="str">
        <f t="shared" si="35"/>
        <v/>
      </c>
      <c r="U116">
        <f t="shared" si="36"/>
        <v>0</v>
      </c>
      <c r="V116" t="str">
        <f t="shared" si="37"/>
        <v/>
      </c>
      <c r="W116" t="str">
        <f>IFERROR(RANK(V116,V$12:V$211,1)+COUNTIF(V$12:V116,V116)-1,"")</f>
        <v/>
      </c>
      <c r="Z116">
        <v>105</v>
      </c>
      <c r="AA116" s="422" t="str">
        <f t="shared" si="46"/>
        <v/>
      </c>
      <c r="AB116" s="498" t="str">
        <f t="shared" si="47"/>
        <v/>
      </c>
      <c r="AC116" s="423" t="str">
        <f t="shared" si="38"/>
        <v/>
      </c>
      <c r="AD116" s="470" t="str">
        <f t="shared" si="39"/>
        <v/>
      </c>
      <c r="AE116" s="468" t="str">
        <f t="shared" si="40"/>
        <v/>
      </c>
      <c r="AF116" s="457" t="str">
        <f t="shared" si="41"/>
        <v/>
      </c>
      <c r="AG116" s="472" t="str">
        <f t="shared" si="42"/>
        <v/>
      </c>
      <c r="AH116" s="490"/>
      <c r="AI116" s="488"/>
      <c r="AL116">
        <v>-2</v>
      </c>
      <c r="AM116">
        <v>-2</v>
      </c>
    </row>
    <row r="117" spans="1:39" x14ac:dyDescent="0.25">
      <c r="A117" t="str">
        <f>'New order'!U119</f>
        <v/>
      </c>
      <c r="B117" t="str">
        <f>'New order'!V119</f>
        <v/>
      </c>
      <c r="C117">
        <f>'New order'!AT119</f>
        <v>10</v>
      </c>
      <c r="D117" t="str">
        <f>'New order'!Y119</f>
        <v/>
      </c>
      <c r="E117">
        <f t="shared" si="26"/>
        <v>1</v>
      </c>
      <c r="F117">
        <f t="shared" si="27"/>
        <v>0</v>
      </c>
      <c r="G117" t="str">
        <f>'New order'!T119</f>
        <v/>
      </c>
      <c r="H117">
        <f>COUNTIF(C$12:C117,C117)</f>
        <v>106</v>
      </c>
      <c r="I117">
        <v>1</v>
      </c>
      <c r="J117">
        <f t="shared" si="28"/>
        <v>200</v>
      </c>
      <c r="K117" t="str">
        <f t="shared" si="45"/>
        <v/>
      </c>
      <c r="L117" t="str">
        <f t="shared" si="43"/>
        <v/>
      </c>
      <c r="M117" t="str">
        <f>IF(L117&lt;&gt;"",1+COUNT(M$12:M116),"")</f>
        <v/>
      </c>
      <c r="N117" t="str">
        <f t="shared" si="29"/>
        <v/>
      </c>
      <c r="O117" t="str">
        <f t="shared" si="30"/>
        <v/>
      </c>
      <c r="P117" t="str">
        <f t="shared" si="31"/>
        <v/>
      </c>
      <c r="Q117" t="str">
        <f t="shared" si="32"/>
        <v/>
      </c>
      <c r="R117" t="str">
        <f t="shared" si="33"/>
        <v/>
      </c>
      <c r="S117" t="str">
        <f t="shared" si="34"/>
        <v/>
      </c>
      <c r="T117" t="str">
        <f t="shared" si="35"/>
        <v/>
      </c>
      <c r="U117">
        <f t="shared" si="36"/>
        <v>0</v>
      </c>
      <c r="V117" t="str">
        <f t="shared" si="37"/>
        <v/>
      </c>
      <c r="W117" t="str">
        <f>IFERROR(RANK(V117,V$12:V$211,1)+COUNTIF(V$12:V117,V117)-1,"")</f>
        <v/>
      </c>
      <c r="Z117">
        <v>106</v>
      </c>
      <c r="AA117" s="422" t="str">
        <f t="shared" si="46"/>
        <v/>
      </c>
      <c r="AB117" s="498" t="str">
        <f t="shared" si="47"/>
        <v/>
      </c>
      <c r="AC117" s="423" t="str">
        <f t="shared" si="38"/>
        <v/>
      </c>
      <c r="AD117" s="470" t="str">
        <f t="shared" si="39"/>
        <v/>
      </c>
      <c r="AE117" s="468" t="str">
        <f t="shared" si="40"/>
        <v/>
      </c>
      <c r="AF117" s="457" t="str">
        <f t="shared" si="41"/>
        <v/>
      </c>
      <c r="AG117" s="472" t="str">
        <f t="shared" si="42"/>
        <v/>
      </c>
      <c r="AH117" s="490"/>
      <c r="AI117" s="488"/>
      <c r="AL117">
        <v>-3</v>
      </c>
      <c r="AM117">
        <v>-3</v>
      </c>
    </row>
    <row r="118" spans="1:39" x14ac:dyDescent="0.25">
      <c r="A118" t="str">
        <f>'New order'!U120</f>
        <v/>
      </c>
      <c r="B118" t="str">
        <f>'New order'!V120</f>
        <v/>
      </c>
      <c r="C118">
        <f>'New order'!AT120</f>
        <v>10</v>
      </c>
      <c r="D118" t="str">
        <f>'New order'!Y120</f>
        <v/>
      </c>
      <c r="E118">
        <f t="shared" si="26"/>
        <v>1</v>
      </c>
      <c r="F118">
        <f t="shared" si="27"/>
        <v>0</v>
      </c>
      <c r="G118" t="str">
        <f>'New order'!T120</f>
        <v/>
      </c>
      <c r="H118">
        <f>COUNTIF(C$12:C118,C118)</f>
        <v>107</v>
      </c>
      <c r="I118">
        <v>1</v>
      </c>
      <c r="J118">
        <f t="shared" si="28"/>
        <v>200</v>
      </c>
      <c r="K118" t="str">
        <f t="shared" si="45"/>
        <v/>
      </c>
      <c r="L118" t="str">
        <f t="shared" si="43"/>
        <v/>
      </c>
      <c r="M118" t="str">
        <f>IF(L118&lt;&gt;"",1+COUNT(M$12:M117),"")</f>
        <v/>
      </c>
      <c r="N118" t="str">
        <f t="shared" si="29"/>
        <v/>
      </c>
      <c r="O118" t="str">
        <f t="shared" si="30"/>
        <v/>
      </c>
      <c r="P118" t="str">
        <f t="shared" si="31"/>
        <v/>
      </c>
      <c r="Q118" t="str">
        <f t="shared" si="32"/>
        <v/>
      </c>
      <c r="R118" t="str">
        <f t="shared" si="33"/>
        <v/>
      </c>
      <c r="S118" t="str">
        <f t="shared" si="34"/>
        <v/>
      </c>
      <c r="T118" t="str">
        <f t="shared" si="35"/>
        <v/>
      </c>
      <c r="U118">
        <f t="shared" si="36"/>
        <v>0</v>
      </c>
      <c r="V118" t="str">
        <f t="shared" si="37"/>
        <v/>
      </c>
      <c r="W118" t="str">
        <f>IFERROR(RANK(V118,V$12:V$211,1)+COUNTIF(V$12:V118,V118)-1,"")</f>
        <v/>
      </c>
      <c r="Z118">
        <v>107</v>
      </c>
      <c r="AA118" s="422" t="str">
        <f t="shared" si="46"/>
        <v/>
      </c>
      <c r="AB118" s="498" t="str">
        <f t="shared" si="47"/>
        <v/>
      </c>
      <c r="AC118" s="423" t="str">
        <f t="shared" si="38"/>
        <v/>
      </c>
      <c r="AD118" s="470" t="str">
        <f t="shared" si="39"/>
        <v/>
      </c>
      <c r="AE118" s="468" t="str">
        <f t="shared" si="40"/>
        <v/>
      </c>
      <c r="AF118" s="457" t="str">
        <f t="shared" si="41"/>
        <v/>
      </c>
      <c r="AG118" s="472" t="str">
        <f t="shared" si="42"/>
        <v/>
      </c>
      <c r="AH118" s="490"/>
      <c r="AI118" s="488"/>
      <c r="AL118">
        <v>-4</v>
      </c>
      <c r="AM118">
        <v>-4</v>
      </c>
    </row>
    <row r="119" spans="1:39" x14ac:dyDescent="0.25">
      <c r="A119" t="str">
        <f>'New order'!U121</f>
        <v/>
      </c>
      <c r="B119" t="str">
        <f>'New order'!V121</f>
        <v/>
      </c>
      <c r="C119">
        <f>'New order'!AT121</f>
        <v>10</v>
      </c>
      <c r="D119" t="str">
        <f>'New order'!Y121</f>
        <v/>
      </c>
      <c r="E119">
        <f t="shared" si="26"/>
        <v>1</v>
      </c>
      <c r="F119">
        <f t="shared" si="27"/>
        <v>0</v>
      </c>
      <c r="G119" t="str">
        <f>'New order'!T121</f>
        <v/>
      </c>
      <c r="H119">
        <f>COUNTIF(C$12:C119,C119)</f>
        <v>108</v>
      </c>
      <c r="I119">
        <v>1</v>
      </c>
      <c r="J119">
        <f t="shared" si="28"/>
        <v>200</v>
      </c>
      <c r="K119" t="str">
        <f t="shared" si="45"/>
        <v/>
      </c>
      <c r="L119" t="str">
        <f t="shared" si="43"/>
        <v/>
      </c>
      <c r="M119" t="str">
        <f>IF(L119&lt;&gt;"",1+COUNT(M$12:M118),"")</f>
        <v/>
      </c>
      <c r="N119" t="str">
        <f t="shared" si="29"/>
        <v/>
      </c>
      <c r="O119" t="str">
        <f t="shared" si="30"/>
        <v/>
      </c>
      <c r="P119" t="str">
        <f t="shared" si="31"/>
        <v/>
      </c>
      <c r="Q119" t="str">
        <f t="shared" si="32"/>
        <v/>
      </c>
      <c r="R119" t="str">
        <f t="shared" si="33"/>
        <v/>
      </c>
      <c r="S119" t="str">
        <f t="shared" si="34"/>
        <v/>
      </c>
      <c r="T119" t="str">
        <f t="shared" si="35"/>
        <v/>
      </c>
      <c r="U119">
        <f t="shared" si="36"/>
        <v>0</v>
      </c>
      <c r="V119" t="str">
        <f t="shared" si="37"/>
        <v/>
      </c>
      <c r="W119" t="str">
        <f>IFERROR(RANK(V119,V$12:V$211,1)+COUNTIF(V$12:V119,V119)-1,"")</f>
        <v/>
      </c>
      <c r="Z119">
        <v>108</v>
      </c>
      <c r="AA119" s="422" t="str">
        <f t="shared" si="46"/>
        <v/>
      </c>
      <c r="AB119" s="498" t="str">
        <f t="shared" si="47"/>
        <v/>
      </c>
      <c r="AC119" s="423" t="str">
        <f t="shared" si="38"/>
        <v/>
      </c>
      <c r="AD119" s="470" t="str">
        <f t="shared" si="39"/>
        <v/>
      </c>
      <c r="AE119" s="468" t="str">
        <f t="shared" si="40"/>
        <v/>
      </c>
      <c r="AF119" s="457" t="str">
        <f t="shared" si="41"/>
        <v/>
      </c>
      <c r="AG119" s="472" t="str">
        <f t="shared" si="42"/>
        <v/>
      </c>
      <c r="AH119" s="490"/>
      <c r="AI119" s="488"/>
      <c r="AL119">
        <v>150</v>
      </c>
      <c r="AM119">
        <v>150</v>
      </c>
    </row>
    <row r="120" spans="1:39" x14ac:dyDescent="0.25">
      <c r="A120" t="str">
        <f>'New order'!U122</f>
        <v/>
      </c>
      <c r="B120" t="str">
        <f>'New order'!V122</f>
        <v/>
      </c>
      <c r="C120">
        <f>'New order'!AT122</f>
        <v>10</v>
      </c>
      <c r="D120" t="str">
        <f>'New order'!Y122</f>
        <v/>
      </c>
      <c r="E120">
        <f t="shared" si="26"/>
        <v>1</v>
      </c>
      <c r="F120">
        <f t="shared" si="27"/>
        <v>0</v>
      </c>
      <c r="G120" t="str">
        <f>'New order'!T122</f>
        <v/>
      </c>
      <c r="H120">
        <f>COUNTIF(C$12:C120,C120)</f>
        <v>109</v>
      </c>
      <c r="I120">
        <v>1</v>
      </c>
      <c r="J120">
        <f t="shared" si="28"/>
        <v>200</v>
      </c>
      <c r="K120" t="str">
        <f t="shared" si="45"/>
        <v/>
      </c>
      <c r="L120" t="str">
        <f t="shared" si="43"/>
        <v/>
      </c>
      <c r="M120" t="str">
        <f>IF(L120&lt;&gt;"",1+COUNT(M$12:M119),"")</f>
        <v/>
      </c>
      <c r="N120" t="str">
        <f t="shared" si="29"/>
        <v/>
      </c>
      <c r="O120" t="str">
        <f t="shared" si="30"/>
        <v/>
      </c>
      <c r="P120" t="str">
        <f t="shared" si="31"/>
        <v/>
      </c>
      <c r="Q120" t="str">
        <f t="shared" si="32"/>
        <v/>
      </c>
      <c r="R120" t="str">
        <f t="shared" si="33"/>
        <v/>
      </c>
      <c r="S120" t="str">
        <f t="shared" si="34"/>
        <v/>
      </c>
      <c r="T120" t="str">
        <f t="shared" si="35"/>
        <v/>
      </c>
      <c r="U120">
        <f t="shared" si="36"/>
        <v>0</v>
      </c>
      <c r="V120" t="str">
        <f t="shared" si="37"/>
        <v/>
      </c>
      <c r="W120" t="str">
        <f>IFERROR(RANK(V120,V$12:V$211,1)+COUNTIF(V$12:V120,V120)-1,"")</f>
        <v/>
      </c>
      <c r="Z120">
        <v>109</v>
      </c>
      <c r="AA120" s="422" t="str">
        <f t="shared" si="46"/>
        <v/>
      </c>
      <c r="AB120" s="498" t="str">
        <f t="shared" si="47"/>
        <v/>
      </c>
      <c r="AC120" s="423" t="str">
        <f t="shared" si="38"/>
        <v/>
      </c>
      <c r="AD120" s="470" t="str">
        <f t="shared" si="39"/>
        <v/>
      </c>
      <c r="AE120" s="468" t="str">
        <f t="shared" si="40"/>
        <v/>
      </c>
      <c r="AF120" s="457" t="str">
        <f t="shared" si="41"/>
        <v/>
      </c>
      <c r="AG120" s="472" t="str">
        <f t="shared" si="42"/>
        <v/>
      </c>
      <c r="AH120" s="490"/>
      <c r="AI120" s="488"/>
      <c r="AM120">
        <v>0</v>
      </c>
    </row>
    <row r="121" spans="1:39" x14ac:dyDescent="0.25">
      <c r="A121" t="str">
        <f>'New order'!U123</f>
        <v/>
      </c>
      <c r="B121" t="str">
        <f>'New order'!V123</f>
        <v/>
      </c>
      <c r="C121">
        <f>'New order'!AT123</f>
        <v>10</v>
      </c>
      <c r="D121" t="str">
        <f>'New order'!Y123</f>
        <v/>
      </c>
      <c r="E121">
        <f t="shared" si="26"/>
        <v>1</v>
      </c>
      <c r="F121">
        <f t="shared" si="27"/>
        <v>0</v>
      </c>
      <c r="G121" t="str">
        <f>'New order'!T123</f>
        <v/>
      </c>
      <c r="H121">
        <f>COUNTIF(C$12:C121,C121)</f>
        <v>110</v>
      </c>
      <c r="I121">
        <v>1</v>
      </c>
      <c r="J121">
        <f t="shared" si="28"/>
        <v>200</v>
      </c>
      <c r="K121" t="str">
        <f t="shared" si="45"/>
        <v/>
      </c>
      <c r="L121" t="str">
        <f t="shared" si="43"/>
        <v/>
      </c>
      <c r="M121" t="str">
        <f>IF(L121&lt;&gt;"",1+COUNT(M$12:M120),"")</f>
        <v/>
      </c>
      <c r="N121" t="str">
        <f t="shared" si="29"/>
        <v/>
      </c>
      <c r="O121" t="str">
        <f t="shared" si="30"/>
        <v/>
      </c>
      <c r="P121" t="str">
        <f t="shared" si="31"/>
        <v/>
      </c>
      <c r="Q121" t="str">
        <f t="shared" si="32"/>
        <v/>
      </c>
      <c r="R121" t="str">
        <f t="shared" si="33"/>
        <v/>
      </c>
      <c r="S121" t="str">
        <f t="shared" si="34"/>
        <v/>
      </c>
      <c r="T121" t="str">
        <f t="shared" si="35"/>
        <v/>
      </c>
      <c r="U121">
        <f t="shared" si="36"/>
        <v>0</v>
      </c>
      <c r="V121" t="str">
        <f t="shared" si="37"/>
        <v/>
      </c>
      <c r="W121" t="str">
        <f>IFERROR(RANK(V121,V$12:V$211,1)+COUNTIF(V$12:V121,V121)-1,"")</f>
        <v/>
      </c>
      <c r="Z121">
        <v>110</v>
      </c>
      <c r="AA121" s="422" t="str">
        <f t="shared" si="46"/>
        <v/>
      </c>
      <c r="AB121" s="498" t="str">
        <f t="shared" si="47"/>
        <v/>
      </c>
      <c r="AC121" s="423" t="str">
        <f t="shared" si="38"/>
        <v/>
      </c>
      <c r="AD121" s="470" t="str">
        <f t="shared" si="39"/>
        <v/>
      </c>
      <c r="AE121" s="468" t="str">
        <f t="shared" si="40"/>
        <v/>
      </c>
      <c r="AF121" s="457" t="str">
        <f t="shared" si="41"/>
        <v/>
      </c>
      <c r="AG121" s="472" t="str">
        <f t="shared" si="42"/>
        <v/>
      </c>
      <c r="AH121" s="490"/>
      <c r="AI121" s="488"/>
    </row>
    <row r="122" spans="1:39" x14ac:dyDescent="0.25">
      <c r="A122" t="str">
        <f>'New order'!U124</f>
        <v/>
      </c>
      <c r="B122" t="str">
        <f>'New order'!V124</f>
        <v/>
      </c>
      <c r="C122">
        <f>'New order'!AT124</f>
        <v>10</v>
      </c>
      <c r="D122" t="str">
        <f>'New order'!Y124</f>
        <v/>
      </c>
      <c r="E122">
        <f t="shared" si="26"/>
        <v>1</v>
      </c>
      <c r="F122">
        <f t="shared" si="27"/>
        <v>0</v>
      </c>
      <c r="G122" t="str">
        <f>'New order'!T124</f>
        <v/>
      </c>
      <c r="H122">
        <f>COUNTIF(C$12:C122,C122)</f>
        <v>111</v>
      </c>
      <c r="I122">
        <v>1</v>
      </c>
      <c r="J122">
        <f t="shared" si="28"/>
        <v>200</v>
      </c>
      <c r="K122" t="str">
        <f t="shared" si="45"/>
        <v/>
      </c>
      <c r="L122" t="str">
        <f t="shared" si="43"/>
        <v/>
      </c>
      <c r="M122" t="str">
        <f>IF(L122&lt;&gt;"",1+COUNT(M$12:M121),"")</f>
        <v/>
      </c>
      <c r="N122" t="str">
        <f t="shared" si="29"/>
        <v/>
      </c>
      <c r="O122" t="str">
        <f t="shared" si="30"/>
        <v/>
      </c>
      <c r="P122" t="str">
        <f t="shared" si="31"/>
        <v/>
      </c>
      <c r="Q122" t="str">
        <f t="shared" si="32"/>
        <v/>
      </c>
      <c r="R122" t="str">
        <f t="shared" si="33"/>
        <v/>
      </c>
      <c r="S122" t="str">
        <f t="shared" si="34"/>
        <v/>
      </c>
      <c r="T122" t="str">
        <f t="shared" si="35"/>
        <v/>
      </c>
      <c r="U122">
        <f t="shared" si="36"/>
        <v>0</v>
      </c>
      <c r="V122" t="str">
        <f t="shared" si="37"/>
        <v/>
      </c>
      <c r="W122" t="str">
        <f>IFERROR(RANK(V122,V$12:V$211,1)+COUNTIF(V$12:V122,V122)-1,"")</f>
        <v/>
      </c>
      <c r="Z122">
        <v>111</v>
      </c>
      <c r="AA122" s="422" t="str">
        <f t="shared" si="46"/>
        <v/>
      </c>
      <c r="AB122" s="498" t="str">
        <f t="shared" si="47"/>
        <v/>
      </c>
      <c r="AC122" s="423" t="str">
        <f t="shared" si="38"/>
        <v/>
      </c>
      <c r="AD122" s="470" t="str">
        <f t="shared" si="39"/>
        <v/>
      </c>
      <c r="AE122" s="468" t="str">
        <f t="shared" si="40"/>
        <v/>
      </c>
      <c r="AF122" s="457" t="str">
        <f t="shared" si="41"/>
        <v/>
      </c>
      <c r="AG122" s="472" t="str">
        <f t="shared" si="42"/>
        <v/>
      </c>
      <c r="AH122" s="490"/>
      <c r="AI122" s="488"/>
    </row>
    <row r="123" spans="1:39" x14ac:dyDescent="0.25">
      <c r="A123" t="str">
        <f>'New order'!U125</f>
        <v/>
      </c>
      <c r="B123" t="str">
        <f>'New order'!V125</f>
        <v/>
      </c>
      <c r="C123">
        <f>'New order'!AT125</f>
        <v>10</v>
      </c>
      <c r="D123" t="str">
        <f>'New order'!Y125</f>
        <v/>
      </c>
      <c r="E123">
        <f t="shared" si="26"/>
        <v>1</v>
      </c>
      <c r="F123">
        <f t="shared" si="27"/>
        <v>0</v>
      </c>
      <c r="G123" t="str">
        <f>'New order'!T125</f>
        <v/>
      </c>
      <c r="H123">
        <f>COUNTIF(C$12:C123,C123)</f>
        <v>112</v>
      </c>
      <c r="I123">
        <v>1</v>
      </c>
      <c r="J123">
        <f t="shared" si="28"/>
        <v>200</v>
      </c>
      <c r="K123" t="str">
        <f t="shared" si="45"/>
        <v/>
      </c>
      <c r="L123" t="str">
        <f t="shared" si="43"/>
        <v/>
      </c>
      <c r="M123" t="str">
        <f>IF(L123&lt;&gt;"",1+COUNT(M$12:M122),"")</f>
        <v/>
      </c>
      <c r="N123" t="str">
        <f t="shared" si="29"/>
        <v/>
      </c>
      <c r="O123" t="str">
        <f t="shared" si="30"/>
        <v/>
      </c>
      <c r="P123" t="str">
        <f t="shared" si="31"/>
        <v/>
      </c>
      <c r="Q123" t="str">
        <f t="shared" si="32"/>
        <v/>
      </c>
      <c r="R123" t="str">
        <f t="shared" si="33"/>
        <v/>
      </c>
      <c r="S123" t="str">
        <f t="shared" si="34"/>
        <v/>
      </c>
      <c r="T123" t="str">
        <f t="shared" si="35"/>
        <v/>
      </c>
      <c r="U123">
        <f t="shared" si="36"/>
        <v>0</v>
      </c>
      <c r="V123" t="str">
        <f t="shared" si="37"/>
        <v/>
      </c>
      <c r="W123" t="str">
        <f>IFERROR(RANK(V123,V$12:V$211,1)+COUNTIF(V$12:V123,V123)-1,"")</f>
        <v/>
      </c>
      <c r="Z123">
        <v>112</v>
      </c>
      <c r="AA123" s="422" t="str">
        <f t="shared" si="46"/>
        <v/>
      </c>
      <c r="AB123" s="498" t="str">
        <f t="shared" si="47"/>
        <v/>
      </c>
      <c r="AC123" s="423" t="str">
        <f t="shared" si="38"/>
        <v/>
      </c>
      <c r="AD123" s="470" t="str">
        <f t="shared" si="39"/>
        <v/>
      </c>
      <c r="AE123" s="468" t="str">
        <f t="shared" si="40"/>
        <v/>
      </c>
      <c r="AF123" s="457" t="str">
        <f t="shared" si="41"/>
        <v/>
      </c>
      <c r="AG123" s="472" t="str">
        <f t="shared" si="42"/>
        <v/>
      </c>
      <c r="AH123" s="490"/>
      <c r="AI123" s="488"/>
    </row>
    <row r="124" spans="1:39" x14ac:dyDescent="0.25">
      <c r="A124" t="str">
        <f>'New order'!U126</f>
        <v/>
      </c>
      <c r="B124" t="str">
        <f>'New order'!V126</f>
        <v/>
      </c>
      <c r="C124">
        <f>'New order'!AT126</f>
        <v>10</v>
      </c>
      <c r="D124" t="str">
        <f>'New order'!Y126</f>
        <v/>
      </c>
      <c r="E124">
        <f t="shared" si="26"/>
        <v>1</v>
      </c>
      <c r="F124">
        <f t="shared" si="27"/>
        <v>0</v>
      </c>
      <c r="G124" t="str">
        <f>'New order'!T126</f>
        <v/>
      </c>
      <c r="H124">
        <f>COUNTIF(C$12:C124,C124)</f>
        <v>113</v>
      </c>
      <c r="I124">
        <v>1</v>
      </c>
      <c r="J124">
        <f t="shared" si="28"/>
        <v>200</v>
      </c>
      <c r="K124" t="str">
        <f t="shared" si="45"/>
        <v/>
      </c>
      <c r="L124" t="str">
        <f t="shared" si="43"/>
        <v/>
      </c>
      <c r="M124" t="str">
        <f>IF(L124&lt;&gt;"",1+COUNT(M$12:M123),"")</f>
        <v/>
      </c>
      <c r="N124" t="str">
        <f t="shared" si="29"/>
        <v/>
      </c>
      <c r="O124" t="str">
        <f t="shared" si="30"/>
        <v/>
      </c>
      <c r="P124" t="str">
        <f t="shared" si="31"/>
        <v/>
      </c>
      <c r="Q124" t="str">
        <f t="shared" si="32"/>
        <v/>
      </c>
      <c r="R124" t="str">
        <f t="shared" si="33"/>
        <v/>
      </c>
      <c r="S124" t="str">
        <f t="shared" si="34"/>
        <v/>
      </c>
      <c r="T124" t="str">
        <f t="shared" si="35"/>
        <v/>
      </c>
      <c r="U124">
        <f t="shared" si="36"/>
        <v>0</v>
      </c>
      <c r="V124" t="str">
        <f t="shared" si="37"/>
        <v/>
      </c>
      <c r="W124" t="str">
        <f>IFERROR(RANK(V124,V$12:V$211,1)+COUNTIF(V$12:V124,V124)-1,"")</f>
        <v/>
      </c>
      <c r="Z124">
        <v>113</v>
      </c>
      <c r="AA124" s="422" t="str">
        <f t="shared" si="46"/>
        <v/>
      </c>
      <c r="AB124" s="498" t="str">
        <f t="shared" si="47"/>
        <v/>
      </c>
      <c r="AC124" s="423" t="str">
        <f t="shared" si="38"/>
        <v/>
      </c>
      <c r="AD124" s="470" t="str">
        <f t="shared" si="39"/>
        <v/>
      </c>
      <c r="AE124" s="468" t="str">
        <f t="shared" si="40"/>
        <v/>
      </c>
      <c r="AF124" s="457" t="str">
        <f t="shared" si="41"/>
        <v/>
      </c>
      <c r="AG124" s="472" t="str">
        <f t="shared" si="42"/>
        <v/>
      </c>
      <c r="AH124" s="490"/>
      <c r="AI124" s="488"/>
    </row>
    <row r="125" spans="1:39" x14ac:dyDescent="0.25">
      <c r="A125" t="str">
        <f>'New order'!U127</f>
        <v/>
      </c>
      <c r="B125" t="str">
        <f>'New order'!V127</f>
        <v/>
      </c>
      <c r="C125">
        <f>'New order'!AT127</f>
        <v>10</v>
      </c>
      <c r="D125" t="str">
        <f>'New order'!Y127</f>
        <v/>
      </c>
      <c r="E125">
        <f t="shared" si="26"/>
        <v>1</v>
      </c>
      <c r="F125">
        <f t="shared" si="27"/>
        <v>0</v>
      </c>
      <c r="G125" t="str">
        <f>'New order'!T127</f>
        <v/>
      </c>
      <c r="H125">
        <f>COUNTIF(C$12:C125,C125)</f>
        <v>114</v>
      </c>
      <c r="I125">
        <v>1</v>
      </c>
      <c r="J125">
        <f t="shared" si="28"/>
        <v>200</v>
      </c>
      <c r="K125" t="str">
        <f t="shared" si="45"/>
        <v/>
      </c>
      <c r="L125" t="str">
        <f t="shared" si="43"/>
        <v/>
      </c>
      <c r="M125" t="str">
        <f>IF(L125&lt;&gt;"",1+COUNT(M$12:M124),"")</f>
        <v/>
      </c>
      <c r="N125" t="str">
        <f t="shared" si="29"/>
        <v/>
      </c>
      <c r="O125" t="str">
        <f t="shared" si="30"/>
        <v/>
      </c>
      <c r="P125" t="str">
        <f t="shared" si="31"/>
        <v/>
      </c>
      <c r="Q125" t="str">
        <f t="shared" si="32"/>
        <v/>
      </c>
      <c r="R125" t="str">
        <f t="shared" si="33"/>
        <v/>
      </c>
      <c r="S125" t="str">
        <f t="shared" si="34"/>
        <v/>
      </c>
      <c r="T125" t="str">
        <f t="shared" si="35"/>
        <v/>
      </c>
      <c r="U125">
        <f t="shared" si="36"/>
        <v>0</v>
      </c>
      <c r="V125" t="str">
        <f t="shared" si="37"/>
        <v/>
      </c>
      <c r="W125" t="str">
        <f>IFERROR(RANK(V125,V$12:V$211,1)+COUNTIF(V$12:V125,V125)-1,"")</f>
        <v/>
      </c>
      <c r="Z125">
        <v>114</v>
      </c>
      <c r="AA125" s="422" t="str">
        <f t="shared" si="46"/>
        <v/>
      </c>
      <c r="AB125" s="498" t="str">
        <f t="shared" si="47"/>
        <v/>
      </c>
      <c r="AC125" s="423" t="str">
        <f t="shared" si="38"/>
        <v/>
      </c>
      <c r="AD125" s="470" t="str">
        <f t="shared" si="39"/>
        <v/>
      </c>
      <c r="AE125" s="468" t="str">
        <f t="shared" si="40"/>
        <v/>
      </c>
      <c r="AF125" s="457" t="str">
        <f t="shared" si="41"/>
        <v/>
      </c>
      <c r="AG125" s="472" t="str">
        <f t="shared" si="42"/>
        <v/>
      </c>
      <c r="AH125" s="490"/>
      <c r="AI125" s="488"/>
    </row>
    <row r="126" spans="1:39" x14ac:dyDescent="0.25">
      <c r="A126" t="str">
        <f>'New order'!U128</f>
        <v/>
      </c>
      <c r="B126" t="str">
        <f>'New order'!V128</f>
        <v/>
      </c>
      <c r="C126">
        <f>'New order'!AT128</f>
        <v>10</v>
      </c>
      <c r="D126" t="str">
        <f>'New order'!Y128</f>
        <v/>
      </c>
      <c r="E126">
        <f t="shared" si="26"/>
        <v>1</v>
      </c>
      <c r="F126">
        <f t="shared" si="27"/>
        <v>0</v>
      </c>
      <c r="G126" t="str">
        <f>'New order'!T128</f>
        <v/>
      </c>
      <c r="H126">
        <f>COUNTIF(C$12:C126,C126)</f>
        <v>115</v>
      </c>
      <c r="I126">
        <v>1</v>
      </c>
      <c r="J126">
        <f t="shared" si="28"/>
        <v>200</v>
      </c>
      <c r="K126" t="str">
        <f t="shared" si="45"/>
        <v/>
      </c>
      <c r="L126" t="str">
        <f t="shared" si="43"/>
        <v/>
      </c>
      <c r="M126" t="str">
        <f>IF(L126&lt;&gt;"",1+COUNT(M$12:M125),"")</f>
        <v/>
      </c>
      <c r="N126" t="str">
        <f t="shared" si="29"/>
        <v/>
      </c>
      <c r="O126" t="str">
        <f t="shared" si="30"/>
        <v/>
      </c>
      <c r="P126" t="str">
        <f t="shared" si="31"/>
        <v/>
      </c>
      <c r="Q126" t="str">
        <f t="shared" si="32"/>
        <v/>
      </c>
      <c r="R126" t="str">
        <f t="shared" si="33"/>
        <v/>
      </c>
      <c r="S126" t="str">
        <f t="shared" si="34"/>
        <v/>
      </c>
      <c r="T126" t="str">
        <f t="shared" si="35"/>
        <v/>
      </c>
      <c r="U126">
        <f t="shared" si="36"/>
        <v>0</v>
      </c>
      <c r="V126" t="str">
        <f t="shared" si="37"/>
        <v/>
      </c>
      <c r="W126" t="str">
        <f>IFERROR(RANK(V126,V$12:V$211,1)+COUNTIF(V$12:V126,V126)-1,"")</f>
        <v/>
      </c>
      <c r="Z126">
        <v>115</v>
      </c>
      <c r="AA126" s="422" t="str">
        <f t="shared" si="46"/>
        <v/>
      </c>
      <c r="AB126" s="498" t="str">
        <f t="shared" si="47"/>
        <v/>
      </c>
      <c r="AC126" s="423" t="str">
        <f t="shared" si="38"/>
        <v/>
      </c>
      <c r="AD126" s="470" t="str">
        <f t="shared" si="39"/>
        <v/>
      </c>
      <c r="AE126" s="468" t="str">
        <f t="shared" si="40"/>
        <v/>
      </c>
      <c r="AF126" s="457" t="str">
        <f t="shared" si="41"/>
        <v/>
      </c>
      <c r="AG126" s="472" t="str">
        <f t="shared" si="42"/>
        <v/>
      </c>
      <c r="AH126" s="490"/>
      <c r="AI126" s="488"/>
    </row>
    <row r="127" spans="1:39" x14ac:dyDescent="0.25">
      <c r="A127" t="str">
        <f>'New order'!U129</f>
        <v/>
      </c>
      <c r="B127" t="str">
        <f>'New order'!V129</f>
        <v/>
      </c>
      <c r="C127">
        <f>'New order'!AT129</f>
        <v>10</v>
      </c>
      <c r="D127" t="str">
        <f>'New order'!Y129</f>
        <v/>
      </c>
      <c r="E127">
        <f t="shared" si="26"/>
        <v>1</v>
      </c>
      <c r="F127">
        <f t="shared" si="27"/>
        <v>0</v>
      </c>
      <c r="G127" t="str">
        <f>'New order'!T129</f>
        <v/>
      </c>
      <c r="H127">
        <f>COUNTIF(C$12:C127,C127)</f>
        <v>116</v>
      </c>
      <c r="I127">
        <v>1</v>
      </c>
      <c r="J127">
        <f t="shared" si="28"/>
        <v>200</v>
      </c>
      <c r="K127" t="str">
        <f t="shared" si="45"/>
        <v/>
      </c>
      <c r="L127" t="str">
        <f t="shared" si="43"/>
        <v/>
      </c>
      <c r="M127" t="str">
        <f>IF(L127&lt;&gt;"",1+COUNT(M$12:M126),"")</f>
        <v/>
      </c>
      <c r="N127" t="str">
        <f t="shared" si="29"/>
        <v/>
      </c>
      <c r="O127" t="str">
        <f t="shared" si="30"/>
        <v/>
      </c>
      <c r="P127" t="str">
        <f t="shared" si="31"/>
        <v/>
      </c>
      <c r="Q127" t="str">
        <f t="shared" si="32"/>
        <v/>
      </c>
      <c r="R127" t="str">
        <f t="shared" si="33"/>
        <v/>
      </c>
      <c r="S127" t="str">
        <f t="shared" si="34"/>
        <v/>
      </c>
      <c r="T127" t="str">
        <f t="shared" si="35"/>
        <v/>
      </c>
      <c r="U127">
        <f t="shared" si="36"/>
        <v>0</v>
      </c>
      <c r="V127" t="str">
        <f t="shared" si="37"/>
        <v/>
      </c>
      <c r="W127" t="str">
        <f>IFERROR(RANK(V127,V$12:V$211,1)+COUNTIF(V$12:V127,V127)-1,"")</f>
        <v/>
      </c>
      <c r="Z127">
        <v>116</v>
      </c>
      <c r="AA127" s="422" t="str">
        <f t="shared" si="46"/>
        <v/>
      </c>
      <c r="AB127" s="498" t="str">
        <f t="shared" si="47"/>
        <v/>
      </c>
      <c r="AC127" s="423" t="str">
        <f t="shared" si="38"/>
        <v/>
      </c>
      <c r="AD127" s="470" t="str">
        <f t="shared" si="39"/>
        <v/>
      </c>
      <c r="AE127" s="468" t="str">
        <f t="shared" si="40"/>
        <v/>
      </c>
      <c r="AF127" s="457" t="str">
        <f t="shared" si="41"/>
        <v/>
      </c>
      <c r="AG127" s="472" t="str">
        <f t="shared" si="42"/>
        <v/>
      </c>
      <c r="AH127" s="490"/>
      <c r="AI127" s="488"/>
    </row>
    <row r="128" spans="1:39" x14ac:dyDescent="0.25">
      <c r="A128" t="str">
        <f>'New order'!U130</f>
        <v/>
      </c>
      <c r="B128" t="str">
        <f>'New order'!V130</f>
        <v/>
      </c>
      <c r="C128">
        <f>'New order'!AT130</f>
        <v>10</v>
      </c>
      <c r="D128" t="str">
        <f>'New order'!Y130</f>
        <v/>
      </c>
      <c r="E128">
        <f t="shared" si="26"/>
        <v>1</v>
      </c>
      <c r="F128">
        <f t="shared" si="27"/>
        <v>0</v>
      </c>
      <c r="G128" t="str">
        <f>'New order'!T130</f>
        <v/>
      </c>
      <c r="H128">
        <f>COUNTIF(C$12:C128,C128)</f>
        <v>117</v>
      </c>
      <c r="I128">
        <v>1</v>
      </c>
      <c r="J128">
        <f>SUMIFS(I$12:I$211,A$12:A$211,A128,B$12:B$211,B128,C$12:C$211,C128)</f>
        <v>200</v>
      </c>
      <c r="K128" t="str">
        <f t="shared" si="45"/>
        <v/>
      </c>
      <c r="L128" t="str">
        <f t="shared" si="43"/>
        <v/>
      </c>
      <c r="M128" t="str">
        <f>IF(L128&lt;&gt;"",1+COUNT(M$12:M127),"")</f>
        <v/>
      </c>
      <c r="N128" t="str">
        <f t="shared" si="29"/>
        <v/>
      </c>
      <c r="O128" t="str">
        <f t="shared" si="30"/>
        <v/>
      </c>
      <c r="P128" t="str">
        <f>IF(M128&lt;&gt;"",J128,"")</f>
        <v/>
      </c>
      <c r="Q128" t="str">
        <f t="shared" si="32"/>
        <v/>
      </c>
      <c r="R128" t="str">
        <f t="shared" si="33"/>
        <v/>
      </c>
      <c r="S128" t="str">
        <f t="shared" si="34"/>
        <v/>
      </c>
      <c r="T128" t="str">
        <f t="shared" si="35"/>
        <v/>
      </c>
      <c r="U128">
        <f t="shared" si="36"/>
        <v>0</v>
      </c>
      <c r="V128" t="str">
        <f t="shared" si="37"/>
        <v/>
      </c>
      <c r="W128" t="str">
        <f>IFERROR(RANK(V128,V$12:V$211,1)+COUNTIF(V$12:V128,V128)-1,"")</f>
        <v/>
      </c>
      <c r="Z128">
        <v>117</v>
      </c>
      <c r="AA128" s="422" t="str">
        <f t="shared" si="46"/>
        <v/>
      </c>
      <c r="AB128" s="498" t="str">
        <f t="shared" si="47"/>
        <v/>
      </c>
      <c r="AC128" s="423" t="str">
        <f t="shared" si="38"/>
        <v/>
      </c>
      <c r="AD128" s="470" t="str">
        <f t="shared" si="39"/>
        <v/>
      </c>
      <c r="AE128" s="468" t="str">
        <f t="shared" si="40"/>
        <v/>
      </c>
      <c r="AF128" s="457" t="str">
        <f t="shared" si="41"/>
        <v/>
      </c>
      <c r="AG128" s="472" t="str">
        <f t="shared" si="42"/>
        <v/>
      </c>
      <c r="AH128" s="490"/>
      <c r="AI128" s="488"/>
    </row>
    <row r="129" spans="1:35" x14ac:dyDescent="0.25">
      <c r="A129" t="str">
        <f>'New order'!U131</f>
        <v/>
      </c>
      <c r="B129" t="str">
        <f>'New order'!V131</f>
        <v/>
      </c>
      <c r="C129">
        <f>'New order'!AT131</f>
        <v>10</v>
      </c>
      <c r="D129" t="str">
        <f>'New order'!Y131</f>
        <v/>
      </c>
      <c r="E129">
        <f t="shared" si="26"/>
        <v>1</v>
      </c>
      <c r="F129">
        <f t="shared" si="27"/>
        <v>0</v>
      </c>
      <c r="G129" t="str">
        <f>'New order'!T131</f>
        <v/>
      </c>
      <c r="H129">
        <f>COUNTIF(C$12:C129,C129)</f>
        <v>118</v>
      </c>
      <c r="I129">
        <v>1</v>
      </c>
      <c r="J129">
        <f t="shared" si="28"/>
        <v>200</v>
      </c>
      <c r="K129" t="str">
        <f t="shared" si="45"/>
        <v/>
      </c>
      <c r="L129" t="str">
        <f t="shared" si="43"/>
        <v/>
      </c>
      <c r="M129" t="str">
        <f>IF(L129&lt;&gt;"",1+COUNT(M$12:M128),"")</f>
        <v/>
      </c>
      <c r="N129" t="str">
        <f t="shared" si="29"/>
        <v/>
      </c>
      <c r="O129" t="str">
        <f t="shared" si="30"/>
        <v/>
      </c>
      <c r="P129" t="str">
        <f t="shared" si="31"/>
        <v/>
      </c>
      <c r="Q129" t="str">
        <f t="shared" si="32"/>
        <v/>
      </c>
      <c r="R129" t="str">
        <f t="shared" si="33"/>
        <v/>
      </c>
      <c r="S129" t="str">
        <f t="shared" si="34"/>
        <v/>
      </c>
      <c r="T129" t="str">
        <f t="shared" si="35"/>
        <v/>
      </c>
      <c r="U129">
        <f t="shared" si="36"/>
        <v>0</v>
      </c>
      <c r="V129" t="str">
        <f t="shared" si="37"/>
        <v/>
      </c>
      <c r="W129" t="str">
        <f>IFERROR(RANK(V129,V$12:V$211,1)+COUNTIF(V$12:V129,V129)-1,"")</f>
        <v/>
      </c>
      <c r="Z129">
        <v>118</v>
      </c>
      <c r="AA129" s="422" t="str">
        <f t="shared" si="46"/>
        <v/>
      </c>
      <c r="AB129" s="498" t="str">
        <f t="shared" si="47"/>
        <v/>
      </c>
      <c r="AC129" s="423" t="str">
        <f t="shared" si="38"/>
        <v/>
      </c>
      <c r="AD129" s="470" t="str">
        <f t="shared" si="39"/>
        <v/>
      </c>
      <c r="AE129" s="468" t="str">
        <f t="shared" si="40"/>
        <v/>
      </c>
      <c r="AF129" s="457" t="str">
        <f t="shared" si="41"/>
        <v/>
      </c>
      <c r="AG129" s="472" t="str">
        <f t="shared" si="42"/>
        <v/>
      </c>
      <c r="AH129" s="490"/>
      <c r="AI129" s="488"/>
    </row>
    <row r="130" spans="1:35" x14ac:dyDescent="0.25">
      <c r="A130" t="str">
        <f>'New order'!U132</f>
        <v/>
      </c>
      <c r="B130" t="str">
        <f>'New order'!V132</f>
        <v/>
      </c>
      <c r="C130">
        <f>'New order'!AT132</f>
        <v>10</v>
      </c>
      <c r="D130" t="str">
        <f>'New order'!Y132</f>
        <v/>
      </c>
      <c r="E130">
        <f t="shared" si="26"/>
        <v>1</v>
      </c>
      <c r="F130">
        <f t="shared" si="27"/>
        <v>0</v>
      </c>
      <c r="G130" t="str">
        <f>'New order'!T132</f>
        <v/>
      </c>
      <c r="H130">
        <f>COUNTIF(C$12:C130,C130)</f>
        <v>119</v>
      </c>
      <c r="I130">
        <v>1</v>
      </c>
      <c r="J130">
        <f t="shared" si="28"/>
        <v>200</v>
      </c>
      <c r="K130" t="str">
        <f t="shared" si="45"/>
        <v/>
      </c>
      <c r="L130" t="str">
        <f t="shared" si="43"/>
        <v/>
      </c>
      <c r="M130" t="str">
        <f>IF(L130&lt;&gt;"",1+COUNT(M$12:M129),"")</f>
        <v/>
      </c>
      <c r="N130" t="str">
        <f t="shared" si="29"/>
        <v/>
      </c>
      <c r="O130" t="str">
        <f t="shared" si="30"/>
        <v/>
      </c>
      <c r="P130" t="str">
        <f t="shared" si="31"/>
        <v/>
      </c>
      <c r="Q130" t="str">
        <f t="shared" si="32"/>
        <v/>
      </c>
      <c r="R130" t="str">
        <f t="shared" si="33"/>
        <v/>
      </c>
      <c r="S130" t="str">
        <f t="shared" si="34"/>
        <v/>
      </c>
      <c r="T130" t="str">
        <f t="shared" si="35"/>
        <v/>
      </c>
      <c r="U130">
        <f t="shared" si="36"/>
        <v>0</v>
      </c>
      <c r="V130" t="str">
        <f t="shared" si="37"/>
        <v/>
      </c>
      <c r="W130" t="str">
        <f>IFERROR(RANK(V130,V$12:V$211,1)+COUNTIF(V$12:V130,V130)-1,"")</f>
        <v/>
      </c>
      <c r="Z130">
        <v>119</v>
      </c>
      <c r="AA130" s="422" t="str">
        <f t="shared" si="46"/>
        <v/>
      </c>
      <c r="AB130" s="498" t="str">
        <f t="shared" si="47"/>
        <v/>
      </c>
      <c r="AC130" s="423" t="str">
        <f t="shared" si="38"/>
        <v/>
      </c>
      <c r="AD130" s="470" t="str">
        <f t="shared" si="39"/>
        <v/>
      </c>
      <c r="AE130" s="468" t="str">
        <f t="shared" si="40"/>
        <v/>
      </c>
      <c r="AF130" s="457" t="str">
        <f t="shared" si="41"/>
        <v/>
      </c>
      <c r="AG130" s="472" t="str">
        <f t="shared" si="42"/>
        <v/>
      </c>
      <c r="AH130" s="490"/>
      <c r="AI130" s="488"/>
    </row>
    <row r="131" spans="1:35" x14ac:dyDescent="0.25">
      <c r="A131" t="str">
        <f>'New order'!U133</f>
        <v/>
      </c>
      <c r="B131" t="str">
        <f>'New order'!V133</f>
        <v/>
      </c>
      <c r="C131">
        <f>'New order'!AT133</f>
        <v>10</v>
      </c>
      <c r="D131" t="str">
        <f>'New order'!Y133</f>
        <v/>
      </c>
      <c r="E131">
        <f t="shared" si="26"/>
        <v>1</v>
      </c>
      <c r="F131">
        <f t="shared" si="27"/>
        <v>0</v>
      </c>
      <c r="G131" t="str">
        <f>'New order'!T133</f>
        <v/>
      </c>
      <c r="H131">
        <f>COUNTIF(C$12:C131,C131)</f>
        <v>120</v>
      </c>
      <c r="I131">
        <v>1</v>
      </c>
      <c r="J131">
        <f t="shared" si="28"/>
        <v>200</v>
      </c>
      <c r="K131" t="str">
        <f t="shared" si="45"/>
        <v/>
      </c>
      <c r="L131" t="str">
        <f t="shared" si="43"/>
        <v/>
      </c>
      <c r="M131" t="str">
        <f>IF(L131&lt;&gt;"",1+COUNT(M$12:M130),"")</f>
        <v/>
      </c>
      <c r="N131" t="str">
        <f t="shared" si="29"/>
        <v/>
      </c>
      <c r="O131" t="str">
        <f t="shared" si="30"/>
        <v/>
      </c>
      <c r="P131" t="str">
        <f t="shared" si="31"/>
        <v/>
      </c>
      <c r="Q131" t="str">
        <f t="shared" si="32"/>
        <v/>
      </c>
      <c r="R131" t="str">
        <f t="shared" si="33"/>
        <v/>
      </c>
      <c r="S131" t="str">
        <f t="shared" si="34"/>
        <v/>
      </c>
      <c r="T131" t="str">
        <f t="shared" si="35"/>
        <v/>
      </c>
      <c r="U131">
        <f t="shared" si="36"/>
        <v>0</v>
      </c>
      <c r="V131" t="str">
        <f t="shared" si="37"/>
        <v/>
      </c>
      <c r="W131" t="str">
        <f>IFERROR(RANK(V131,V$12:V$211,1)+COUNTIF(V$12:V131,V131)-1,"")</f>
        <v/>
      </c>
      <c r="Z131">
        <v>120</v>
      </c>
      <c r="AA131" s="422" t="str">
        <f t="shared" si="46"/>
        <v/>
      </c>
      <c r="AB131" s="498" t="str">
        <f t="shared" si="47"/>
        <v/>
      </c>
      <c r="AC131" s="423" t="str">
        <f t="shared" si="38"/>
        <v/>
      </c>
      <c r="AD131" s="470" t="str">
        <f t="shared" si="39"/>
        <v/>
      </c>
      <c r="AE131" s="468" t="str">
        <f t="shared" si="40"/>
        <v/>
      </c>
      <c r="AF131" s="457" t="str">
        <f t="shared" si="41"/>
        <v/>
      </c>
      <c r="AG131" s="472" t="str">
        <f t="shared" si="42"/>
        <v/>
      </c>
      <c r="AH131" s="490"/>
      <c r="AI131" s="488"/>
    </row>
    <row r="132" spans="1:35" x14ac:dyDescent="0.25">
      <c r="A132" t="str">
        <f>'New order'!U134</f>
        <v/>
      </c>
      <c r="B132" t="str">
        <f>'New order'!V134</f>
        <v/>
      </c>
      <c r="C132">
        <f>'New order'!AT134</f>
        <v>10</v>
      </c>
      <c r="D132" t="str">
        <f>'New order'!Y134</f>
        <v/>
      </c>
      <c r="E132">
        <f t="shared" si="26"/>
        <v>1</v>
      </c>
      <c r="F132">
        <f t="shared" si="27"/>
        <v>0</v>
      </c>
      <c r="G132" t="str">
        <f>'New order'!T134</f>
        <v/>
      </c>
      <c r="H132">
        <f>COUNTIF(C$12:C132,C132)</f>
        <v>121</v>
      </c>
      <c r="I132">
        <v>1</v>
      </c>
      <c r="J132">
        <f t="shared" si="28"/>
        <v>200</v>
      </c>
      <c r="K132" t="str">
        <f t="shared" si="45"/>
        <v/>
      </c>
      <c r="L132" t="str">
        <f t="shared" si="43"/>
        <v/>
      </c>
      <c r="M132" t="str">
        <f>IF(L132&lt;&gt;"",1+COUNT(M$12:M131),"")</f>
        <v/>
      </c>
      <c r="N132" t="str">
        <f t="shared" si="29"/>
        <v/>
      </c>
      <c r="O132" t="str">
        <f t="shared" si="30"/>
        <v/>
      </c>
      <c r="P132" t="str">
        <f t="shared" si="31"/>
        <v/>
      </c>
      <c r="Q132" t="str">
        <f t="shared" si="32"/>
        <v/>
      </c>
      <c r="R132" t="str">
        <f t="shared" si="33"/>
        <v/>
      </c>
      <c r="S132" t="str">
        <f t="shared" si="34"/>
        <v/>
      </c>
      <c r="T132" t="str">
        <f t="shared" si="35"/>
        <v/>
      </c>
      <c r="U132">
        <f t="shared" si="36"/>
        <v>0</v>
      </c>
      <c r="V132" t="str">
        <f t="shared" si="37"/>
        <v/>
      </c>
      <c r="W132" t="str">
        <f>IFERROR(RANK(V132,V$12:V$211,1)+COUNTIF(V$12:V132,V132)-1,"")</f>
        <v/>
      </c>
      <c r="Z132">
        <v>121</v>
      </c>
      <c r="AA132" s="422" t="str">
        <f t="shared" si="46"/>
        <v/>
      </c>
      <c r="AB132" s="498" t="str">
        <f t="shared" si="47"/>
        <v/>
      </c>
      <c r="AC132" s="423" t="str">
        <f t="shared" si="38"/>
        <v/>
      </c>
      <c r="AD132" s="470" t="str">
        <f t="shared" si="39"/>
        <v/>
      </c>
      <c r="AE132" s="468" t="str">
        <f t="shared" si="40"/>
        <v/>
      </c>
      <c r="AF132" s="457" t="str">
        <f t="shared" si="41"/>
        <v/>
      </c>
      <c r="AG132" s="472" t="str">
        <f t="shared" si="42"/>
        <v/>
      </c>
      <c r="AH132" s="490"/>
      <c r="AI132" s="488"/>
    </row>
    <row r="133" spans="1:35" x14ac:dyDescent="0.25">
      <c r="A133" t="str">
        <f>'New order'!U135</f>
        <v/>
      </c>
      <c r="B133" t="str">
        <f>'New order'!V135</f>
        <v/>
      </c>
      <c r="C133">
        <f>'New order'!AT135</f>
        <v>10</v>
      </c>
      <c r="D133" t="str">
        <f>'New order'!Y135</f>
        <v/>
      </c>
      <c r="E133">
        <f t="shared" si="26"/>
        <v>1</v>
      </c>
      <c r="F133">
        <f t="shared" si="27"/>
        <v>0</v>
      </c>
      <c r="G133" t="str">
        <f>'New order'!T135</f>
        <v/>
      </c>
      <c r="H133">
        <f>COUNTIF(C$12:C133,C133)</f>
        <v>122</v>
      </c>
      <c r="I133">
        <v>1</v>
      </c>
      <c r="J133">
        <f t="shared" si="28"/>
        <v>200</v>
      </c>
      <c r="K133" t="str">
        <f t="shared" si="45"/>
        <v/>
      </c>
      <c r="L133" t="str">
        <f t="shared" si="43"/>
        <v/>
      </c>
      <c r="M133" t="str">
        <f>IF(L133&lt;&gt;"",1+COUNT(M$12:M132),"")</f>
        <v/>
      </c>
      <c r="N133" t="str">
        <f t="shared" si="29"/>
        <v/>
      </c>
      <c r="O133" t="str">
        <f t="shared" si="30"/>
        <v/>
      </c>
      <c r="P133" t="str">
        <f t="shared" si="31"/>
        <v/>
      </c>
      <c r="Q133" t="str">
        <f t="shared" si="32"/>
        <v/>
      </c>
      <c r="R133" t="str">
        <f t="shared" si="33"/>
        <v/>
      </c>
      <c r="S133" t="str">
        <f t="shared" si="34"/>
        <v/>
      </c>
      <c r="T133" t="str">
        <f t="shared" si="35"/>
        <v/>
      </c>
      <c r="U133">
        <f t="shared" si="36"/>
        <v>0</v>
      </c>
      <c r="V133" t="str">
        <f t="shared" si="37"/>
        <v/>
      </c>
      <c r="W133" t="str">
        <f>IFERROR(RANK(V133,V$12:V$211,1)+COUNTIF(V$12:V133,V133)-1,"")</f>
        <v/>
      </c>
      <c r="Z133">
        <v>122</v>
      </c>
      <c r="AA133" s="422" t="str">
        <f t="shared" si="46"/>
        <v/>
      </c>
      <c r="AB133" s="498" t="str">
        <f t="shared" si="47"/>
        <v/>
      </c>
      <c r="AC133" s="423" t="str">
        <f t="shared" si="38"/>
        <v/>
      </c>
      <c r="AD133" s="470" t="str">
        <f t="shared" si="39"/>
        <v/>
      </c>
      <c r="AE133" s="468" t="str">
        <f t="shared" si="40"/>
        <v/>
      </c>
      <c r="AF133" s="457" t="str">
        <f t="shared" si="41"/>
        <v/>
      </c>
      <c r="AG133" s="472" t="str">
        <f t="shared" si="42"/>
        <v/>
      </c>
      <c r="AH133" s="490"/>
      <c r="AI133" s="488"/>
    </row>
    <row r="134" spans="1:35" x14ac:dyDescent="0.25">
      <c r="A134" t="str">
        <f>'New order'!U136</f>
        <v/>
      </c>
      <c r="B134" t="str">
        <f>'New order'!V136</f>
        <v/>
      </c>
      <c r="C134">
        <f>'New order'!AT136</f>
        <v>10</v>
      </c>
      <c r="D134" t="str">
        <f>'New order'!Y136</f>
        <v/>
      </c>
      <c r="E134">
        <f t="shared" si="26"/>
        <v>1</v>
      </c>
      <c r="F134">
        <f t="shared" si="27"/>
        <v>0</v>
      </c>
      <c r="G134" t="str">
        <f>'New order'!T136</f>
        <v/>
      </c>
      <c r="H134">
        <f>COUNTIF(C$12:C134,C134)</f>
        <v>123</v>
      </c>
      <c r="I134">
        <v>1</v>
      </c>
      <c r="J134">
        <f t="shared" si="28"/>
        <v>200</v>
      </c>
      <c r="K134" t="str">
        <f t="shared" si="45"/>
        <v/>
      </c>
      <c r="L134" t="str">
        <f t="shared" si="43"/>
        <v/>
      </c>
      <c r="M134" t="str">
        <f>IF(L134&lt;&gt;"",1+COUNT(M$12:M133),"")</f>
        <v/>
      </c>
      <c r="N134" t="str">
        <f t="shared" si="29"/>
        <v/>
      </c>
      <c r="O134" t="str">
        <f t="shared" si="30"/>
        <v/>
      </c>
      <c r="P134" t="str">
        <f t="shared" si="31"/>
        <v/>
      </c>
      <c r="Q134" t="str">
        <f t="shared" si="32"/>
        <v/>
      </c>
      <c r="R134" t="str">
        <f t="shared" si="33"/>
        <v/>
      </c>
      <c r="S134" t="str">
        <f t="shared" si="34"/>
        <v/>
      </c>
      <c r="T134" t="str">
        <f t="shared" si="35"/>
        <v/>
      </c>
      <c r="U134">
        <f t="shared" si="36"/>
        <v>0</v>
      </c>
      <c r="V134" t="str">
        <f t="shared" si="37"/>
        <v/>
      </c>
      <c r="W134" t="str">
        <f>IFERROR(RANK(V134,V$12:V$211,1)+COUNTIF(V$12:V134,V134)-1,"")</f>
        <v/>
      </c>
      <c r="Z134">
        <v>123</v>
      </c>
      <c r="AA134" s="422" t="str">
        <f t="shared" si="46"/>
        <v/>
      </c>
      <c r="AB134" s="498" t="str">
        <f t="shared" si="47"/>
        <v/>
      </c>
      <c r="AC134" s="423" t="str">
        <f t="shared" si="38"/>
        <v/>
      </c>
      <c r="AD134" s="470" t="str">
        <f t="shared" si="39"/>
        <v/>
      </c>
      <c r="AE134" s="468" t="str">
        <f t="shared" si="40"/>
        <v/>
      </c>
      <c r="AF134" s="457" t="str">
        <f t="shared" si="41"/>
        <v/>
      </c>
      <c r="AG134" s="472" t="str">
        <f t="shared" si="42"/>
        <v/>
      </c>
      <c r="AH134" s="490"/>
      <c r="AI134" s="488"/>
    </row>
    <row r="135" spans="1:35" x14ac:dyDescent="0.25">
      <c r="A135" t="str">
        <f>'New order'!U137</f>
        <v/>
      </c>
      <c r="B135" t="str">
        <f>'New order'!V137</f>
        <v/>
      </c>
      <c r="C135">
        <f>'New order'!AT137</f>
        <v>10</v>
      </c>
      <c r="D135" t="str">
        <f>'New order'!Y137</f>
        <v/>
      </c>
      <c r="E135">
        <f t="shared" si="26"/>
        <v>1</v>
      </c>
      <c r="F135">
        <f t="shared" si="27"/>
        <v>0</v>
      </c>
      <c r="G135" t="str">
        <f>'New order'!T137</f>
        <v/>
      </c>
      <c r="H135">
        <f>COUNTIF(C$12:C135,C135)</f>
        <v>124</v>
      </c>
      <c r="I135">
        <v>1</v>
      </c>
      <c r="J135">
        <f t="shared" si="28"/>
        <v>200</v>
      </c>
      <c r="K135" t="str">
        <f t="shared" si="45"/>
        <v/>
      </c>
      <c r="L135" t="str">
        <f t="shared" si="43"/>
        <v/>
      </c>
      <c r="M135" t="str">
        <f>IF(L135&lt;&gt;"",1+COUNT(M$12:M134),"")</f>
        <v/>
      </c>
      <c r="N135" t="str">
        <f t="shared" si="29"/>
        <v/>
      </c>
      <c r="O135" t="str">
        <f t="shared" si="30"/>
        <v/>
      </c>
      <c r="P135" t="str">
        <f t="shared" si="31"/>
        <v/>
      </c>
      <c r="Q135" t="str">
        <f t="shared" si="32"/>
        <v/>
      </c>
      <c r="R135" t="str">
        <f t="shared" si="33"/>
        <v/>
      </c>
      <c r="S135" t="str">
        <f t="shared" si="34"/>
        <v/>
      </c>
      <c r="T135" t="str">
        <f t="shared" si="35"/>
        <v/>
      </c>
      <c r="U135">
        <f t="shared" si="36"/>
        <v>0</v>
      </c>
      <c r="V135" t="str">
        <f t="shared" si="37"/>
        <v/>
      </c>
      <c r="W135" t="str">
        <f>IFERROR(RANK(V135,V$12:V$211,1)+COUNTIF(V$12:V135,V135)-1,"")</f>
        <v/>
      </c>
      <c r="Z135">
        <v>124</v>
      </c>
      <c r="AA135" s="422" t="str">
        <f t="shared" si="46"/>
        <v/>
      </c>
      <c r="AB135" s="498" t="str">
        <f t="shared" si="47"/>
        <v/>
      </c>
      <c r="AC135" s="423" t="str">
        <f t="shared" si="38"/>
        <v/>
      </c>
      <c r="AD135" s="470" t="str">
        <f t="shared" si="39"/>
        <v/>
      </c>
      <c r="AE135" s="468" t="str">
        <f t="shared" si="40"/>
        <v/>
      </c>
      <c r="AF135" s="457" t="str">
        <f t="shared" si="41"/>
        <v/>
      </c>
      <c r="AG135" s="472" t="str">
        <f t="shared" si="42"/>
        <v/>
      </c>
      <c r="AH135" s="490"/>
      <c r="AI135" s="488"/>
    </row>
    <row r="136" spans="1:35" x14ac:dyDescent="0.25">
      <c r="A136" t="str">
        <f>'New order'!U138</f>
        <v/>
      </c>
      <c r="B136" t="str">
        <f>'New order'!V138</f>
        <v/>
      </c>
      <c r="C136">
        <f>'New order'!AT138</f>
        <v>10</v>
      </c>
      <c r="D136" t="str">
        <f>'New order'!Y138</f>
        <v/>
      </c>
      <c r="E136">
        <f t="shared" si="26"/>
        <v>1</v>
      </c>
      <c r="F136">
        <f t="shared" si="27"/>
        <v>0</v>
      </c>
      <c r="G136" t="str">
        <f>'New order'!T138</f>
        <v/>
      </c>
      <c r="H136">
        <f>COUNTIF(C$12:C136,C136)</f>
        <v>125</v>
      </c>
      <c r="I136">
        <v>1</v>
      </c>
      <c r="J136">
        <f t="shared" si="28"/>
        <v>200</v>
      </c>
      <c r="K136" t="str">
        <f t="shared" si="45"/>
        <v/>
      </c>
      <c r="L136" t="str">
        <f t="shared" si="43"/>
        <v/>
      </c>
      <c r="M136" t="str">
        <f>IF(L136&lt;&gt;"",1+COUNT(M$12:M135),"")</f>
        <v/>
      </c>
      <c r="N136" t="str">
        <f t="shared" si="29"/>
        <v/>
      </c>
      <c r="O136" t="str">
        <f t="shared" si="30"/>
        <v/>
      </c>
      <c r="P136" t="str">
        <f t="shared" si="31"/>
        <v/>
      </c>
      <c r="Q136" t="str">
        <f t="shared" si="32"/>
        <v/>
      </c>
      <c r="R136" t="str">
        <f t="shared" si="33"/>
        <v/>
      </c>
      <c r="S136" t="str">
        <f t="shared" si="34"/>
        <v/>
      </c>
      <c r="T136" t="str">
        <f t="shared" si="35"/>
        <v/>
      </c>
      <c r="U136">
        <f t="shared" si="36"/>
        <v>0</v>
      </c>
      <c r="V136" t="str">
        <f t="shared" si="37"/>
        <v/>
      </c>
      <c r="W136" t="str">
        <f>IFERROR(RANK(V136,V$12:V$211,1)+COUNTIF(V$12:V136,V136)-1,"")</f>
        <v/>
      </c>
      <c r="Z136">
        <v>125</v>
      </c>
      <c r="AA136" s="422" t="str">
        <f t="shared" si="46"/>
        <v/>
      </c>
      <c r="AB136" s="498" t="str">
        <f t="shared" si="47"/>
        <v/>
      </c>
      <c r="AC136" s="423" t="str">
        <f t="shared" si="38"/>
        <v/>
      </c>
      <c r="AD136" s="470" t="str">
        <f t="shared" si="39"/>
        <v/>
      </c>
      <c r="AE136" s="468" t="str">
        <f t="shared" si="40"/>
        <v/>
      </c>
      <c r="AF136" s="457" t="str">
        <f t="shared" si="41"/>
        <v/>
      </c>
      <c r="AG136" s="472" t="str">
        <f t="shared" si="42"/>
        <v/>
      </c>
      <c r="AH136" s="490"/>
      <c r="AI136" s="488"/>
    </row>
    <row r="137" spans="1:35" x14ac:dyDescent="0.25">
      <c r="A137" t="str">
        <f>'New order'!U139</f>
        <v/>
      </c>
      <c r="B137" t="str">
        <f>'New order'!V139</f>
        <v/>
      </c>
      <c r="C137">
        <f>'New order'!AT139</f>
        <v>10</v>
      </c>
      <c r="D137" t="str">
        <f>'New order'!Y139</f>
        <v/>
      </c>
      <c r="E137">
        <f t="shared" si="26"/>
        <v>1</v>
      </c>
      <c r="F137">
        <f t="shared" si="27"/>
        <v>0</v>
      </c>
      <c r="G137" t="str">
        <f>'New order'!T139</f>
        <v/>
      </c>
      <c r="H137">
        <f>COUNTIF(C$12:C137,C137)</f>
        <v>126</v>
      </c>
      <c r="I137">
        <v>1</v>
      </c>
      <c r="J137">
        <f t="shared" si="28"/>
        <v>200</v>
      </c>
      <c r="K137" t="str">
        <f t="shared" si="45"/>
        <v/>
      </c>
      <c r="L137" t="str">
        <f t="shared" si="43"/>
        <v/>
      </c>
      <c r="M137" t="str">
        <f>IF(L137&lt;&gt;"",1+COUNT(M$12:M136),"")</f>
        <v/>
      </c>
      <c r="N137" t="str">
        <f t="shared" si="29"/>
        <v/>
      </c>
      <c r="O137" t="str">
        <f t="shared" si="30"/>
        <v/>
      </c>
      <c r="P137" t="str">
        <f t="shared" si="31"/>
        <v/>
      </c>
      <c r="Q137" t="str">
        <f t="shared" si="32"/>
        <v/>
      </c>
      <c r="R137" t="str">
        <f t="shared" si="33"/>
        <v/>
      </c>
      <c r="S137" t="str">
        <f t="shared" si="34"/>
        <v/>
      </c>
      <c r="T137" t="str">
        <f t="shared" si="35"/>
        <v/>
      </c>
      <c r="U137">
        <f t="shared" si="36"/>
        <v>0</v>
      </c>
      <c r="V137" t="str">
        <f t="shared" si="37"/>
        <v/>
      </c>
      <c r="W137" t="str">
        <f>IFERROR(RANK(V137,V$12:V$211,1)+COUNTIF(V$12:V137,V137)-1,"")</f>
        <v/>
      </c>
      <c r="Z137">
        <v>126</v>
      </c>
      <c r="AA137" s="422" t="str">
        <f t="shared" si="46"/>
        <v/>
      </c>
      <c r="AB137" s="498" t="str">
        <f t="shared" si="47"/>
        <v/>
      </c>
      <c r="AC137" s="423" t="str">
        <f t="shared" si="38"/>
        <v/>
      </c>
      <c r="AD137" s="470" t="str">
        <f t="shared" si="39"/>
        <v/>
      </c>
      <c r="AE137" s="468" t="str">
        <f t="shared" si="40"/>
        <v/>
      </c>
      <c r="AF137" s="457" t="str">
        <f t="shared" si="41"/>
        <v/>
      </c>
      <c r="AG137" s="472" t="str">
        <f t="shared" si="42"/>
        <v/>
      </c>
      <c r="AH137" s="490"/>
      <c r="AI137" s="488"/>
    </row>
    <row r="138" spans="1:35" x14ac:dyDescent="0.25">
      <c r="A138" t="str">
        <f>'New order'!U140</f>
        <v/>
      </c>
      <c r="B138" t="str">
        <f>'New order'!V140</f>
        <v/>
      </c>
      <c r="C138">
        <f>'New order'!AT140</f>
        <v>10</v>
      </c>
      <c r="D138" t="str">
        <f>'New order'!Y140</f>
        <v/>
      </c>
      <c r="E138">
        <f t="shared" si="26"/>
        <v>1</v>
      </c>
      <c r="F138">
        <f t="shared" si="27"/>
        <v>0</v>
      </c>
      <c r="G138" t="str">
        <f>'New order'!T140</f>
        <v/>
      </c>
      <c r="H138">
        <f>COUNTIF(C$12:C138,C138)</f>
        <v>127</v>
      </c>
      <c r="I138">
        <v>1</v>
      </c>
      <c r="J138">
        <f t="shared" si="28"/>
        <v>200</v>
      </c>
      <c r="K138" t="str">
        <f t="shared" si="45"/>
        <v/>
      </c>
      <c r="L138" t="str">
        <f t="shared" si="43"/>
        <v/>
      </c>
      <c r="M138" t="str">
        <f>IF(L138&lt;&gt;"",1+COUNT(M$12:M137),"")</f>
        <v/>
      </c>
      <c r="N138" t="str">
        <f t="shared" si="29"/>
        <v/>
      </c>
      <c r="O138" t="str">
        <f t="shared" si="30"/>
        <v/>
      </c>
      <c r="P138" t="str">
        <f t="shared" si="31"/>
        <v/>
      </c>
      <c r="Q138" t="str">
        <f t="shared" si="32"/>
        <v/>
      </c>
      <c r="R138" t="str">
        <f t="shared" si="33"/>
        <v/>
      </c>
      <c r="S138" t="str">
        <f t="shared" si="34"/>
        <v/>
      </c>
      <c r="T138" t="str">
        <f t="shared" si="35"/>
        <v/>
      </c>
      <c r="U138">
        <f t="shared" si="36"/>
        <v>0</v>
      </c>
      <c r="V138" t="str">
        <f t="shared" si="37"/>
        <v/>
      </c>
      <c r="W138" t="str">
        <f>IFERROR(RANK(V138,V$12:V$211,1)+COUNTIF(V$12:V138,V138)-1,"")</f>
        <v/>
      </c>
      <c r="Z138">
        <v>127</v>
      </c>
      <c r="AA138" s="422" t="str">
        <f t="shared" si="46"/>
        <v/>
      </c>
      <c r="AB138" s="498" t="str">
        <f t="shared" si="47"/>
        <v/>
      </c>
      <c r="AC138" s="423" t="str">
        <f t="shared" si="38"/>
        <v/>
      </c>
      <c r="AD138" s="470" t="str">
        <f t="shared" si="39"/>
        <v/>
      </c>
      <c r="AE138" s="468" t="str">
        <f t="shared" si="40"/>
        <v/>
      </c>
      <c r="AF138" s="457" t="str">
        <f t="shared" si="41"/>
        <v/>
      </c>
      <c r="AG138" s="472" t="str">
        <f t="shared" si="42"/>
        <v/>
      </c>
      <c r="AH138" s="490"/>
      <c r="AI138" s="488"/>
    </row>
    <row r="139" spans="1:35" x14ac:dyDescent="0.25">
      <c r="A139" t="str">
        <f>'New order'!U141</f>
        <v/>
      </c>
      <c r="B139" t="str">
        <f>'New order'!V141</f>
        <v/>
      </c>
      <c r="C139">
        <f>'New order'!AT141</f>
        <v>10</v>
      </c>
      <c r="D139" t="str">
        <f>'New order'!Y141</f>
        <v/>
      </c>
      <c r="E139">
        <f t="shared" si="26"/>
        <v>1</v>
      </c>
      <c r="F139">
        <f t="shared" si="27"/>
        <v>0</v>
      </c>
      <c r="G139" t="str">
        <f>'New order'!T141</f>
        <v/>
      </c>
      <c r="H139">
        <f>COUNTIF(C$12:C139,C139)</f>
        <v>128</v>
      </c>
      <c r="I139">
        <v>1</v>
      </c>
      <c r="J139">
        <f t="shared" si="28"/>
        <v>200</v>
      </c>
      <c r="K139" t="str">
        <f t="shared" si="45"/>
        <v/>
      </c>
      <c r="L139" t="str">
        <f t="shared" si="43"/>
        <v/>
      </c>
      <c r="M139" t="str">
        <f>IF(L139&lt;&gt;"",1+COUNT(M$12:M138),"")</f>
        <v/>
      </c>
      <c r="N139" t="str">
        <f t="shared" si="29"/>
        <v/>
      </c>
      <c r="O139" t="str">
        <f t="shared" si="30"/>
        <v/>
      </c>
      <c r="P139" t="str">
        <f t="shared" si="31"/>
        <v/>
      </c>
      <c r="Q139" t="str">
        <f t="shared" si="32"/>
        <v/>
      </c>
      <c r="R139" t="str">
        <f t="shared" si="33"/>
        <v/>
      </c>
      <c r="S139" t="str">
        <f t="shared" si="34"/>
        <v/>
      </c>
      <c r="T139" t="str">
        <f t="shared" si="35"/>
        <v/>
      </c>
      <c r="U139">
        <f t="shared" si="36"/>
        <v>0</v>
      </c>
      <c r="V139" t="str">
        <f t="shared" si="37"/>
        <v/>
      </c>
      <c r="W139" t="str">
        <f>IFERROR(RANK(V139,V$12:V$211,1)+COUNTIF(V$12:V139,V139)-1,"")</f>
        <v/>
      </c>
      <c r="Z139">
        <v>128</v>
      </c>
      <c r="AA139" s="422" t="str">
        <f t="shared" si="46"/>
        <v/>
      </c>
      <c r="AB139" s="498" t="str">
        <f t="shared" si="47"/>
        <v/>
      </c>
      <c r="AC139" s="423" t="str">
        <f t="shared" si="38"/>
        <v/>
      </c>
      <c r="AD139" s="470" t="str">
        <f t="shared" si="39"/>
        <v/>
      </c>
      <c r="AE139" s="468" t="str">
        <f t="shared" si="40"/>
        <v/>
      </c>
      <c r="AF139" s="457" t="str">
        <f t="shared" si="41"/>
        <v/>
      </c>
      <c r="AG139" s="472" t="str">
        <f t="shared" si="42"/>
        <v/>
      </c>
      <c r="AH139" s="490"/>
      <c r="AI139" s="488"/>
    </row>
    <row r="140" spans="1:35" x14ac:dyDescent="0.25">
      <c r="A140" t="str">
        <f>'New order'!U142</f>
        <v/>
      </c>
      <c r="B140" t="str">
        <f>'New order'!V142</f>
        <v/>
      </c>
      <c r="C140">
        <f>'New order'!AT142</f>
        <v>10</v>
      </c>
      <c r="D140" t="str">
        <f>'New order'!Y142</f>
        <v/>
      </c>
      <c r="E140">
        <f t="shared" si="26"/>
        <v>1</v>
      </c>
      <c r="F140">
        <f t="shared" si="27"/>
        <v>0</v>
      </c>
      <c r="G140" t="str">
        <f>'New order'!T142</f>
        <v/>
      </c>
      <c r="H140">
        <f>COUNTIF(C$12:C140,C140)</f>
        <v>129</v>
      </c>
      <c r="I140">
        <v>1</v>
      </c>
      <c r="J140">
        <f t="shared" si="28"/>
        <v>200</v>
      </c>
      <c r="K140" t="str">
        <f t="shared" si="45"/>
        <v/>
      </c>
      <c r="L140" t="str">
        <f t="shared" si="43"/>
        <v/>
      </c>
      <c r="M140" t="str">
        <f>IF(L140&lt;&gt;"",1+COUNT(M$12:M139),"")</f>
        <v/>
      </c>
      <c r="N140" t="str">
        <f t="shared" si="29"/>
        <v/>
      </c>
      <c r="O140" t="str">
        <f t="shared" si="30"/>
        <v/>
      </c>
      <c r="P140" t="str">
        <f t="shared" si="31"/>
        <v/>
      </c>
      <c r="Q140" t="str">
        <f t="shared" si="32"/>
        <v/>
      </c>
      <c r="R140" t="str">
        <f t="shared" si="33"/>
        <v/>
      </c>
      <c r="S140" t="str">
        <f t="shared" si="34"/>
        <v/>
      </c>
      <c r="T140" t="str">
        <f t="shared" si="35"/>
        <v/>
      </c>
      <c r="U140">
        <f t="shared" si="36"/>
        <v>0</v>
      </c>
      <c r="V140" t="str">
        <f t="shared" si="37"/>
        <v/>
      </c>
      <c r="W140" t="str">
        <f>IFERROR(RANK(V140,V$12:V$211,1)+COUNTIF(V$12:V140,V140)-1,"")</f>
        <v/>
      </c>
      <c r="Z140">
        <v>129</v>
      </c>
      <c r="AA140" s="422" t="str">
        <f t="shared" ref="AA140:AA171" si="48">_xlfn.SINGLE(_xlfn.XLOOKUP(Z140,W$12:W$211,O$12:O$211,""))</f>
        <v/>
      </c>
      <c r="AB140" s="498" t="str">
        <f t="shared" ref="AB140:AB171" si="49">_xlfn.SINGLE(_xlfn.XLOOKUP(Z140,W$12:W$211,T$12:T$211,""))</f>
        <v/>
      </c>
      <c r="AC140" s="423" t="str">
        <f t="shared" si="38"/>
        <v/>
      </c>
      <c r="AD140" s="470" t="str">
        <f t="shared" si="39"/>
        <v/>
      </c>
      <c r="AE140" s="468" t="str">
        <f t="shared" si="40"/>
        <v/>
      </c>
      <c r="AF140" s="457" t="str">
        <f t="shared" si="41"/>
        <v/>
      </c>
      <c r="AG140" s="472" t="str">
        <f t="shared" si="42"/>
        <v/>
      </c>
      <c r="AH140" s="490"/>
      <c r="AI140" s="488"/>
    </row>
    <row r="141" spans="1:35" x14ac:dyDescent="0.25">
      <c r="A141" t="str">
        <f>'New order'!U143</f>
        <v/>
      </c>
      <c r="B141" t="str">
        <f>'New order'!V143</f>
        <v/>
      </c>
      <c r="C141">
        <f>'New order'!AT143</f>
        <v>10</v>
      </c>
      <c r="D141" t="str">
        <f>'New order'!Y143</f>
        <v/>
      </c>
      <c r="E141">
        <f t="shared" ref="E141:E204" si="50">ROUNDDOWN(C141/10,0)</f>
        <v>1</v>
      </c>
      <c r="F141">
        <f t="shared" ref="F141:F204" si="51">C141-E141*10</f>
        <v>0</v>
      </c>
      <c r="G141" t="str">
        <f>'New order'!T143</f>
        <v/>
      </c>
      <c r="H141">
        <f>COUNTIF(C$12:C141,C141)</f>
        <v>130</v>
      </c>
      <c r="I141">
        <v>1</v>
      </c>
      <c r="J141">
        <f t="shared" ref="J141:J204" si="52">SUMIFS(I$12:I$211,A$12:A$211,A141,B$12:B$211,B141,C$12:C$211,C141)</f>
        <v>200</v>
      </c>
      <c r="K141" t="str">
        <f t="shared" si="45"/>
        <v/>
      </c>
      <c r="L141" t="str">
        <f t="shared" si="43"/>
        <v/>
      </c>
      <c r="M141" t="str">
        <f>IF(L141&lt;&gt;"",1+COUNT(M$12:M140),"")</f>
        <v/>
      </c>
      <c r="N141" t="str">
        <f t="shared" ref="N141:N204" si="53">IF(M141&lt;&gt;"",A141,"")</f>
        <v/>
      </c>
      <c r="O141" t="str">
        <f t="shared" ref="O141:O204" si="54">IF(M141&lt;&gt;"",B141,"")</f>
        <v/>
      </c>
      <c r="P141" t="str">
        <f t="shared" ref="P141:P204" si="55">IF(M141&lt;&gt;"",J141,"")</f>
        <v/>
      </c>
      <c r="Q141" t="str">
        <f t="shared" ref="Q141:Q204" si="56">IF(M141&lt;&gt;"",G141,"")</f>
        <v/>
      </c>
      <c r="R141" t="str">
        <f t="shared" ref="R141:R204" si="57">IF(M141&lt;&gt;"",E141,"")</f>
        <v/>
      </c>
      <c r="S141" t="str">
        <f t="shared" ref="S141:S204" si="58">IF(M141&lt;&gt;"",F141,"")</f>
        <v/>
      </c>
      <c r="T141" t="str">
        <f t="shared" ref="T141:T204" si="59">IF(M141&lt;&gt;"",D141,"")</f>
        <v/>
      </c>
      <c r="U141">
        <f t="shared" ref="U141:U204" si="60">_xlfn.XLOOKUP(T141,AL$12:AL$122,AM$12:AM$122,0)</f>
        <v>0</v>
      </c>
      <c r="V141" t="str">
        <f t="shared" ref="V141:V204" si="61">IFERROR(R141*1000+U141+IF(U141=100,10000,0),"")</f>
        <v/>
      </c>
      <c r="W141" t="str">
        <f>IFERROR(RANK(V141,V$12:V$211,1)+COUNTIF(V$12:V141,V141)-1,"")</f>
        <v/>
      </c>
      <c r="Z141">
        <v>130</v>
      </c>
      <c r="AA141" s="422" t="str">
        <f t="shared" si="48"/>
        <v/>
      </c>
      <c r="AB141" s="498" t="str">
        <f t="shared" si="49"/>
        <v/>
      </c>
      <c r="AC141" s="423" t="str">
        <f t="shared" ref="AC141:AC161" si="62">_xlfn.SINGLE(_xlfn.XLOOKUP(Z141,W$12:W$211,N$12:N$211,""))</f>
        <v/>
      </c>
      <c r="AD141" s="470" t="str">
        <f t="shared" ref="AD141:AD161" si="63">_xlfn.SINGLE(_xlfn.XLOOKUP(Z141,W$12:W$211,P$12:P$211,""))</f>
        <v/>
      </c>
      <c r="AE141" s="468" t="str">
        <f t="shared" ref="AE141:AE161" si="64">_xlfn.SINGLE(_xlfn.XLOOKUP(Z141,W$12:W$211,Q$12:Q$211,""))</f>
        <v/>
      </c>
      <c r="AF141" s="457" t="str">
        <f t="shared" ref="AF141:AF161" si="65">_xlfn.SINGLE(_xlfn.XLOOKUP(Z141,W$12:W$211,R$12:R$211,""))</f>
        <v/>
      </c>
      <c r="AG141" s="472" t="str">
        <f t="shared" ref="AG141:AG161" si="66">_xlfn.SINGLE(_xlfn.XLOOKUP(Z141,W$12:W$211,S$12:S$211,""))</f>
        <v/>
      </c>
      <c r="AH141" s="490"/>
      <c r="AI141" s="488"/>
    </row>
    <row r="142" spans="1:35" x14ac:dyDescent="0.25">
      <c r="A142" t="str">
        <f>'New order'!U144</f>
        <v/>
      </c>
      <c r="B142" t="str">
        <f>'New order'!V144</f>
        <v/>
      </c>
      <c r="C142">
        <f>'New order'!AT144</f>
        <v>10</v>
      </c>
      <c r="D142" t="str">
        <f>'New order'!Y144</f>
        <v/>
      </c>
      <c r="E142">
        <f t="shared" si="50"/>
        <v>1</v>
      </c>
      <c r="F142">
        <f t="shared" si="51"/>
        <v>0</v>
      </c>
      <c r="G142" t="str">
        <f>'New order'!T144</f>
        <v/>
      </c>
      <c r="H142">
        <f>COUNTIF(C$12:C142,C142)</f>
        <v>131</v>
      </c>
      <c r="I142">
        <v>1</v>
      </c>
      <c r="J142">
        <f t="shared" si="52"/>
        <v>200</v>
      </c>
      <c r="K142" t="str">
        <f t="shared" si="45"/>
        <v/>
      </c>
      <c r="L142" t="str">
        <f t="shared" ref="L142:L205" si="67">IF(K142=K141,"",K142)</f>
        <v/>
      </c>
      <c r="M142" t="str">
        <f>IF(L142&lt;&gt;"",1+COUNT(M$12:M141),"")</f>
        <v/>
      </c>
      <c r="N142" t="str">
        <f t="shared" si="53"/>
        <v/>
      </c>
      <c r="O142" t="str">
        <f t="shared" si="54"/>
        <v/>
      </c>
      <c r="P142" t="str">
        <f t="shared" si="55"/>
        <v/>
      </c>
      <c r="Q142" t="str">
        <f t="shared" si="56"/>
        <v/>
      </c>
      <c r="R142" t="str">
        <f t="shared" si="57"/>
        <v/>
      </c>
      <c r="S142" t="str">
        <f t="shared" si="58"/>
        <v/>
      </c>
      <c r="T142" t="str">
        <f t="shared" si="59"/>
        <v/>
      </c>
      <c r="U142">
        <f t="shared" si="60"/>
        <v>0</v>
      </c>
      <c r="V142" t="str">
        <f t="shared" si="61"/>
        <v/>
      </c>
      <c r="W142" t="str">
        <f>IFERROR(RANK(V142,V$12:V$211,1)+COUNTIF(V$12:V142,V142)-1,"")</f>
        <v/>
      </c>
      <c r="Z142">
        <v>131</v>
      </c>
      <c r="AA142" s="422" t="str">
        <f t="shared" si="48"/>
        <v/>
      </c>
      <c r="AB142" s="498" t="str">
        <f t="shared" si="49"/>
        <v/>
      </c>
      <c r="AC142" s="423" t="str">
        <f t="shared" si="62"/>
        <v/>
      </c>
      <c r="AD142" s="470" t="str">
        <f t="shared" si="63"/>
        <v/>
      </c>
      <c r="AE142" s="468" t="str">
        <f t="shared" si="64"/>
        <v/>
      </c>
      <c r="AF142" s="457" t="str">
        <f t="shared" si="65"/>
        <v/>
      </c>
      <c r="AG142" s="472" t="str">
        <f t="shared" si="66"/>
        <v/>
      </c>
      <c r="AH142" s="490"/>
      <c r="AI142" s="488"/>
    </row>
    <row r="143" spans="1:35" x14ac:dyDescent="0.25">
      <c r="A143" t="str">
        <f>'New order'!U145</f>
        <v/>
      </c>
      <c r="B143" t="str">
        <f>'New order'!V145</f>
        <v/>
      </c>
      <c r="C143">
        <f>'New order'!AT145</f>
        <v>10</v>
      </c>
      <c r="D143" t="str">
        <f>'New order'!Y145</f>
        <v/>
      </c>
      <c r="E143">
        <f t="shared" si="50"/>
        <v>1</v>
      </c>
      <c r="F143">
        <f t="shared" si="51"/>
        <v>0</v>
      </c>
      <c r="G143" t="str">
        <f>'New order'!T145</f>
        <v/>
      </c>
      <c r="H143">
        <f>COUNTIF(C$12:C143,C143)</f>
        <v>132</v>
      </c>
      <c r="I143">
        <v>1</v>
      </c>
      <c r="J143">
        <f t="shared" si="52"/>
        <v>200</v>
      </c>
      <c r="K143" t="str">
        <f t="shared" si="45"/>
        <v/>
      </c>
      <c r="L143" t="str">
        <f t="shared" si="67"/>
        <v/>
      </c>
      <c r="M143" t="str">
        <f>IF(L143&lt;&gt;"",1+COUNT(M$12:M142),"")</f>
        <v/>
      </c>
      <c r="N143" t="str">
        <f t="shared" si="53"/>
        <v/>
      </c>
      <c r="O143" t="str">
        <f t="shared" si="54"/>
        <v/>
      </c>
      <c r="P143" t="str">
        <f t="shared" si="55"/>
        <v/>
      </c>
      <c r="Q143" t="str">
        <f t="shared" si="56"/>
        <v/>
      </c>
      <c r="R143" t="str">
        <f t="shared" si="57"/>
        <v/>
      </c>
      <c r="S143" t="str">
        <f t="shared" si="58"/>
        <v/>
      </c>
      <c r="T143" t="str">
        <f t="shared" si="59"/>
        <v/>
      </c>
      <c r="U143">
        <f t="shared" si="60"/>
        <v>0</v>
      </c>
      <c r="V143" t="str">
        <f t="shared" si="61"/>
        <v/>
      </c>
      <c r="W143" t="str">
        <f>IFERROR(RANK(V143,V$12:V$211,1)+COUNTIF(V$12:V143,V143)-1,"")</f>
        <v/>
      </c>
      <c r="Z143">
        <v>132</v>
      </c>
      <c r="AA143" s="422" t="str">
        <f t="shared" si="48"/>
        <v/>
      </c>
      <c r="AB143" s="498" t="str">
        <f t="shared" si="49"/>
        <v/>
      </c>
      <c r="AC143" s="423" t="str">
        <f t="shared" si="62"/>
        <v/>
      </c>
      <c r="AD143" s="470" t="str">
        <f t="shared" si="63"/>
        <v/>
      </c>
      <c r="AE143" s="468" t="str">
        <f t="shared" si="64"/>
        <v/>
      </c>
      <c r="AF143" s="457" t="str">
        <f t="shared" si="65"/>
        <v/>
      </c>
      <c r="AG143" s="472" t="str">
        <f t="shared" si="66"/>
        <v/>
      </c>
      <c r="AH143" s="490"/>
      <c r="AI143" s="488"/>
    </row>
    <row r="144" spans="1:35" x14ac:dyDescent="0.25">
      <c r="A144" t="str">
        <f>'New order'!U146</f>
        <v/>
      </c>
      <c r="B144" t="str">
        <f>'New order'!V146</f>
        <v/>
      </c>
      <c r="C144">
        <f>'New order'!AT146</f>
        <v>10</v>
      </c>
      <c r="D144" t="str">
        <f>'New order'!Y146</f>
        <v/>
      </c>
      <c r="E144">
        <f t="shared" si="50"/>
        <v>1</v>
      </c>
      <c r="F144">
        <f t="shared" si="51"/>
        <v>0</v>
      </c>
      <c r="G144" t="str">
        <f>'New order'!T146</f>
        <v/>
      </c>
      <c r="H144">
        <f>COUNTIF(C$12:C144,C144)</f>
        <v>133</v>
      </c>
      <c r="I144">
        <v>1</v>
      </c>
      <c r="J144">
        <f t="shared" si="52"/>
        <v>200</v>
      </c>
      <c r="K144" t="str">
        <f t="shared" si="45"/>
        <v/>
      </c>
      <c r="L144" t="str">
        <f t="shared" si="67"/>
        <v/>
      </c>
      <c r="M144" t="str">
        <f>IF(L144&lt;&gt;"",1+COUNT(M$12:M143),"")</f>
        <v/>
      </c>
      <c r="N144" t="str">
        <f t="shared" si="53"/>
        <v/>
      </c>
      <c r="O144" t="str">
        <f t="shared" si="54"/>
        <v/>
      </c>
      <c r="P144" t="str">
        <f t="shared" si="55"/>
        <v/>
      </c>
      <c r="Q144" t="str">
        <f t="shared" si="56"/>
        <v/>
      </c>
      <c r="R144" t="str">
        <f t="shared" si="57"/>
        <v/>
      </c>
      <c r="S144" t="str">
        <f t="shared" si="58"/>
        <v/>
      </c>
      <c r="T144" t="str">
        <f t="shared" si="59"/>
        <v/>
      </c>
      <c r="U144">
        <f t="shared" si="60"/>
        <v>0</v>
      </c>
      <c r="V144" t="str">
        <f t="shared" si="61"/>
        <v/>
      </c>
      <c r="W144" t="str">
        <f>IFERROR(RANK(V144,V$12:V$211,1)+COUNTIF(V$12:V144,V144)-1,"")</f>
        <v/>
      </c>
      <c r="Z144">
        <v>133</v>
      </c>
      <c r="AA144" s="422" t="str">
        <f t="shared" si="48"/>
        <v/>
      </c>
      <c r="AB144" s="498" t="str">
        <f t="shared" si="49"/>
        <v/>
      </c>
      <c r="AC144" s="423" t="str">
        <f t="shared" si="62"/>
        <v/>
      </c>
      <c r="AD144" s="470" t="str">
        <f t="shared" si="63"/>
        <v/>
      </c>
      <c r="AE144" s="468" t="str">
        <f t="shared" si="64"/>
        <v/>
      </c>
      <c r="AF144" s="457" t="str">
        <f t="shared" si="65"/>
        <v/>
      </c>
      <c r="AG144" s="472" t="str">
        <f t="shared" si="66"/>
        <v/>
      </c>
      <c r="AH144" s="490"/>
      <c r="AI144" s="488"/>
    </row>
    <row r="145" spans="1:35" x14ac:dyDescent="0.25">
      <c r="A145" t="str">
        <f>'New order'!U147</f>
        <v/>
      </c>
      <c r="B145" t="str">
        <f>'New order'!V147</f>
        <v/>
      </c>
      <c r="C145">
        <f>'New order'!AT147</f>
        <v>10</v>
      </c>
      <c r="D145" t="str">
        <f>'New order'!Y147</f>
        <v/>
      </c>
      <c r="E145">
        <f t="shared" si="50"/>
        <v>1</v>
      </c>
      <c r="F145">
        <f t="shared" si="51"/>
        <v>0</v>
      </c>
      <c r="G145" t="str">
        <f>'New order'!T147</f>
        <v/>
      </c>
      <c r="H145">
        <f>COUNTIF(C$12:C145,C145)</f>
        <v>134</v>
      </c>
      <c r="I145">
        <v>1</v>
      </c>
      <c r="J145">
        <f t="shared" si="52"/>
        <v>200</v>
      </c>
      <c r="K145" t="str">
        <f t="shared" si="45"/>
        <v/>
      </c>
      <c r="L145" t="str">
        <f t="shared" si="67"/>
        <v/>
      </c>
      <c r="M145" t="str">
        <f>IF(L145&lt;&gt;"",1+COUNT(M$12:M144),"")</f>
        <v/>
      </c>
      <c r="N145" t="str">
        <f t="shared" si="53"/>
        <v/>
      </c>
      <c r="O145" t="str">
        <f t="shared" si="54"/>
        <v/>
      </c>
      <c r="P145" t="str">
        <f t="shared" si="55"/>
        <v/>
      </c>
      <c r="Q145" t="str">
        <f t="shared" si="56"/>
        <v/>
      </c>
      <c r="R145" t="str">
        <f t="shared" si="57"/>
        <v/>
      </c>
      <c r="S145" t="str">
        <f t="shared" si="58"/>
        <v/>
      </c>
      <c r="T145" t="str">
        <f t="shared" si="59"/>
        <v/>
      </c>
      <c r="U145">
        <f t="shared" si="60"/>
        <v>0</v>
      </c>
      <c r="V145" t="str">
        <f t="shared" si="61"/>
        <v/>
      </c>
      <c r="W145" t="str">
        <f>IFERROR(RANK(V145,V$12:V$211,1)+COUNTIF(V$12:V145,V145)-1,"")</f>
        <v/>
      </c>
      <c r="Z145">
        <v>134</v>
      </c>
      <c r="AA145" s="422" t="str">
        <f t="shared" si="48"/>
        <v/>
      </c>
      <c r="AB145" s="498" t="str">
        <f t="shared" si="49"/>
        <v/>
      </c>
      <c r="AC145" s="423" t="str">
        <f t="shared" si="62"/>
        <v/>
      </c>
      <c r="AD145" s="470" t="str">
        <f t="shared" si="63"/>
        <v/>
      </c>
      <c r="AE145" s="468" t="str">
        <f t="shared" si="64"/>
        <v/>
      </c>
      <c r="AF145" s="457" t="str">
        <f t="shared" si="65"/>
        <v/>
      </c>
      <c r="AG145" s="472" t="str">
        <f t="shared" si="66"/>
        <v/>
      </c>
      <c r="AH145" s="490"/>
      <c r="AI145" s="488"/>
    </row>
    <row r="146" spans="1:35" x14ac:dyDescent="0.25">
      <c r="A146" t="str">
        <f>'New order'!U148</f>
        <v/>
      </c>
      <c r="B146" t="str">
        <f>'New order'!V148</f>
        <v/>
      </c>
      <c r="C146">
        <f>'New order'!AT148</f>
        <v>10</v>
      </c>
      <c r="D146" t="str">
        <f>'New order'!Y148</f>
        <v/>
      </c>
      <c r="E146">
        <f t="shared" si="50"/>
        <v>1</v>
      </c>
      <c r="F146">
        <f t="shared" si="51"/>
        <v>0</v>
      </c>
      <c r="G146" t="str">
        <f>'New order'!T148</f>
        <v/>
      </c>
      <c r="H146">
        <f>COUNTIF(C$12:C146,C146)</f>
        <v>135</v>
      </c>
      <c r="I146">
        <v>1</v>
      </c>
      <c r="J146">
        <f t="shared" si="52"/>
        <v>200</v>
      </c>
      <c r="K146" t="str">
        <f t="shared" si="45"/>
        <v/>
      </c>
      <c r="L146" t="str">
        <f t="shared" si="67"/>
        <v/>
      </c>
      <c r="M146" t="str">
        <f>IF(L146&lt;&gt;"",1+COUNT(M$12:M145),"")</f>
        <v/>
      </c>
      <c r="N146" t="str">
        <f t="shared" si="53"/>
        <v/>
      </c>
      <c r="O146" t="str">
        <f t="shared" si="54"/>
        <v/>
      </c>
      <c r="P146" t="str">
        <f t="shared" si="55"/>
        <v/>
      </c>
      <c r="Q146" t="str">
        <f t="shared" si="56"/>
        <v/>
      </c>
      <c r="R146" t="str">
        <f t="shared" si="57"/>
        <v/>
      </c>
      <c r="S146" t="str">
        <f t="shared" si="58"/>
        <v/>
      </c>
      <c r="T146" t="str">
        <f t="shared" si="59"/>
        <v/>
      </c>
      <c r="U146">
        <f t="shared" si="60"/>
        <v>0</v>
      </c>
      <c r="V146" t="str">
        <f t="shared" si="61"/>
        <v/>
      </c>
      <c r="W146" t="str">
        <f>IFERROR(RANK(V146,V$12:V$211,1)+COUNTIF(V$12:V146,V146)-1,"")</f>
        <v/>
      </c>
      <c r="Z146">
        <v>135</v>
      </c>
      <c r="AA146" s="422" t="str">
        <f t="shared" si="48"/>
        <v/>
      </c>
      <c r="AB146" s="498" t="str">
        <f t="shared" si="49"/>
        <v/>
      </c>
      <c r="AC146" s="423" t="str">
        <f t="shared" si="62"/>
        <v/>
      </c>
      <c r="AD146" s="470" t="str">
        <f t="shared" si="63"/>
        <v/>
      </c>
      <c r="AE146" s="468" t="str">
        <f t="shared" si="64"/>
        <v/>
      </c>
      <c r="AF146" s="457" t="str">
        <f t="shared" si="65"/>
        <v/>
      </c>
      <c r="AG146" s="472" t="str">
        <f t="shared" si="66"/>
        <v/>
      </c>
      <c r="AH146" s="490"/>
      <c r="AI146" s="488"/>
    </row>
    <row r="147" spans="1:35" x14ac:dyDescent="0.25">
      <c r="A147" t="str">
        <f>'New order'!U149</f>
        <v/>
      </c>
      <c r="B147" t="str">
        <f>'New order'!V149</f>
        <v/>
      </c>
      <c r="C147">
        <f>'New order'!AT149</f>
        <v>10</v>
      </c>
      <c r="D147" t="str">
        <f>'New order'!Y149</f>
        <v/>
      </c>
      <c r="E147">
        <f t="shared" si="50"/>
        <v>1</v>
      </c>
      <c r="F147">
        <f t="shared" si="51"/>
        <v>0</v>
      </c>
      <c r="G147" t="str">
        <f>'New order'!T149</f>
        <v/>
      </c>
      <c r="H147">
        <f>COUNTIF(C$12:C147,C147)</f>
        <v>136</v>
      </c>
      <c r="I147">
        <v>1</v>
      </c>
      <c r="J147">
        <f t="shared" si="52"/>
        <v>200</v>
      </c>
      <c r="K147" t="str">
        <f t="shared" si="45"/>
        <v/>
      </c>
      <c r="L147" t="str">
        <f t="shared" si="67"/>
        <v/>
      </c>
      <c r="M147" t="str">
        <f>IF(L147&lt;&gt;"",1+COUNT(M$12:M146),"")</f>
        <v/>
      </c>
      <c r="N147" t="str">
        <f t="shared" si="53"/>
        <v/>
      </c>
      <c r="O147" t="str">
        <f t="shared" si="54"/>
        <v/>
      </c>
      <c r="P147" t="str">
        <f t="shared" si="55"/>
        <v/>
      </c>
      <c r="Q147" t="str">
        <f t="shared" si="56"/>
        <v/>
      </c>
      <c r="R147" t="str">
        <f t="shared" si="57"/>
        <v/>
      </c>
      <c r="S147" t="str">
        <f t="shared" si="58"/>
        <v/>
      </c>
      <c r="T147" t="str">
        <f t="shared" si="59"/>
        <v/>
      </c>
      <c r="U147">
        <f t="shared" si="60"/>
        <v>0</v>
      </c>
      <c r="V147" t="str">
        <f t="shared" si="61"/>
        <v/>
      </c>
      <c r="W147" t="str">
        <f>IFERROR(RANK(V147,V$12:V$211,1)+COUNTIF(V$12:V147,V147)-1,"")</f>
        <v/>
      </c>
      <c r="Z147">
        <v>136</v>
      </c>
      <c r="AA147" s="422" t="str">
        <f t="shared" si="48"/>
        <v/>
      </c>
      <c r="AB147" s="498" t="str">
        <f t="shared" si="49"/>
        <v/>
      </c>
      <c r="AC147" s="423" t="str">
        <f t="shared" si="62"/>
        <v/>
      </c>
      <c r="AD147" s="470" t="str">
        <f t="shared" si="63"/>
        <v/>
      </c>
      <c r="AE147" s="468" t="str">
        <f t="shared" si="64"/>
        <v/>
      </c>
      <c r="AF147" s="457" t="str">
        <f t="shared" si="65"/>
        <v/>
      </c>
      <c r="AG147" s="472" t="str">
        <f t="shared" si="66"/>
        <v/>
      </c>
      <c r="AH147" s="490"/>
      <c r="AI147" s="488"/>
    </row>
    <row r="148" spans="1:35" x14ac:dyDescent="0.25">
      <c r="A148" t="str">
        <f>'New order'!U150</f>
        <v/>
      </c>
      <c r="B148" t="str">
        <f>'New order'!V150</f>
        <v/>
      </c>
      <c r="C148">
        <f>'New order'!AT150</f>
        <v>10</v>
      </c>
      <c r="D148" t="str">
        <f>'New order'!Y150</f>
        <v/>
      </c>
      <c r="E148">
        <f t="shared" si="50"/>
        <v>1</v>
      </c>
      <c r="F148">
        <f t="shared" si="51"/>
        <v>0</v>
      </c>
      <c r="G148" t="str">
        <f>'New order'!T150</f>
        <v/>
      </c>
      <c r="H148">
        <f>COUNTIF(C$12:C148,C148)</f>
        <v>137</v>
      </c>
      <c r="I148">
        <v>1</v>
      </c>
      <c r="J148">
        <f t="shared" si="52"/>
        <v>200</v>
      </c>
      <c r="K148" t="str">
        <f t="shared" si="45"/>
        <v/>
      </c>
      <c r="L148" t="str">
        <f t="shared" si="67"/>
        <v/>
      </c>
      <c r="M148" t="str">
        <f>IF(L148&lt;&gt;"",1+COUNT(M$12:M147),"")</f>
        <v/>
      </c>
      <c r="N148" t="str">
        <f t="shared" si="53"/>
        <v/>
      </c>
      <c r="O148" t="str">
        <f t="shared" si="54"/>
        <v/>
      </c>
      <c r="P148" t="str">
        <f t="shared" si="55"/>
        <v/>
      </c>
      <c r="Q148" t="str">
        <f t="shared" si="56"/>
        <v/>
      </c>
      <c r="R148" t="str">
        <f t="shared" si="57"/>
        <v/>
      </c>
      <c r="S148" t="str">
        <f t="shared" si="58"/>
        <v/>
      </c>
      <c r="T148" t="str">
        <f t="shared" si="59"/>
        <v/>
      </c>
      <c r="U148">
        <f t="shared" si="60"/>
        <v>0</v>
      </c>
      <c r="V148" t="str">
        <f t="shared" si="61"/>
        <v/>
      </c>
      <c r="W148" t="str">
        <f>IFERROR(RANK(V148,V$12:V$211,1)+COUNTIF(V$12:V148,V148)-1,"")</f>
        <v/>
      </c>
      <c r="Z148">
        <v>137</v>
      </c>
      <c r="AA148" s="422" t="str">
        <f t="shared" si="48"/>
        <v/>
      </c>
      <c r="AB148" s="498" t="str">
        <f t="shared" si="49"/>
        <v/>
      </c>
      <c r="AC148" s="423" t="str">
        <f t="shared" si="62"/>
        <v/>
      </c>
      <c r="AD148" s="470" t="str">
        <f t="shared" si="63"/>
        <v/>
      </c>
      <c r="AE148" s="468" t="str">
        <f t="shared" si="64"/>
        <v/>
      </c>
      <c r="AF148" s="457" t="str">
        <f t="shared" si="65"/>
        <v/>
      </c>
      <c r="AG148" s="472" t="str">
        <f t="shared" si="66"/>
        <v/>
      </c>
      <c r="AH148" s="490"/>
      <c r="AI148" s="488"/>
    </row>
    <row r="149" spans="1:35" x14ac:dyDescent="0.25">
      <c r="A149" t="str">
        <f>'New order'!U151</f>
        <v/>
      </c>
      <c r="B149" t="str">
        <f>'New order'!V151</f>
        <v/>
      </c>
      <c r="C149">
        <f>'New order'!AT151</f>
        <v>10</v>
      </c>
      <c r="D149" t="str">
        <f>'New order'!Y151</f>
        <v/>
      </c>
      <c r="E149">
        <f t="shared" si="50"/>
        <v>1</v>
      </c>
      <c r="F149">
        <f t="shared" si="51"/>
        <v>0</v>
      </c>
      <c r="G149" t="str">
        <f>'New order'!T151</f>
        <v/>
      </c>
      <c r="H149">
        <f>COUNTIF(C$12:C149,C149)</f>
        <v>138</v>
      </c>
      <c r="I149">
        <v>1</v>
      </c>
      <c r="J149">
        <f t="shared" si="52"/>
        <v>200</v>
      </c>
      <c r="K149" t="str">
        <f t="shared" si="45"/>
        <v/>
      </c>
      <c r="L149" t="str">
        <f t="shared" si="67"/>
        <v/>
      </c>
      <c r="M149" t="str">
        <f>IF(L149&lt;&gt;"",1+COUNT(M$12:M148),"")</f>
        <v/>
      </c>
      <c r="N149" t="str">
        <f t="shared" si="53"/>
        <v/>
      </c>
      <c r="O149" t="str">
        <f t="shared" si="54"/>
        <v/>
      </c>
      <c r="P149" t="str">
        <f t="shared" si="55"/>
        <v/>
      </c>
      <c r="Q149" t="str">
        <f t="shared" si="56"/>
        <v/>
      </c>
      <c r="R149" t="str">
        <f t="shared" si="57"/>
        <v/>
      </c>
      <c r="S149" t="str">
        <f t="shared" si="58"/>
        <v/>
      </c>
      <c r="T149" t="str">
        <f t="shared" si="59"/>
        <v/>
      </c>
      <c r="U149">
        <f t="shared" si="60"/>
        <v>0</v>
      </c>
      <c r="V149" t="str">
        <f t="shared" si="61"/>
        <v/>
      </c>
      <c r="W149" t="str">
        <f>IFERROR(RANK(V149,V$12:V$211,1)+COUNTIF(V$12:V149,V149)-1,"")</f>
        <v/>
      </c>
      <c r="Z149">
        <v>138</v>
      </c>
      <c r="AA149" s="422" t="str">
        <f t="shared" si="48"/>
        <v/>
      </c>
      <c r="AB149" s="498" t="str">
        <f t="shared" si="49"/>
        <v/>
      </c>
      <c r="AC149" s="423" t="str">
        <f t="shared" si="62"/>
        <v/>
      </c>
      <c r="AD149" s="470" t="str">
        <f t="shared" si="63"/>
        <v/>
      </c>
      <c r="AE149" s="468" t="str">
        <f t="shared" si="64"/>
        <v/>
      </c>
      <c r="AF149" s="457" t="str">
        <f t="shared" si="65"/>
        <v/>
      </c>
      <c r="AG149" s="472" t="str">
        <f t="shared" si="66"/>
        <v/>
      </c>
      <c r="AH149" s="490"/>
      <c r="AI149" s="488"/>
    </row>
    <row r="150" spans="1:35" x14ac:dyDescent="0.25">
      <c r="A150" t="str">
        <f>'New order'!U152</f>
        <v/>
      </c>
      <c r="B150" t="str">
        <f>'New order'!V152</f>
        <v/>
      </c>
      <c r="C150">
        <f>'New order'!AT152</f>
        <v>10</v>
      </c>
      <c r="D150" t="str">
        <f>'New order'!Y152</f>
        <v/>
      </c>
      <c r="E150">
        <f t="shared" si="50"/>
        <v>1</v>
      </c>
      <c r="F150">
        <f t="shared" si="51"/>
        <v>0</v>
      </c>
      <c r="G150" t="str">
        <f>'New order'!T152</f>
        <v/>
      </c>
      <c r="H150">
        <f>COUNTIF(C$12:C150,C150)</f>
        <v>139</v>
      </c>
      <c r="I150">
        <v>1</v>
      </c>
      <c r="J150">
        <f t="shared" si="52"/>
        <v>200</v>
      </c>
      <c r="K150" t="str">
        <f t="shared" si="45"/>
        <v/>
      </c>
      <c r="L150" t="str">
        <f t="shared" si="67"/>
        <v/>
      </c>
      <c r="M150" t="str">
        <f>IF(L150&lt;&gt;"",1+COUNT(M$12:M149),"")</f>
        <v/>
      </c>
      <c r="N150" t="str">
        <f t="shared" si="53"/>
        <v/>
      </c>
      <c r="O150" t="str">
        <f t="shared" si="54"/>
        <v/>
      </c>
      <c r="P150" t="str">
        <f t="shared" si="55"/>
        <v/>
      </c>
      <c r="Q150" t="str">
        <f t="shared" si="56"/>
        <v/>
      </c>
      <c r="R150" t="str">
        <f t="shared" si="57"/>
        <v/>
      </c>
      <c r="S150" t="str">
        <f t="shared" si="58"/>
        <v/>
      </c>
      <c r="T150" t="str">
        <f t="shared" si="59"/>
        <v/>
      </c>
      <c r="U150">
        <f t="shared" si="60"/>
        <v>0</v>
      </c>
      <c r="V150" t="str">
        <f t="shared" si="61"/>
        <v/>
      </c>
      <c r="W150" t="str">
        <f>IFERROR(RANK(V150,V$12:V$211,1)+COUNTIF(V$12:V150,V150)-1,"")</f>
        <v/>
      </c>
      <c r="Z150">
        <v>139</v>
      </c>
      <c r="AA150" s="422" t="str">
        <f t="shared" si="48"/>
        <v/>
      </c>
      <c r="AB150" s="498" t="str">
        <f t="shared" si="49"/>
        <v/>
      </c>
      <c r="AC150" s="423" t="str">
        <f t="shared" si="62"/>
        <v/>
      </c>
      <c r="AD150" s="470" t="str">
        <f t="shared" si="63"/>
        <v/>
      </c>
      <c r="AE150" s="468" t="str">
        <f t="shared" si="64"/>
        <v/>
      </c>
      <c r="AF150" s="457" t="str">
        <f t="shared" si="65"/>
        <v/>
      </c>
      <c r="AG150" s="472" t="str">
        <f t="shared" si="66"/>
        <v/>
      </c>
      <c r="AH150" s="490"/>
      <c r="AI150" s="488"/>
    </row>
    <row r="151" spans="1:35" x14ac:dyDescent="0.25">
      <c r="A151" t="str">
        <f>'New order'!U153</f>
        <v/>
      </c>
      <c r="B151" t="str">
        <f>'New order'!V153</f>
        <v/>
      </c>
      <c r="C151">
        <f>'New order'!AT153</f>
        <v>10</v>
      </c>
      <c r="D151" t="str">
        <f>'New order'!Y153</f>
        <v/>
      </c>
      <c r="E151">
        <f t="shared" si="50"/>
        <v>1</v>
      </c>
      <c r="F151">
        <f t="shared" si="51"/>
        <v>0</v>
      </c>
      <c r="G151" t="str">
        <f>'New order'!T153</f>
        <v/>
      </c>
      <c r="H151">
        <f>COUNTIF(C$12:C151,C151)</f>
        <v>140</v>
      </c>
      <c r="I151">
        <v>1</v>
      </c>
      <c r="J151">
        <f t="shared" si="52"/>
        <v>200</v>
      </c>
      <c r="K151" t="str">
        <f t="shared" si="45"/>
        <v/>
      </c>
      <c r="L151" t="str">
        <f t="shared" si="67"/>
        <v/>
      </c>
      <c r="M151" t="str">
        <f>IF(L151&lt;&gt;"",1+COUNT(M$12:M150),"")</f>
        <v/>
      </c>
      <c r="N151" t="str">
        <f t="shared" si="53"/>
        <v/>
      </c>
      <c r="O151" t="str">
        <f t="shared" si="54"/>
        <v/>
      </c>
      <c r="P151" t="str">
        <f t="shared" si="55"/>
        <v/>
      </c>
      <c r="Q151" t="str">
        <f t="shared" si="56"/>
        <v/>
      </c>
      <c r="R151" t="str">
        <f t="shared" si="57"/>
        <v/>
      </c>
      <c r="S151" t="str">
        <f t="shared" si="58"/>
        <v/>
      </c>
      <c r="T151" t="str">
        <f t="shared" si="59"/>
        <v/>
      </c>
      <c r="U151">
        <f t="shared" si="60"/>
        <v>0</v>
      </c>
      <c r="V151" t="str">
        <f t="shared" si="61"/>
        <v/>
      </c>
      <c r="W151" t="str">
        <f>IFERROR(RANK(V151,V$12:V$211,1)+COUNTIF(V$12:V151,V151)-1,"")</f>
        <v/>
      </c>
      <c r="Z151">
        <v>140</v>
      </c>
      <c r="AA151" s="422" t="str">
        <f t="shared" si="48"/>
        <v/>
      </c>
      <c r="AB151" s="498" t="str">
        <f t="shared" si="49"/>
        <v/>
      </c>
      <c r="AC151" s="423" t="str">
        <f t="shared" si="62"/>
        <v/>
      </c>
      <c r="AD151" s="470" t="str">
        <f t="shared" si="63"/>
        <v/>
      </c>
      <c r="AE151" s="468" t="str">
        <f t="shared" si="64"/>
        <v/>
      </c>
      <c r="AF151" s="457" t="str">
        <f t="shared" si="65"/>
        <v/>
      </c>
      <c r="AG151" s="472" t="str">
        <f t="shared" si="66"/>
        <v/>
      </c>
      <c r="AH151" s="490"/>
      <c r="AI151" s="488"/>
    </row>
    <row r="152" spans="1:35" x14ac:dyDescent="0.25">
      <c r="A152" t="str">
        <f>'New order'!U154</f>
        <v/>
      </c>
      <c r="B152" t="str">
        <f>'New order'!V154</f>
        <v/>
      </c>
      <c r="C152">
        <f>'New order'!AT154</f>
        <v>10</v>
      </c>
      <c r="D152" t="str">
        <f>'New order'!Y154</f>
        <v/>
      </c>
      <c r="E152">
        <f t="shared" si="50"/>
        <v>1</v>
      </c>
      <c r="F152">
        <f t="shared" si="51"/>
        <v>0</v>
      </c>
      <c r="G152" t="str">
        <f>'New order'!T154</f>
        <v/>
      </c>
      <c r="H152">
        <f>COUNTIF(C$12:C152,C152)</f>
        <v>141</v>
      </c>
      <c r="I152">
        <v>1</v>
      </c>
      <c r="J152">
        <f t="shared" si="52"/>
        <v>200</v>
      </c>
      <c r="K152" t="str">
        <f t="shared" si="45"/>
        <v/>
      </c>
      <c r="L152" t="str">
        <f t="shared" si="67"/>
        <v/>
      </c>
      <c r="M152" t="str">
        <f>IF(L152&lt;&gt;"",1+COUNT(M$12:M151),"")</f>
        <v/>
      </c>
      <c r="N152" t="str">
        <f t="shared" si="53"/>
        <v/>
      </c>
      <c r="O152" t="str">
        <f t="shared" si="54"/>
        <v/>
      </c>
      <c r="P152" t="str">
        <f t="shared" si="55"/>
        <v/>
      </c>
      <c r="Q152" t="str">
        <f t="shared" si="56"/>
        <v/>
      </c>
      <c r="R152" t="str">
        <f t="shared" si="57"/>
        <v/>
      </c>
      <c r="S152" t="str">
        <f t="shared" si="58"/>
        <v/>
      </c>
      <c r="T152" t="str">
        <f t="shared" si="59"/>
        <v/>
      </c>
      <c r="U152">
        <f t="shared" si="60"/>
        <v>0</v>
      </c>
      <c r="V152" t="str">
        <f t="shared" si="61"/>
        <v/>
      </c>
      <c r="W152" t="str">
        <f>IFERROR(RANK(V152,V$12:V$211,1)+COUNTIF(V$12:V152,V152)-1,"")</f>
        <v/>
      </c>
      <c r="Z152">
        <v>141</v>
      </c>
      <c r="AA152" s="422" t="str">
        <f t="shared" si="48"/>
        <v/>
      </c>
      <c r="AB152" s="498" t="str">
        <f t="shared" si="49"/>
        <v/>
      </c>
      <c r="AC152" s="423" t="str">
        <f t="shared" si="62"/>
        <v/>
      </c>
      <c r="AD152" s="470" t="str">
        <f t="shared" si="63"/>
        <v/>
      </c>
      <c r="AE152" s="468" t="str">
        <f t="shared" si="64"/>
        <v/>
      </c>
      <c r="AF152" s="457" t="str">
        <f t="shared" si="65"/>
        <v/>
      </c>
      <c r="AG152" s="472" t="str">
        <f t="shared" si="66"/>
        <v/>
      </c>
      <c r="AH152" s="490"/>
      <c r="AI152" s="488"/>
    </row>
    <row r="153" spans="1:35" x14ac:dyDescent="0.25">
      <c r="A153" t="str">
        <f>'New order'!U155</f>
        <v/>
      </c>
      <c r="B153" t="str">
        <f>'New order'!V155</f>
        <v/>
      </c>
      <c r="C153">
        <f>'New order'!AT155</f>
        <v>10</v>
      </c>
      <c r="D153" t="str">
        <f>'New order'!Y155</f>
        <v/>
      </c>
      <c r="E153">
        <f t="shared" si="50"/>
        <v>1</v>
      </c>
      <c r="F153">
        <f t="shared" si="51"/>
        <v>0</v>
      </c>
      <c r="G153" t="str">
        <f>'New order'!T155</f>
        <v/>
      </c>
      <c r="H153">
        <f>COUNTIF(C$12:C153,C153)</f>
        <v>142</v>
      </c>
      <c r="I153">
        <v>1</v>
      </c>
      <c r="J153">
        <f t="shared" si="52"/>
        <v>200</v>
      </c>
      <c r="K153" t="str">
        <f t="shared" si="45"/>
        <v/>
      </c>
      <c r="L153" t="str">
        <f t="shared" si="67"/>
        <v/>
      </c>
      <c r="M153" t="str">
        <f>IF(L153&lt;&gt;"",1+COUNT(M$12:M152),"")</f>
        <v/>
      </c>
      <c r="N153" t="str">
        <f t="shared" si="53"/>
        <v/>
      </c>
      <c r="O153" t="str">
        <f t="shared" si="54"/>
        <v/>
      </c>
      <c r="P153" t="str">
        <f t="shared" si="55"/>
        <v/>
      </c>
      <c r="Q153" t="str">
        <f t="shared" si="56"/>
        <v/>
      </c>
      <c r="R153" t="str">
        <f t="shared" si="57"/>
        <v/>
      </c>
      <c r="S153" t="str">
        <f t="shared" si="58"/>
        <v/>
      </c>
      <c r="T153" t="str">
        <f t="shared" si="59"/>
        <v/>
      </c>
      <c r="U153">
        <f t="shared" si="60"/>
        <v>0</v>
      </c>
      <c r="V153" t="str">
        <f t="shared" si="61"/>
        <v/>
      </c>
      <c r="W153" t="str">
        <f>IFERROR(RANK(V153,V$12:V$211,1)+COUNTIF(V$12:V153,V153)-1,"")</f>
        <v/>
      </c>
      <c r="Z153">
        <v>142</v>
      </c>
      <c r="AA153" s="422" t="str">
        <f t="shared" si="48"/>
        <v/>
      </c>
      <c r="AB153" s="498" t="str">
        <f t="shared" si="49"/>
        <v/>
      </c>
      <c r="AC153" s="423" t="str">
        <f t="shared" si="62"/>
        <v/>
      </c>
      <c r="AD153" s="470" t="str">
        <f t="shared" si="63"/>
        <v/>
      </c>
      <c r="AE153" s="468" t="str">
        <f t="shared" si="64"/>
        <v/>
      </c>
      <c r="AF153" s="457" t="str">
        <f t="shared" si="65"/>
        <v/>
      </c>
      <c r="AG153" s="472" t="str">
        <f t="shared" si="66"/>
        <v/>
      </c>
      <c r="AH153" s="490"/>
      <c r="AI153" s="488"/>
    </row>
    <row r="154" spans="1:35" x14ac:dyDescent="0.25">
      <c r="A154" t="str">
        <f>'New order'!U156</f>
        <v/>
      </c>
      <c r="B154" t="str">
        <f>'New order'!V156</f>
        <v/>
      </c>
      <c r="C154">
        <f>'New order'!AT156</f>
        <v>10</v>
      </c>
      <c r="D154" t="str">
        <f>'New order'!Y156</f>
        <v/>
      </c>
      <c r="E154">
        <f t="shared" si="50"/>
        <v>1</v>
      </c>
      <c r="F154">
        <f t="shared" si="51"/>
        <v>0</v>
      </c>
      <c r="G154" t="str">
        <f>'New order'!T156</f>
        <v/>
      </c>
      <c r="H154">
        <f>COUNTIF(C$12:C154,C154)</f>
        <v>143</v>
      </c>
      <c r="I154">
        <v>1</v>
      </c>
      <c r="J154">
        <f t="shared" si="52"/>
        <v>200</v>
      </c>
      <c r="K154" t="str">
        <f t="shared" si="45"/>
        <v/>
      </c>
      <c r="L154" t="str">
        <f t="shared" si="67"/>
        <v/>
      </c>
      <c r="M154" t="str">
        <f>IF(L154&lt;&gt;"",1+COUNT(M$12:M153),"")</f>
        <v/>
      </c>
      <c r="N154" t="str">
        <f t="shared" si="53"/>
        <v/>
      </c>
      <c r="O154" t="str">
        <f t="shared" si="54"/>
        <v/>
      </c>
      <c r="P154" t="str">
        <f t="shared" si="55"/>
        <v/>
      </c>
      <c r="Q154" t="str">
        <f t="shared" si="56"/>
        <v/>
      </c>
      <c r="R154" t="str">
        <f t="shared" si="57"/>
        <v/>
      </c>
      <c r="S154" t="str">
        <f t="shared" si="58"/>
        <v/>
      </c>
      <c r="T154" t="str">
        <f t="shared" si="59"/>
        <v/>
      </c>
      <c r="U154">
        <f t="shared" si="60"/>
        <v>0</v>
      </c>
      <c r="V154" t="str">
        <f t="shared" si="61"/>
        <v/>
      </c>
      <c r="W154" t="str">
        <f>IFERROR(RANK(V154,V$12:V$211,1)+COUNTIF(V$12:V154,V154)-1,"")</f>
        <v/>
      </c>
      <c r="Z154">
        <v>143</v>
      </c>
      <c r="AA154" s="422" t="str">
        <f t="shared" si="48"/>
        <v/>
      </c>
      <c r="AB154" s="498" t="str">
        <f t="shared" si="49"/>
        <v/>
      </c>
      <c r="AC154" s="423" t="str">
        <f t="shared" si="62"/>
        <v/>
      </c>
      <c r="AD154" s="470" t="str">
        <f t="shared" si="63"/>
        <v/>
      </c>
      <c r="AE154" s="468" t="str">
        <f t="shared" si="64"/>
        <v/>
      </c>
      <c r="AF154" s="457" t="str">
        <f t="shared" si="65"/>
        <v/>
      </c>
      <c r="AG154" s="472" t="str">
        <f t="shared" si="66"/>
        <v/>
      </c>
      <c r="AH154" s="490"/>
      <c r="AI154" s="488"/>
    </row>
    <row r="155" spans="1:35" x14ac:dyDescent="0.25">
      <c r="A155" t="str">
        <f>'New order'!U157</f>
        <v/>
      </c>
      <c r="B155" t="str">
        <f>'New order'!V157</f>
        <v/>
      </c>
      <c r="C155">
        <f>'New order'!AT157</f>
        <v>10</v>
      </c>
      <c r="D155" t="str">
        <f>'New order'!Y157</f>
        <v/>
      </c>
      <c r="E155">
        <f t="shared" si="50"/>
        <v>1</v>
      </c>
      <c r="F155">
        <f t="shared" si="51"/>
        <v>0</v>
      </c>
      <c r="G155" t="str">
        <f>'New order'!T157</f>
        <v/>
      </c>
      <c r="H155">
        <f>COUNTIF(C$12:C155,C155)</f>
        <v>144</v>
      </c>
      <c r="I155">
        <v>1</v>
      </c>
      <c r="J155">
        <f t="shared" si="52"/>
        <v>200</v>
      </c>
      <c r="K155" t="str">
        <f t="shared" si="45"/>
        <v/>
      </c>
      <c r="L155" t="str">
        <f t="shared" si="67"/>
        <v/>
      </c>
      <c r="M155" t="str">
        <f>IF(L155&lt;&gt;"",1+COUNT(M$12:M154),"")</f>
        <v/>
      </c>
      <c r="N155" t="str">
        <f t="shared" si="53"/>
        <v/>
      </c>
      <c r="O155" t="str">
        <f t="shared" si="54"/>
        <v/>
      </c>
      <c r="P155" t="str">
        <f t="shared" si="55"/>
        <v/>
      </c>
      <c r="Q155" t="str">
        <f t="shared" si="56"/>
        <v/>
      </c>
      <c r="R155" t="str">
        <f t="shared" si="57"/>
        <v/>
      </c>
      <c r="S155" t="str">
        <f t="shared" si="58"/>
        <v/>
      </c>
      <c r="T155" t="str">
        <f t="shared" si="59"/>
        <v/>
      </c>
      <c r="U155">
        <f t="shared" si="60"/>
        <v>0</v>
      </c>
      <c r="V155" t="str">
        <f t="shared" si="61"/>
        <v/>
      </c>
      <c r="W155" t="str">
        <f>IFERROR(RANK(V155,V$12:V$211,1)+COUNTIF(V$12:V155,V155)-1,"")</f>
        <v/>
      </c>
      <c r="Z155">
        <v>144</v>
      </c>
      <c r="AA155" s="422" t="str">
        <f t="shared" si="48"/>
        <v/>
      </c>
      <c r="AB155" s="498" t="str">
        <f t="shared" si="49"/>
        <v/>
      </c>
      <c r="AC155" s="423" t="str">
        <f t="shared" si="62"/>
        <v/>
      </c>
      <c r="AD155" s="470" t="str">
        <f t="shared" si="63"/>
        <v/>
      </c>
      <c r="AE155" s="468" t="str">
        <f t="shared" si="64"/>
        <v/>
      </c>
      <c r="AF155" s="457" t="str">
        <f t="shared" si="65"/>
        <v/>
      </c>
      <c r="AG155" s="472" t="str">
        <f t="shared" si="66"/>
        <v/>
      </c>
      <c r="AH155" s="490"/>
      <c r="AI155" s="488"/>
    </row>
    <row r="156" spans="1:35" x14ac:dyDescent="0.25">
      <c r="A156" t="str">
        <f>'New order'!U158</f>
        <v/>
      </c>
      <c r="B156" t="str">
        <f>'New order'!V158</f>
        <v/>
      </c>
      <c r="C156">
        <f>'New order'!AT158</f>
        <v>10</v>
      </c>
      <c r="D156" t="str">
        <f>'New order'!Y158</f>
        <v/>
      </c>
      <c r="E156">
        <f t="shared" si="50"/>
        <v>1</v>
      </c>
      <c r="F156">
        <f t="shared" si="51"/>
        <v>0</v>
      </c>
      <c r="G156" t="str">
        <f>'New order'!T158</f>
        <v/>
      </c>
      <c r="H156">
        <f>COUNTIF(C$12:C156,C156)</f>
        <v>145</v>
      </c>
      <c r="I156">
        <v>1</v>
      </c>
      <c r="J156">
        <f t="shared" si="52"/>
        <v>200</v>
      </c>
      <c r="K156" t="str">
        <f t="shared" ref="K156:K211" si="68">IF(A156&lt;&gt;"",A156&amp;B156&amp;C156,"")</f>
        <v/>
      </c>
      <c r="L156" t="str">
        <f t="shared" si="67"/>
        <v/>
      </c>
      <c r="M156" t="str">
        <f>IF(L156&lt;&gt;"",1+COUNT(M$12:M155),"")</f>
        <v/>
      </c>
      <c r="N156" t="str">
        <f t="shared" si="53"/>
        <v/>
      </c>
      <c r="O156" t="str">
        <f t="shared" si="54"/>
        <v/>
      </c>
      <c r="P156" t="str">
        <f t="shared" si="55"/>
        <v/>
      </c>
      <c r="Q156" t="str">
        <f t="shared" si="56"/>
        <v/>
      </c>
      <c r="R156" t="str">
        <f t="shared" si="57"/>
        <v/>
      </c>
      <c r="S156" t="str">
        <f t="shared" si="58"/>
        <v/>
      </c>
      <c r="T156" t="str">
        <f t="shared" si="59"/>
        <v/>
      </c>
      <c r="U156">
        <f t="shared" si="60"/>
        <v>0</v>
      </c>
      <c r="V156" t="str">
        <f t="shared" si="61"/>
        <v/>
      </c>
      <c r="W156" t="str">
        <f>IFERROR(RANK(V156,V$12:V$211,1)+COUNTIF(V$12:V156,V156)-1,"")</f>
        <v/>
      </c>
      <c r="Z156">
        <v>145</v>
      </c>
      <c r="AA156" s="422" t="str">
        <f t="shared" si="48"/>
        <v/>
      </c>
      <c r="AB156" s="498" t="str">
        <f t="shared" si="49"/>
        <v/>
      </c>
      <c r="AC156" s="423" t="str">
        <f t="shared" si="62"/>
        <v/>
      </c>
      <c r="AD156" s="470" t="str">
        <f t="shared" si="63"/>
        <v/>
      </c>
      <c r="AE156" s="468" t="str">
        <f t="shared" si="64"/>
        <v/>
      </c>
      <c r="AF156" s="457" t="str">
        <f t="shared" si="65"/>
        <v/>
      </c>
      <c r="AG156" s="472" t="str">
        <f t="shared" si="66"/>
        <v/>
      </c>
      <c r="AH156" s="490"/>
      <c r="AI156" s="488"/>
    </row>
    <row r="157" spans="1:35" x14ac:dyDescent="0.25">
      <c r="A157" t="str">
        <f>'New order'!U159</f>
        <v/>
      </c>
      <c r="B157" t="str">
        <f>'New order'!V159</f>
        <v/>
      </c>
      <c r="C157">
        <f>'New order'!AT159</f>
        <v>10</v>
      </c>
      <c r="D157" t="str">
        <f>'New order'!Y159</f>
        <v/>
      </c>
      <c r="E157">
        <f t="shared" si="50"/>
        <v>1</v>
      </c>
      <c r="F157">
        <f t="shared" si="51"/>
        <v>0</v>
      </c>
      <c r="G157" t="str">
        <f>'New order'!T159</f>
        <v/>
      </c>
      <c r="H157">
        <f>COUNTIF(C$12:C157,C157)</f>
        <v>146</v>
      </c>
      <c r="I157">
        <v>1</v>
      </c>
      <c r="J157">
        <f t="shared" si="52"/>
        <v>200</v>
      </c>
      <c r="K157" t="str">
        <f t="shared" si="68"/>
        <v/>
      </c>
      <c r="L157" t="str">
        <f t="shared" si="67"/>
        <v/>
      </c>
      <c r="M157" t="str">
        <f>IF(L157&lt;&gt;"",1+COUNT(M$12:M156),"")</f>
        <v/>
      </c>
      <c r="N157" t="str">
        <f t="shared" si="53"/>
        <v/>
      </c>
      <c r="O157" t="str">
        <f t="shared" si="54"/>
        <v/>
      </c>
      <c r="P157" t="str">
        <f t="shared" si="55"/>
        <v/>
      </c>
      <c r="Q157" t="str">
        <f t="shared" si="56"/>
        <v/>
      </c>
      <c r="R157" t="str">
        <f t="shared" si="57"/>
        <v/>
      </c>
      <c r="S157" t="str">
        <f t="shared" si="58"/>
        <v/>
      </c>
      <c r="T157" t="str">
        <f t="shared" si="59"/>
        <v/>
      </c>
      <c r="U157">
        <f t="shared" si="60"/>
        <v>0</v>
      </c>
      <c r="V157" t="str">
        <f t="shared" si="61"/>
        <v/>
      </c>
      <c r="W157" t="str">
        <f>IFERROR(RANK(V157,V$12:V$211,1)+COUNTIF(V$12:V157,V157)-1,"")</f>
        <v/>
      </c>
      <c r="Z157">
        <v>146</v>
      </c>
      <c r="AA157" s="422" t="str">
        <f t="shared" si="48"/>
        <v/>
      </c>
      <c r="AB157" s="498" t="str">
        <f t="shared" si="49"/>
        <v/>
      </c>
      <c r="AC157" s="423" t="str">
        <f t="shared" si="62"/>
        <v/>
      </c>
      <c r="AD157" s="470" t="str">
        <f t="shared" si="63"/>
        <v/>
      </c>
      <c r="AE157" s="468" t="str">
        <f t="shared" si="64"/>
        <v/>
      </c>
      <c r="AF157" s="457" t="str">
        <f t="shared" si="65"/>
        <v/>
      </c>
      <c r="AG157" s="472" t="str">
        <f t="shared" si="66"/>
        <v/>
      </c>
      <c r="AH157" s="490"/>
      <c r="AI157" s="488"/>
    </row>
    <row r="158" spans="1:35" x14ac:dyDescent="0.25">
      <c r="A158" t="str">
        <f>'New order'!U160</f>
        <v/>
      </c>
      <c r="B158" t="str">
        <f>'New order'!V160</f>
        <v/>
      </c>
      <c r="C158">
        <f>'New order'!AT160</f>
        <v>10</v>
      </c>
      <c r="D158" t="str">
        <f>'New order'!Y160</f>
        <v/>
      </c>
      <c r="E158">
        <f t="shared" si="50"/>
        <v>1</v>
      </c>
      <c r="F158">
        <f t="shared" si="51"/>
        <v>0</v>
      </c>
      <c r="G158" t="str">
        <f>'New order'!T160</f>
        <v/>
      </c>
      <c r="H158">
        <f>COUNTIF(C$12:C158,C158)</f>
        <v>147</v>
      </c>
      <c r="I158">
        <v>1</v>
      </c>
      <c r="J158">
        <f t="shared" si="52"/>
        <v>200</v>
      </c>
      <c r="K158" t="str">
        <f t="shared" si="68"/>
        <v/>
      </c>
      <c r="L158" t="str">
        <f t="shared" si="67"/>
        <v/>
      </c>
      <c r="M158" t="str">
        <f>IF(L158&lt;&gt;"",1+COUNT(M$12:M157),"")</f>
        <v/>
      </c>
      <c r="N158" t="str">
        <f t="shared" si="53"/>
        <v/>
      </c>
      <c r="O158" t="str">
        <f t="shared" si="54"/>
        <v/>
      </c>
      <c r="P158" t="str">
        <f t="shared" si="55"/>
        <v/>
      </c>
      <c r="Q158" t="str">
        <f t="shared" si="56"/>
        <v/>
      </c>
      <c r="R158" t="str">
        <f t="shared" si="57"/>
        <v/>
      </c>
      <c r="S158" t="str">
        <f t="shared" si="58"/>
        <v/>
      </c>
      <c r="T158" t="str">
        <f t="shared" si="59"/>
        <v/>
      </c>
      <c r="U158">
        <f t="shared" si="60"/>
        <v>0</v>
      </c>
      <c r="V158" t="str">
        <f t="shared" si="61"/>
        <v/>
      </c>
      <c r="W158" t="str">
        <f>IFERROR(RANK(V158,V$12:V$211,1)+COUNTIF(V$12:V158,V158)-1,"")</f>
        <v/>
      </c>
      <c r="Z158">
        <v>147</v>
      </c>
      <c r="AA158" s="422" t="str">
        <f t="shared" si="48"/>
        <v/>
      </c>
      <c r="AB158" s="498" t="str">
        <f t="shared" si="49"/>
        <v/>
      </c>
      <c r="AC158" s="423" t="str">
        <f t="shared" si="62"/>
        <v/>
      </c>
      <c r="AD158" s="470" t="str">
        <f t="shared" si="63"/>
        <v/>
      </c>
      <c r="AE158" s="468" t="str">
        <f t="shared" si="64"/>
        <v/>
      </c>
      <c r="AF158" s="457" t="str">
        <f t="shared" si="65"/>
        <v/>
      </c>
      <c r="AG158" s="472" t="str">
        <f t="shared" si="66"/>
        <v/>
      </c>
      <c r="AH158" s="490"/>
      <c r="AI158" s="488"/>
    </row>
    <row r="159" spans="1:35" x14ac:dyDescent="0.25">
      <c r="A159" t="str">
        <f>'New order'!U161</f>
        <v/>
      </c>
      <c r="B159" t="str">
        <f>'New order'!V161</f>
        <v/>
      </c>
      <c r="C159">
        <f>'New order'!AT161</f>
        <v>10</v>
      </c>
      <c r="D159" t="str">
        <f>'New order'!Y161</f>
        <v/>
      </c>
      <c r="E159">
        <f t="shared" si="50"/>
        <v>1</v>
      </c>
      <c r="F159">
        <f t="shared" si="51"/>
        <v>0</v>
      </c>
      <c r="G159" t="str">
        <f>'New order'!T161</f>
        <v/>
      </c>
      <c r="H159">
        <f>COUNTIF(C$12:C159,C159)</f>
        <v>148</v>
      </c>
      <c r="I159">
        <v>1</v>
      </c>
      <c r="J159">
        <f t="shared" si="52"/>
        <v>200</v>
      </c>
      <c r="K159" t="str">
        <f t="shared" si="68"/>
        <v/>
      </c>
      <c r="L159" t="str">
        <f t="shared" si="67"/>
        <v/>
      </c>
      <c r="M159" t="str">
        <f>IF(L159&lt;&gt;"",1+COUNT(M$12:M158),"")</f>
        <v/>
      </c>
      <c r="N159" t="str">
        <f t="shared" si="53"/>
        <v/>
      </c>
      <c r="O159" t="str">
        <f t="shared" si="54"/>
        <v/>
      </c>
      <c r="P159" t="str">
        <f t="shared" si="55"/>
        <v/>
      </c>
      <c r="Q159" t="str">
        <f t="shared" si="56"/>
        <v/>
      </c>
      <c r="R159" t="str">
        <f t="shared" si="57"/>
        <v/>
      </c>
      <c r="S159" t="str">
        <f t="shared" si="58"/>
        <v/>
      </c>
      <c r="T159" t="str">
        <f t="shared" si="59"/>
        <v/>
      </c>
      <c r="U159">
        <f t="shared" si="60"/>
        <v>0</v>
      </c>
      <c r="V159" t="str">
        <f t="shared" si="61"/>
        <v/>
      </c>
      <c r="W159" t="str">
        <f>IFERROR(RANK(V159,V$12:V$211,1)+COUNTIF(V$12:V159,V159)-1,"")</f>
        <v/>
      </c>
      <c r="Z159">
        <v>148</v>
      </c>
      <c r="AA159" s="422" t="str">
        <f t="shared" si="48"/>
        <v/>
      </c>
      <c r="AB159" s="498" t="str">
        <f t="shared" si="49"/>
        <v/>
      </c>
      <c r="AC159" s="423" t="str">
        <f t="shared" si="62"/>
        <v/>
      </c>
      <c r="AD159" s="470" t="str">
        <f t="shared" si="63"/>
        <v/>
      </c>
      <c r="AE159" s="468" t="str">
        <f t="shared" si="64"/>
        <v/>
      </c>
      <c r="AF159" s="457" t="str">
        <f t="shared" si="65"/>
        <v/>
      </c>
      <c r="AG159" s="472" t="str">
        <f t="shared" si="66"/>
        <v/>
      </c>
      <c r="AH159" s="490"/>
      <c r="AI159" s="488"/>
    </row>
    <row r="160" spans="1:35" x14ac:dyDescent="0.25">
      <c r="A160" t="str">
        <f>'New order'!U162</f>
        <v/>
      </c>
      <c r="B160" t="str">
        <f>'New order'!V162</f>
        <v/>
      </c>
      <c r="C160">
        <f>'New order'!AT162</f>
        <v>10</v>
      </c>
      <c r="D160" t="str">
        <f>'New order'!Y162</f>
        <v/>
      </c>
      <c r="E160">
        <f t="shared" si="50"/>
        <v>1</v>
      </c>
      <c r="F160">
        <f t="shared" si="51"/>
        <v>0</v>
      </c>
      <c r="G160" t="str">
        <f>'New order'!T162</f>
        <v/>
      </c>
      <c r="H160">
        <f>COUNTIF(C$12:C160,C160)</f>
        <v>149</v>
      </c>
      <c r="I160">
        <v>1</v>
      </c>
      <c r="J160">
        <f t="shared" si="52"/>
        <v>200</v>
      </c>
      <c r="K160" t="str">
        <f t="shared" si="68"/>
        <v/>
      </c>
      <c r="L160" t="str">
        <f t="shared" si="67"/>
        <v/>
      </c>
      <c r="M160" t="str">
        <f>IF(L160&lt;&gt;"",1+COUNT(M$12:M159),"")</f>
        <v/>
      </c>
      <c r="N160" t="str">
        <f t="shared" si="53"/>
        <v/>
      </c>
      <c r="O160" t="str">
        <f t="shared" si="54"/>
        <v/>
      </c>
      <c r="P160" t="str">
        <f t="shared" si="55"/>
        <v/>
      </c>
      <c r="Q160" t="str">
        <f t="shared" si="56"/>
        <v/>
      </c>
      <c r="R160" t="str">
        <f t="shared" si="57"/>
        <v/>
      </c>
      <c r="S160" t="str">
        <f t="shared" si="58"/>
        <v/>
      </c>
      <c r="T160" t="str">
        <f t="shared" si="59"/>
        <v/>
      </c>
      <c r="U160">
        <f t="shared" si="60"/>
        <v>0</v>
      </c>
      <c r="V160" t="str">
        <f t="shared" si="61"/>
        <v/>
      </c>
      <c r="W160" t="str">
        <f>IFERROR(RANK(V160,V$12:V$211,1)+COUNTIF(V$12:V160,V160)-1,"")</f>
        <v/>
      </c>
      <c r="Z160">
        <v>149</v>
      </c>
      <c r="AA160" s="422" t="str">
        <f t="shared" si="48"/>
        <v/>
      </c>
      <c r="AB160" s="498" t="str">
        <f t="shared" si="49"/>
        <v/>
      </c>
      <c r="AC160" s="423" t="str">
        <f t="shared" si="62"/>
        <v/>
      </c>
      <c r="AD160" s="470" t="str">
        <f t="shared" si="63"/>
        <v/>
      </c>
      <c r="AE160" s="468" t="str">
        <f t="shared" si="64"/>
        <v/>
      </c>
      <c r="AF160" s="457" t="str">
        <f t="shared" si="65"/>
        <v/>
      </c>
      <c r="AG160" s="472" t="str">
        <f t="shared" si="66"/>
        <v/>
      </c>
      <c r="AH160" s="490"/>
      <c r="AI160" s="488"/>
    </row>
    <row r="161" spans="1:35" x14ac:dyDescent="0.25">
      <c r="A161" t="str">
        <f>'New order'!U163</f>
        <v/>
      </c>
      <c r="B161" t="str">
        <f>'New order'!V163</f>
        <v/>
      </c>
      <c r="C161">
        <f>'New order'!AT163</f>
        <v>10</v>
      </c>
      <c r="D161" t="str">
        <f>'New order'!Y163</f>
        <v/>
      </c>
      <c r="E161">
        <f t="shared" si="50"/>
        <v>1</v>
      </c>
      <c r="F161">
        <f t="shared" si="51"/>
        <v>0</v>
      </c>
      <c r="G161" t="str">
        <f>'New order'!T163</f>
        <v/>
      </c>
      <c r="H161">
        <f>COUNTIF(C$12:C161,C161)</f>
        <v>150</v>
      </c>
      <c r="I161">
        <v>1</v>
      </c>
      <c r="J161">
        <f t="shared" si="52"/>
        <v>200</v>
      </c>
      <c r="K161" t="str">
        <f t="shared" si="68"/>
        <v/>
      </c>
      <c r="L161" t="str">
        <f t="shared" si="67"/>
        <v/>
      </c>
      <c r="M161" t="str">
        <f>IF(L161&lt;&gt;"",1+COUNT(M$12:M160),"")</f>
        <v/>
      </c>
      <c r="N161" t="str">
        <f t="shared" si="53"/>
        <v/>
      </c>
      <c r="O161" t="str">
        <f t="shared" si="54"/>
        <v/>
      </c>
      <c r="P161" t="str">
        <f t="shared" si="55"/>
        <v/>
      </c>
      <c r="Q161" t="str">
        <f t="shared" si="56"/>
        <v/>
      </c>
      <c r="R161" t="str">
        <f t="shared" si="57"/>
        <v/>
      </c>
      <c r="S161" t="str">
        <f t="shared" si="58"/>
        <v/>
      </c>
      <c r="T161" t="str">
        <f t="shared" si="59"/>
        <v/>
      </c>
      <c r="U161">
        <f t="shared" si="60"/>
        <v>0</v>
      </c>
      <c r="V161" t="str">
        <f t="shared" si="61"/>
        <v/>
      </c>
      <c r="W161" t="str">
        <f>IFERROR(RANK(V161,V$12:V$211,1)+COUNTIF(V$12:V161,V161)-1,"")</f>
        <v/>
      </c>
      <c r="Z161">
        <v>150</v>
      </c>
      <c r="AA161" s="422" t="str">
        <f t="shared" si="48"/>
        <v/>
      </c>
      <c r="AB161" s="498" t="str">
        <f t="shared" si="49"/>
        <v/>
      </c>
      <c r="AC161" s="423" t="str">
        <f t="shared" si="62"/>
        <v/>
      </c>
      <c r="AD161" s="470" t="str">
        <f t="shared" si="63"/>
        <v/>
      </c>
      <c r="AE161" s="468" t="str">
        <f t="shared" si="64"/>
        <v/>
      </c>
      <c r="AF161" s="457" t="str">
        <f t="shared" si="65"/>
        <v/>
      </c>
      <c r="AG161" s="472" t="str">
        <f t="shared" si="66"/>
        <v/>
      </c>
      <c r="AH161" s="490"/>
      <c r="AI161" s="488"/>
    </row>
    <row r="162" spans="1:35" x14ac:dyDescent="0.25">
      <c r="A162" t="str">
        <f>'New order'!U164</f>
        <v/>
      </c>
      <c r="B162" t="str">
        <f>'New order'!V164</f>
        <v/>
      </c>
      <c r="C162">
        <f>'New order'!AT164</f>
        <v>10</v>
      </c>
      <c r="D162" t="str">
        <f>'New order'!Y164</f>
        <v/>
      </c>
      <c r="E162">
        <f t="shared" si="50"/>
        <v>1</v>
      </c>
      <c r="F162">
        <f t="shared" si="51"/>
        <v>0</v>
      </c>
      <c r="G162" t="str">
        <f>'New order'!T164</f>
        <v/>
      </c>
      <c r="H162">
        <f>COUNTIF(C$12:C162,C162)</f>
        <v>151</v>
      </c>
      <c r="I162">
        <v>1</v>
      </c>
      <c r="J162">
        <f t="shared" si="52"/>
        <v>200</v>
      </c>
      <c r="K162" t="str">
        <f t="shared" si="68"/>
        <v/>
      </c>
      <c r="L162" t="str">
        <f t="shared" si="67"/>
        <v/>
      </c>
      <c r="M162" t="str">
        <f>IF(L162&lt;&gt;"",1+COUNT(M$12:M161),"")</f>
        <v/>
      </c>
      <c r="N162" t="str">
        <f t="shared" si="53"/>
        <v/>
      </c>
      <c r="O162" t="str">
        <f t="shared" si="54"/>
        <v/>
      </c>
      <c r="P162" t="str">
        <f t="shared" si="55"/>
        <v/>
      </c>
      <c r="Q162" t="str">
        <f t="shared" si="56"/>
        <v/>
      </c>
      <c r="R162" t="str">
        <f t="shared" si="57"/>
        <v/>
      </c>
      <c r="S162" t="str">
        <f t="shared" si="58"/>
        <v/>
      </c>
      <c r="T162" t="str">
        <f t="shared" si="59"/>
        <v/>
      </c>
      <c r="U162">
        <f t="shared" si="60"/>
        <v>0</v>
      </c>
      <c r="V162" t="str">
        <f t="shared" si="61"/>
        <v/>
      </c>
      <c r="W162" t="str">
        <f>IFERROR(RANK(V162,V$12:V$211,1)+COUNTIF(V$12:V162,V162)-1,"")</f>
        <v/>
      </c>
      <c r="Z162">
        <v>151</v>
      </c>
      <c r="AA162" s="422" t="str">
        <f t="shared" si="48"/>
        <v/>
      </c>
      <c r="AB162" s="498" t="str">
        <f t="shared" si="49"/>
        <v/>
      </c>
      <c r="AC162" s="423" t="str">
        <f t="shared" ref="AC162:AC211" si="69">_xlfn.SINGLE(_xlfn.XLOOKUP(Z162,W$12:W$211,N$12:N$211,""))</f>
        <v/>
      </c>
      <c r="AD162" s="470" t="str">
        <f t="shared" ref="AD162:AD211" si="70">_xlfn.SINGLE(_xlfn.XLOOKUP(Z162,W$12:W$211,P$12:P$211,""))</f>
        <v/>
      </c>
      <c r="AE162" s="468" t="str">
        <f t="shared" ref="AE162:AE211" si="71">_xlfn.SINGLE(_xlfn.XLOOKUP(Z162,W$12:W$211,Q$12:Q$211,""))</f>
        <v/>
      </c>
      <c r="AF162" s="457" t="str">
        <f t="shared" ref="AF162:AF211" si="72">_xlfn.SINGLE(_xlfn.XLOOKUP(Z162,W$12:W$211,R$12:R$211,""))</f>
        <v/>
      </c>
      <c r="AG162" s="472" t="str">
        <f t="shared" ref="AG162:AG211" si="73">_xlfn.SINGLE(_xlfn.XLOOKUP(Z162,W$12:W$211,S$12:S$211,""))</f>
        <v/>
      </c>
      <c r="AH162" s="490"/>
      <c r="AI162" s="488"/>
    </row>
    <row r="163" spans="1:35" x14ac:dyDescent="0.25">
      <c r="A163" t="str">
        <f>'New order'!U165</f>
        <v/>
      </c>
      <c r="B163" t="str">
        <f>'New order'!V165</f>
        <v/>
      </c>
      <c r="C163">
        <f>'New order'!AT165</f>
        <v>10</v>
      </c>
      <c r="D163" t="str">
        <f>'New order'!Y165</f>
        <v/>
      </c>
      <c r="E163">
        <f t="shared" si="50"/>
        <v>1</v>
      </c>
      <c r="F163">
        <f t="shared" si="51"/>
        <v>0</v>
      </c>
      <c r="G163" t="str">
        <f>'New order'!T165</f>
        <v/>
      </c>
      <c r="H163">
        <f>COUNTIF(C$12:C163,C163)</f>
        <v>152</v>
      </c>
      <c r="I163">
        <v>1</v>
      </c>
      <c r="J163">
        <f t="shared" si="52"/>
        <v>200</v>
      </c>
      <c r="K163" t="str">
        <f t="shared" si="68"/>
        <v/>
      </c>
      <c r="L163" t="str">
        <f t="shared" si="67"/>
        <v/>
      </c>
      <c r="M163" t="str">
        <f>IF(L163&lt;&gt;"",1+COUNT(M$12:M162),"")</f>
        <v/>
      </c>
      <c r="N163" t="str">
        <f t="shared" si="53"/>
        <v/>
      </c>
      <c r="O163" t="str">
        <f t="shared" si="54"/>
        <v/>
      </c>
      <c r="P163" t="str">
        <f t="shared" si="55"/>
        <v/>
      </c>
      <c r="Q163" t="str">
        <f t="shared" si="56"/>
        <v/>
      </c>
      <c r="R163" t="str">
        <f t="shared" si="57"/>
        <v/>
      </c>
      <c r="S163" t="str">
        <f t="shared" si="58"/>
        <v/>
      </c>
      <c r="T163" t="str">
        <f t="shared" si="59"/>
        <v/>
      </c>
      <c r="U163">
        <f t="shared" si="60"/>
        <v>0</v>
      </c>
      <c r="V163" t="str">
        <f t="shared" si="61"/>
        <v/>
      </c>
      <c r="W163" t="str">
        <f>IFERROR(RANK(V163,V$12:V$211,1)+COUNTIF(V$12:V163,V163)-1,"")</f>
        <v/>
      </c>
      <c r="Z163">
        <v>152</v>
      </c>
      <c r="AA163" s="422" t="str">
        <f t="shared" si="48"/>
        <v/>
      </c>
      <c r="AB163" s="498" t="str">
        <f t="shared" si="49"/>
        <v/>
      </c>
      <c r="AC163" s="423" t="str">
        <f t="shared" si="69"/>
        <v/>
      </c>
      <c r="AD163" s="470" t="str">
        <f t="shared" si="70"/>
        <v/>
      </c>
      <c r="AE163" s="468" t="str">
        <f t="shared" si="71"/>
        <v/>
      </c>
      <c r="AF163" s="457" t="str">
        <f t="shared" si="72"/>
        <v/>
      </c>
      <c r="AG163" s="472" t="str">
        <f t="shared" si="73"/>
        <v/>
      </c>
      <c r="AH163" s="490"/>
      <c r="AI163" s="488"/>
    </row>
    <row r="164" spans="1:35" x14ac:dyDescent="0.25">
      <c r="A164" t="str">
        <f>'New order'!U166</f>
        <v/>
      </c>
      <c r="B164" t="str">
        <f>'New order'!V166</f>
        <v/>
      </c>
      <c r="C164">
        <f>'New order'!AT166</f>
        <v>10</v>
      </c>
      <c r="D164" t="str">
        <f>'New order'!Y166</f>
        <v/>
      </c>
      <c r="E164">
        <f t="shared" si="50"/>
        <v>1</v>
      </c>
      <c r="F164">
        <f t="shared" si="51"/>
        <v>0</v>
      </c>
      <c r="G164" t="str">
        <f>'New order'!T166</f>
        <v/>
      </c>
      <c r="H164">
        <f>COUNTIF(C$12:C164,C164)</f>
        <v>153</v>
      </c>
      <c r="I164">
        <v>1</v>
      </c>
      <c r="J164">
        <f t="shared" si="52"/>
        <v>200</v>
      </c>
      <c r="K164" t="str">
        <f t="shared" si="68"/>
        <v/>
      </c>
      <c r="L164" t="str">
        <f t="shared" si="67"/>
        <v/>
      </c>
      <c r="M164" t="str">
        <f>IF(L164&lt;&gt;"",1+COUNT(M$12:M163),"")</f>
        <v/>
      </c>
      <c r="N164" t="str">
        <f t="shared" si="53"/>
        <v/>
      </c>
      <c r="O164" t="str">
        <f t="shared" si="54"/>
        <v/>
      </c>
      <c r="P164" t="str">
        <f t="shared" si="55"/>
        <v/>
      </c>
      <c r="Q164" t="str">
        <f t="shared" si="56"/>
        <v/>
      </c>
      <c r="R164" t="str">
        <f t="shared" si="57"/>
        <v/>
      </c>
      <c r="S164" t="str">
        <f t="shared" si="58"/>
        <v/>
      </c>
      <c r="T164" t="str">
        <f t="shared" si="59"/>
        <v/>
      </c>
      <c r="U164">
        <f t="shared" si="60"/>
        <v>0</v>
      </c>
      <c r="V164" t="str">
        <f t="shared" si="61"/>
        <v/>
      </c>
      <c r="W164" t="str">
        <f>IFERROR(RANK(V164,V$12:V$211,1)+COUNTIF(V$12:V164,V164)-1,"")</f>
        <v/>
      </c>
      <c r="Z164">
        <v>153</v>
      </c>
      <c r="AA164" s="422" t="str">
        <f t="shared" si="48"/>
        <v/>
      </c>
      <c r="AB164" s="498" t="str">
        <f t="shared" si="49"/>
        <v/>
      </c>
      <c r="AC164" s="423" t="str">
        <f t="shared" si="69"/>
        <v/>
      </c>
      <c r="AD164" s="470" t="str">
        <f t="shared" si="70"/>
        <v/>
      </c>
      <c r="AE164" s="468" t="str">
        <f t="shared" si="71"/>
        <v/>
      </c>
      <c r="AF164" s="457" t="str">
        <f t="shared" si="72"/>
        <v/>
      </c>
      <c r="AG164" s="472" t="str">
        <f t="shared" si="73"/>
        <v/>
      </c>
      <c r="AH164" s="490"/>
      <c r="AI164" s="488"/>
    </row>
    <row r="165" spans="1:35" x14ac:dyDescent="0.25">
      <c r="A165" t="str">
        <f>'New order'!U167</f>
        <v/>
      </c>
      <c r="B165" t="str">
        <f>'New order'!V167</f>
        <v/>
      </c>
      <c r="C165">
        <f>'New order'!AT167</f>
        <v>10</v>
      </c>
      <c r="D165" t="str">
        <f>'New order'!Y167</f>
        <v/>
      </c>
      <c r="E165">
        <f t="shared" si="50"/>
        <v>1</v>
      </c>
      <c r="F165">
        <f t="shared" si="51"/>
        <v>0</v>
      </c>
      <c r="G165" t="str">
        <f>'New order'!T167</f>
        <v/>
      </c>
      <c r="H165">
        <f>COUNTIF(C$12:C165,C165)</f>
        <v>154</v>
      </c>
      <c r="I165">
        <v>1</v>
      </c>
      <c r="J165">
        <f t="shared" si="52"/>
        <v>200</v>
      </c>
      <c r="K165" t="str">
        <f t="shared" si="68"/>
        <v/>
      </c>
      <c r="L165" t="str">
        <f t="shared" si="67"/>
        <v/>
      </c>
      <c r="M165" t="str">
        <f>IF(L165&lt;&gt;"",1+COUNT(M$12:M164),"")</f>
        <v/>
      </c>
      <c r="N165" t="str">
        <f t="shared" si="53"/>
        <v/>
      </c>
      <c r="O165" t="str">
        <f t="shared" si="54"/>
        <v/>
      </c>
      <c r="P165" t="str">
        <f t="shared" si="55"/>
        <v/>
      </c>
      <c r="Q165" t="str">
        <f t="shared" si="56"/>
        <v/>
      </c>
      <c r="R165" t="str">
        <f t="shared" si="57"/>
        <v/>
      </c>
      <c r="S165" t="str">
        <f t="shared" si="58"/>
        <v/>
      </c>
      <c r="T165" t="str">
        <f t="shared" si="59"/>
        <v/>
      </c>
      <c r="U165">
        <f t="shared" si="60"/>
        <v>0</v>
      </c>
      <c r="V165" t="str">
        <f t="shared" si="61"/>
        <v/>
      </c>
      <c r="W165" t="str">
        <f>IFERROR(RANK(V165,V$12:V$211,1)+COUNTIF(V$12:V165,V165)-1,"")</f>
        <v/>
      </c>
      <c r="Z165">
        <v>154</v>
      </c>
      <c r="AA165" s="422" t="str">
        <f t="shared" si="48"/>
        <v/>
      </c>
      <c r="AB165" s="498" t="str">
        <f t="shared" si="49"/>
        <v/>
      </c>
      <c r="AC165" s="423" t="str">
        <f t="shared" si="69"/>
        <v/>
      </c>
      <c r="AD165" s="470" t="str">
        <f t="shared" si="70"/>
        <v/>
      </c>
      <c r="AE165" s="468" t="str">
        <f t="shared" si="71"/>
        <v/>
      </c>
      <c r="AF165" s="457" t="str">
        <f t="shared" si="72"/>
        <v/>
      </c>
      <c r="AG165" s="472" t="str">
        <f t="shared" si="73"/>
        <v/>
      </c>
      <c r="AH165" s="490"/>
      <c r="AI165" s="488"/>
    </row>
    <row r="166" spans="1:35" x14ac:dyDescent="0.25">
      <c r="A166" t="str">
        <f>'New order'!U168</f>
        <v/>
      </c>
      <c r="B166" t="str">
        <f>'New order'!V168</f>
        <v/>
      </c>
      <c r="C166">
        <f>'New order'!AT168</f>
        <v>10</v>
      </c>
      <c r="D166" t="str">
        <f>'New order'!Y168</f>
        <v/>
      </c>
      <c r="E166">
        <f t="shared" si="50"/>
        <v>1</v>
      </c>
      <c r="F166">
        <f t="shared" si="51"/>
        <v>0</v>
      </c>
      <c r="G166" t="str">
        <f>'New order'!T168</f>
        <v/>
      </c>
      <c r="H166">
        <f>COUNTIF(C$12:C166,C166)</f>
        <v>155</v>
      </c>
      <c r="I166">
        <v>1</v>
      </c>
      <c r="J166">
        <f t="shared" si="52"/>
        <v>200</v>
      </c>
      <c r="K166" t="str">
        <f t="shared" si="68"/>
        <v/>
      </c>
      <c r="L166" t="str">
        <f t="shared" si="67"/>
        <v/>
      </c>
      <c r="M166" t="str">
        <f>IF(L166&lt;&gt;"",1+COUNT(M$12:M165),"")</f>
        <v/>
      </c>
      <c r="N166" t="str">
        <f t="shared" si="53"/>
        <v/>
      </c>
      <c r="O166" t="str">
        <f t="shared" si="54"/>
        <v/>
      </c>
      <c r="P166" t="str">
        <f t="shared" si="55"/>
        <v/>
      </c>
      <c r="Q166" t="str">
        <f t="shared" si="56"/>
        <v/>
      </c>
      <c r="R166" t="str">
        <f t="shared" si="57"/>
        <v/>
      </c>
      <c r="S166" t="str">
        <f t="shared" si="58"/>
        <v/>
      </c>
      <c r="T166" t="str">
        <f t="shared" si="59"/>
        <v/>
      </c>
      <c r="U166">
        <f t="shared" si="60"/>
        <v>0</v>
      </c>
      <c r="V166" t="str">
        <f t="shared" si="61"/>
        <v/>
      </c>
      <c r="W166" t="str">
        <f>IFERROR(RANK(V166,V$12:V$211,1)+COUNTIF(V$12:V166,V166)-1,"")</f>
        <v/>
      </c>
      <c r="Z166">
        <v>155</v>
      </c>
      <c r="AA166" s="422" t="str">
        <f t="shared" si="48"/>
        <v/>
      </c>
      <c r="AB166" s="498" t="str">
        <f t="shared" si="49"/>
        <v/>
      </c>
      <c r="AC166" s="423" t="str">
        <f t="shared" si="69"/>
        <v/>
      </c>
      <c r="AD166" s="470" t="str">
        <f t="shared" si="70"/>
        <v/>
      </c>
      <c r="AE166" s="468" t="str">
        <f t="shared" si="71"/>
        <v/>
      </c>
      <c r="AF166" s="457" t="str">
        <f t="shared" si="72"/>
        <v/>
      </c>
      <c r="AG166" s="472" t="str">
        <f t="shared" si="73"/>
        <v/>
      </c>
      <c r="AH166" s="490"/>
      <c r="AI166" s="488"/>
    </row>
    <row r="167" spans="1:35" x14ac:dyDescent="0.25">
      <c r="A167" t="str">
        <f>'New order'!U169</f>
        <v/>
      </c>
      <c r="B167" t="str">
        <f>'New order'!V169</f>
        <v/>
      </c>
      <c r="C167">
        <f>'New order'!AT169</f>
        <v>10</v>
      </c>
      <c r="D167" t="str">
        <f>'New order'!Y169</f>
        <v/>
      </c>
      <c r="E167">
        <f t="shared" si="50"/>
        <v>1</v>
      </c>
      <c r="F167">
        <f t="shared" si="51"/>
        <v>0</v>
      </c>
      <c r="G167" t="str">
        <f>'New order'!T169</f>
        <v/>
      </c>
      <c r="H167">
        <f>COUNTIF(C$12:C167,C167)</f>
        <v>156</v>
      </c>
      <c r="I167">
        <v>1</v>
      </c>
      <c r="J167">
        <f t="shared" si="52"/>
        <v>200</v>
      </c>
      <c r="K167" t="str">
        <f t="shared" si="68"/>
        <v/>
      </c>
      <c r="L167" t="str">
        <f t="shared" si="67"/>
        <v/>
      </c>
      <c r="M167" t="str">
        <f>IF(L167&lt;&gt;"",1+COUNT(M$12:M166),"")</f>
        <v/>
      </c>
      <c r="N167" t="str">
        <f t="shared" si="53"/>
        <v/>
      </c>
      <c r="O167" t="str">
        <f t="shared" si="54"/>
        <v/>
      </c>
      <c r="P167" t="str">
        <f t="shared" si="55"/>
        <v/>
      </c>
      <c r="Q167" t="str">
        <f t="shared" si="56"/>
        <v/>
      </c>
      <c r="R167" t="str">
        <f t="shared" si="57"/>
        <v/>
      </c>
      <c r="S167" t="str">
        <f t="shared" si="58"/>
        <v/>
      </c>
      <c r="T167" t="str">
        <f t="shared" si="59"/>
        <v/>
      </c>
      <c r="U167">
        <f t="shared" si="60"/>
        <v>0</v>
      </c>
      <c r="V167" t="str">
        <f t="shared" si="61"/>
        <v/>
      </c>
      <c r="W167" t="str">
        <f>IFERROR(RANK(V167,V$12:V$211,1)+COUNTIF(V$12:V167,V167)-1,"")</f>
        <v/>
      </c>
      <c r="Z167">
        <v>156</v>
      </c>
      <c r="AA167" s="422" t="str">
        <f t="shared" si="48"/>
        <v/>
      </c>
      <c r="AB167" s="498" t="str">
        <f t="shared" si="49"/>
        <v/>
      </c>
      <c r="AC167" s="423" t="str">
        <f t="shared" si="69"/>
        <v/>
      </c>
      <c r="AD167" s="470" t="str">
        <f t="shared" si="70"/>
        <v/>
      </c>
      <c r="AE167" s="468" t="str">
        <f t="shared" si="71"/>
        <v/>
      </c>
      <c r="AF167" s="457" t="str">
        <f t="shared" si="72"/>
        <v/>
      </c>
      <c r="AG167" s="472" t="str">
        <f t="shared" si="73"/>
        <v/>
      </c>
      <c r="AH167" s="490"/>
      <c r="AI167" s="488"/>
    </row>
    <row r="168" spans="1:35" x14ac:dyDescent="0.25">
      <c r="A168" t="str">
        <f>'New order'!U170</f>
        <v/>
      </c>
      <c r="B168" t="str">
        <f>'New order'!V170</f>
        <v/>
      </c>
      <c r="C168">
        <f>'New order'!AT170</f>
        <v>10</v>
      </c>
      <c r="D168" t="str">
        <f>'New order'!Y170</f>
        <v/>
      </c>
      <c r="E168">
        <f t="shared" si="50"/>
        <v>1</v>
      </c>
      <c r="F168">
        <f t="shared" si="51"/>
        <v>0</v>
      </c>
      <c r="G168" t="str">
        <f>'New order'!T170</f>
        <v/>
      </c>
      <c r="H168">
        <f>COUNTIF(C$12:C168,C168)</f>
        <v>157</v>
      </c>
      <c r="I168">
        <v>1</v>
      </c>
      <c r="J168">
        <f t="shared" si="52"/>
        <v>200</v>
      </c>
      <c r="K168" t="str">
        <f t="shared" si="68"/>
        <v/>
      </c>
      <c r="L168" t="str">
        <f t="shared" si="67"/>
        <v/>
      </c>
      <c r="M168" t="str">
        <f>IF(L168&lt;&gt;"",1+COUNT(M$12:M167),"")</f>
        <v/>
      </c>
      <c r="N168" t="str">
        <f t="shared" si="53"/>
        <v/>
      </c>
      <c r="O168" t="str">
        <f t="shared" si="54"/>
        <v/>
      </c>
      <c r="P168" t="str">
        <f t="shared" si="55"/>
        <v/>
      </c>
      <c r="Q168" t="str">
        <f t="shared" si="56"/>
        <v/>
      </c>
      <c r="R168" t="str">
        <f t="shared" si="57"/>
        <v/>
      </c>
      <c r="S168" t="str">
        <f t="shared" si="58"/>
        <v/>
      </c>
      <c r="T168" t="str">
        <f t="shared" si="59"/>
        <v/>
      </c>
      <c r="U168">
        <f t="shared" si="60"/>
        <v>0</v>
      </c>
      <c r="V168" t="str">
        <f t="shared" si="61"/>
        <v/>
      </c>
      <c r="W168" t="str">
        <f>IFERROR(RANK(V168,V$12:V$211,1)+COUNTIF(V$12:V168,V168)-1,"")</f>
        <v/>
      </c>
      <c r="Z168">
        <v>157</v>
      </c>
      <c r="AA168" s="422" t="str">
        <f t="shared" si="48"/>
        <v/>
      </c>
      <c r="AB168" s="498" t="str">
        <f t="shared" si="49"/>
        <v/>
      </c>
      <c r="AC168" s="423" t="str">
        <f t="shared" si="69"/>
        <v/>
      </c>
      <c r="AD168" s="470" t="str">
        <f t="shared" si="70"/>
        <v/>
      </c>
      <c r="AE168" s="468" t="str">
        <f t="shared" si="71"/>
        <v/>
      </c>
      <c r="AF168" s="457" t="str">
        <f t="shared" si="72"/>
        <v/>
      </c>
      <c r="AG168" s="472" t="str">
        <f t="shared" si="73"/>
        <v/>
      </c>
      <c r="AH168" s="490"/>
      <c r="AI168" s="488"/>
    </row>
    <row r="169" spans="1:35" x14ac:dyDescent="0.25">
      <c r="A169" t="str">
        <f>'New order'!U171</f>
        <v/>
      </c>
      <c r="B169" t="str">
        <f>'New order'!V171</f>
        <v/>
      </c>
      <c r="C169">
        <f>'New order'!AT171</f>
        <v>10</v>
      </c>
      <c r="D169" t="str">
        <f>'New order'!Y171</f>
        <v/>
      </c>
      <c r="E169">
        <f t="shared" si="50"/>
        <v>1</v>
      </c>
      <c r="F169">
        <f t="shared" si="51"/>
        <v>0</v>
      </c>
      <c r="G169" t="str">
        <f>'New order'!T171</f>
        <v/>
      </c>
      <c r="H169">
        <f>COUNTIF(C$12:C169,C169)</f>
        <v>158</v>
      </c>
      <c r="I169">
        <v>1</v>
      </c>
      <c r="J169">
        <f t="shared" si="52"/>
        <v>200</v>
      </c>
      <c r="K169" t="str">
        <f t="shared" si="68"/>
        <v/>
      </c>
      <c r="L169" t="str">
        <f t="shared" si="67"/>
        <v/>
      </c>
      <c r="M169" t="str">
        <f>IF(L169&lt;&gt;"",1+COUNT(M$12:M168),"")</f>
        <v/>
      </c>
      <c r="N169" t="str">
        <f t="shared" si="53"/>
        <v/>
      </c>
      <c r="O169" t="str">
        <f t="shared" si="54"/>
        <v/>
      </c>
      <c r="P169" t="str">
        <f t="shared" si="55"/>
        <v/>
      </c>
      <c r="Q169" t="str">
        <f t="shared" si="56"/>
        <v/>
      </c>
      <c r="R169" t="str">
        <f t="shared" si="57"/>
        <v/>
      </c>
      <c r="S169" t="str">
        <f t="shared" si="58"/>
        <v/>
      </c>
      <c r="T169" t="str">
        <f t="shared" si="59"/>
        <v/>
      </c>
      <c r="U169">
        <f t="shared" si="60"/>
        <v>0</v>
      </c>
      <c r="V169" t="str">
        <f t="shared" si="61"/>
        <v/>
      </c>
      <c r="W169" t="str">
        <f>IFERROR(RANK(V169,V$12:V$211,1)+COUNTIF(V$12:V169,V169)-1,"")</f>
        <v/>
      </c>
      <c r="Z169">
        <v>158</v>
      </c>
      <c r="AA169" s="422" t="str">
        <f t="shared" si="48"/>
        <v/>
      </c>
      <c r="AB169" s="498" t="str">
        <f t="shared" si="49"/>
        <v/>
      </c>
      <c r="AC169" s="423" t="str">
        <f t="shared" si="69"/>
        <v/>
      </c>
      <c r="AD169" s="470" t="str">
        <f t="shared" si="70"/>
        <v/>
      </c>
      <c r="AE169" s="468" t="str">
        <f t="shared" si="71"/>
        <v/>
      </c>
      <c r="AF169" s="457" t="str">
        <f t="shared" si="72"/>
        <v/>
      </c>
      <c r="AG169" s="472" t="str">
        <f t="shared" si="73"/>
        <v/>
      </c>
      <c r="AH169" s="490"/>
      <c r="AI169" s="488"/>
    </row>
    <row r="170" spans="1:35" x14ac:dyDescent="0.25">
      <c r="A170" t="str">
        <f>'New order'!U172</f>
        <v/>
      </c>
      <c r="B170" t="str">
        <f>'New order'!V172</f>
        <v/>
      </c>
      <c r="C170">
        <f>'New order'!AT172</f>
        <v>10</v>
      </c>
      <c r="D170" t="str">
        <f>'New order'!Y172</f>
        <v/>
      </c>
      <c r="E170">
        <f t="shared" si="50"/>
        <v>1</v>
      </c>
      <c r="F170">
        <f t="shared" si="51"/>
        <v>0</v>
      </c>
      <c r="G170" t="str">
        <f>'New order'!T172</f>
        <v/>
      </c>
      <c r="H170">
        <f>COUNTIF(C$12:C170,C170)</f>
        <v>159</v>
      </c>
      <c r="I170">
        <v>1</v>
      </c>
      <c r="J170">
        <f t="shared" si="52"/>
        <v>200</v>
      </c>
      <c r="K170" t="str">
        <f t="shared" si="68"/>
        <v/>
      </c>
      <c r="L170" t="str">
        <f t="shared" si="67"/>
        <v/>
      </c>
      <c r="M170" t="str">
        <f>IF(L170&lt;&gt;"",1+COUNT(M$12:M169),"")</f>
        <v/>
      </c>
      <c r="N170" t="str">
        <f t="shared" si="53"/>
        <v/>
      </c>
      <c r="O170" t="str">
        <f t="shared" si="54"/>
        <v/>
      </c>
      <c r="P170" t="str">
        <f t="shared" si="55"/>
        <v/>
      </c>
      <c r="Q170" t="str">
        <f t="shared" si="56"/>
        <v/>
      </c>
      <c r="R170" t="str">
        <f t="shared" si="57"/>
        <v/>
      </c>
      <c r="S170" t="str">
        <f t="shared" si="58"/>
        <v/>
      </c>
      <c r="T170" t="str">
        <f t="shared" si="59"/>
        <v/>
      </c>
      <c r="U170">
        <f t="shared" si="60"/>
        <v>0</v>
      </c>
      <c r="V170" t="str">
        <f t="shared" si="61"/>
        <v/>
      </c>
      <c r="W170" t="str">
        <f>IFERROR(RANK(V170,V$12:V$211,1)+COUNTIF(V$12:V170,V170)-1,"")</f>
        <v/>
      </c>
      <c r="Z170">
        <v>159</v>
      </c>
      <c r="AA170" s="422" t="str">
        <f t="shared" si="48"/>
        <v/>
      </c>
      <c r="AB170" s="498" t="str">
        <f t="shared" si="49"/>
        <v/>
      </c>
      <c r="AC170" s="423" t="str">
        <f t="shared" si="69"/>
        <v/>
      </c>
      <c r="AD170" s="470" t="str">
        <f t="shared" si="70"/>
        <v/>
      </c>
      <c r="AE170" s="468" t="str">
        <f t="shared" si="71"/>
        <v/>
      </c>
      <c r="AF170" s="457" t="str">
        <f t="shared" si="72"/>
        <v/>
      </c>
      <c r="AG170" s="472" t="str">
        <f t="shared" si="73"/>
        <v/>
      </c>
      <c r="AH170" s="490"/>
      <c r="AI170" s="488"/>
    </row>
    <row r="171" spans="1:35" x14ac:dyDescent="0.25">
      <c r="A171" t="str">
        <f>'New order'!U173</f>
        <v/>
      </c>
      <c r="B171" t="str">
        <f>'New order'!V173</f>
        <v/>
      </c>
      <c r="C171">
        <f>'New order'!AT173</f>
        <v>10</v>
      </c>
      <c r="D171" t="str">
        <f>'New order'!Y173</f>
        <v/>
      </c>
      <c r="E171">
        <f t="shared" si="50"/>
        <v>1</v>
      </c>
      <c r="F171">
        <f t="shared" si="51"/>
        <v>0</v>
      </c>
      <c r="G171" t="str">
        <f>'New order'!T173</f>
        <v/>
      </c>
      <c r="H171">
        <f>COUNTIF(C$12:C171,C171)</f>
        <v>160</v>
      </c>
      <c r="I171">
        <v>1</v>
      </c>
      <c r="J171">
        <f t="shared" si="52"/>
        <v>200</v>
      </c>
      <c r="K171" t="str">
        <f t="shared" si="68"/>
        <v/>
      </c>
      <c r="L171" t="str">
        <f t="shared" si="67"/>
        <v/>
      </c>
      <c r="M171" t="str">
        <f>IF(L171&lt;&gt;"",1+COUNT(M$12:M170),"")</f>
        <v/>
      </c>
      <c r="N171" t="str">
        <f t="shared" si="53"/>
        <v/>
      </c>
      <c r="O171" t="str">
        <f t="shared" si="54"/>
        <v/>
      </c>
      <c r="P171" t="str">
        <f t="shared" si="55"/>
        <v/>
      </c>
      <c r="Q171" t="str">
        <f t="shared" si="56"/>
        <v/>
      </c>
      <c r="R171" t="str">
        <f t="shared" si="57"/>
        <v/>
      </c>
      <c r="S171" t="str">
        <f t="shared" si="58"/>
        <v/>
      </c>
      <c r="T171" t="str">
        <f t="shared" si="59"/>
        <v/>
      </c>
      <c r="U171">
        <f t="shared" si="60"/>
        <v>0</v>
      </c>
      <c r="V171" t="str">
        <f t="shared" si="61"/>
        <v/>
      </c>
      <c r="W171" t="str">
        <f>IFERROR(RANK(V171,V$12:V$211,1)+COUNTIF(V$12:V171,V171)-1,"")</f>
        <v/>
      </c>
      <c r="Z171">
        <v>160</v>
      </c>
      <c r="AA171" s="422" t="str">
        <f t="shared" si="48"/>
        <v/>
      </c>
      <c r="AB171" s="498" t="str">
        <f t="shared" si="49"/>
        <v/>
      </c>
      <c r="AC171" s="423" t="str">
        <f t="shared" si="69"/>
        <v/>
      </c>
      <c r="AD171" s="470" t="str">
        <f t="shared" si="70"/>
        <v/>
      </c>
      <c r="AE171" s="468" t="str">
        <f t="shared" si="71"/>
        <v/>
      </c>
      <c r="AF171" s="457" t="str">
        <f t="shared" si="72"/>
        <v/>
      </c>
      <c r="AG171" s="472" t="str">
        <f t="shared" si="73"/>
        <v/>
      </c>
      <c r="AH171" s="490"/>
      <c r="AI171" s="488"/>
    </row>
    <row r="172" spans="1:35" x14ac:dyDescent="0.25">
      <c r="A172" t="str">
        <f>'New order'!U174</f>
        <v/>
      </c>
      <c r="B172" t="str">
        <f>'New order'!V174</f>
        <v/>
      </c>
      <c r="C172">
        <f>'New order'!AT174</f>
        <v>10</v>
      </c>
      <c r="D172" t="str">
        <f>'New order'!Y174</f>
        <v/>
      </c>
      <c r="E172">
        <f t="shared" si="50"/>
        <v>1</v>
      </c>
      <c r="F172">
        <f t="shared" si="51"/>
        <v>0</v>
      </c>
      <c r="G172" t="str">
        <f>'New order'!T174</f>
        <v/>
      </c>
      <c r="H172">
        <f>COUNTIF(C$12:C172,C172)</f>
        <v>161</v>
      </c>
      <c r="I172">
        <v>1</v>
      </c>
      <c r="J172">
        <f t="shared" si="52"/>
        <v>200</v>
      </c>
      <c r="K172" t="str">
        <f t="shared" si="68"/>
        <v/>
      </c>
      <c r="L172" t="str">
        <f t="shared" si="67"/>
        <v/>
      </c>
      <c r="M172" t="str">
        <f>IF(L172&lt;&gt;"",1+COUNT(M$12:M171),"")</f>
        <v/>
      </c>
      <c r="N172" t="str">
        <f t="shared" si="53"/>
        <v/>
      </c>
      <c r="O172" t="str">
        <f t="shared" si="54"/>
        <v/>
      </c>
      <c r="P172" t="str">
        <f t="shared" si="55"/>
        <v/>
      </c>
      <c r="Q172" t="str">
        <f t="shared" si="56"/>
        <v/>
      </c>
      <c r="R172" t="str">
        <f t="shared" si="57"/>
        <v/>
      </c>
      <c r="S172" t="str">
        <f t="shared" si="58"/>
        <v/>
      </c>
      <c r="T172" t="str">
        <f t="shared" si="59"/>
        <v/>
      </c>
      <c r="U172">
        <f t="shared" si="60"/>
        <v>0</v>
      </c>
      <c r="V172" t="str">
        <f t="shared" si="61"/>
        <v/>
      </c>
      <c r="W172" t="str">
        <f>IFERROR(RANK(V172,V$12:V$211,1)+COUNTIF(V$12:V172,V172)-1,"")</f>
        <v/>
      </c>
      <c r="Z172">
        <v>161</v>
      </c>
      <c r="AA172" s="422" t="str">
        <f t="shared" ref="AA172:AA203" si="74">_xlfn.SINGLE(_xlfn.XLOOKUP(Z172,W$12:W$211,O$12:O$211,""))</f>
        <v/>
      </c>
      <c r="AB172" s="498" t="str">
        <f t="shared" ref="AB172:AB203" si="75">_xlfn.SINGLE(_xlfn.XLOOKUP(Z172,W$12:W$211,T$12:T$211,""))</f>
        <v/>
      </c>
      <c r="AC172" s="423" t="str">
        <f t="shared" si="69"/>
        <v/>
      </c>
      <c r="AD172" s="470" t="str">
        <f t="shared" si="70"/>
        <v/>
      </c>
      <c r="AE172" s="468" t="str">
        <f t="shared" si="71"/>
        <v/>
      </c>
      <c r="AF172" s="457" t="str">
        <f t="shared" si="72"/>
        <v/>
      </c>
      <c r="AG172" s="472" t="str">
        <f t="shared" si="73"/>
        <v/>
      </c>
      <c r="AH172" s="490"/>
      <c r="AI172" s="488"/>
    </row>
    <row r="173" spans="1:35" x14ac:dyDescent="0.25">
      <c r="A173" t="str">
        <f>'New order'!U175</f>
        <v/>
      </c>
      <c r="B173" t="str">
        <f>'New order'!V175</f>
        <v/>
      </c>
      <c r="C173">
        <f>'New order'!AT175</f>
        <v>10</v>
      </c>
      <c r="D173" t="str">
        <f>'New order'!Y175</f>
        <v/>
      </c>
      <c r="E173">
        <f t="shared" si="50"/>
        <v>1</v>
      </c>
      <c r="F173">
        <f t="shared" si="51"/>
        <v>0</v>
      </c>
      <c r="G173" t="str">
        <f>'New order'!T175</f>
        <v/>
      </c>
      <c r="H173">
        <f>COUNTIF(C$12:C173,C173)</f>
        <v>162</v>
      </c>
      <c r="I173">
        <v>1</v>
      </c>
      <c r="J173">
        <f t="shared" si="52"/>
        <v>200</v>
      </c>
      <c r="K173" t="str">
        <f t="shared" si="68"/>
        <v/>
      </c>
      <c r="L173" t="str">
        <f t="shared" si="67"/>
        <v/>
      </c>
      <c r="M173" t="str">
        <f>IF(L173&lt;&gt;"",1+COUNT(M$12:M172),"")</f>
        <v/>
      </c>
      <c r="N173" t="str">
        <f t="shared" si="53"/>
        <v/>
      </c>
      <c r="O173" t="str">
        <f t="shared" si="54"/>
        <v/>
      </c>
      <c r="P173" t="str">
        <f t="shared" si="55"/>
        <v/>
      </c>
      <c r="Q173" t="str">
        <f t="shared" si="56"/>
        <v/>
      </c>
      <c r="R173" t="str">
        <f t="shared" si="57"/>
        <v/>
      </c>
      <c r="S173" t="str">
        <f t="shared" si="58"/>
        <v/>
      </c>
      <c r="T173" t="str">
        <f t="shared" si="59"/>
        <v/>
      </c>
      <c r="U173">
        <f t="shared" si="60"/>
        <v>0</v>
      </c>
      <c r="V173" t="str">
        <f t="shared" si="61"/>
        <v/>
      </c>
      <c r="W173" t="str">
        <f>IFERROR(RANK(V173,V$12:V$211,1)+COUNTIF(V$12:V173,V173)-1,"")</f>
        <v/>
      </c>
      <c r="Z173">
        <v>162</v>
      </c>
      <c r="AA173" s="422" t="str">
        <f t="shared" si="74"/>
        <v/>
      </c>
      <c r="AB173" s="498" t="str">
        <f t="shared" si="75"/>
        <v/>
      </c>
      <c r="AC173" s="423" t="str">
        <f t="shared" si="69"/>
        <v/>
      </c>
      <c r="AD173" s="470" t="str">
        <f t="shared" si="70"/>
        <v/>
      </c>
      <c r="AE173" s="468" t="str">
        <f t="shared" si="71"/>
        <v/>
      </c>
      <c r="AF173" s="457" t="str">
        <f t="shared" si="72"/>
        <v/>
      </c>
      <c r="AG173" s="472" t="str">
        <f t="shared" si="73"/>
        <v/>
      </c>
      <c r="AH173" s="490"/>
      <c r="AI173" s="488"/>
    </row>
    <row r="174" spans="1:35" x14ac:dyDescent="0.25">
      <c r="A174" t="str">
        <f>'New order'!U176</f>
        <v/>
      </c>
      <c r="B174" t="str">
        <f>'New order'!V176</f>
        <v/>
      </c>
      <c r="C174">
        <f>'New order'!AT176</f>
        <v>10</v>
      </c>
      <c r="D174" t="str">
        <f>'New order'!Y176</f>
        <v/>
      </c>
      <c r="E174">
        <f t="shared" si="50"/>
        <v>1</v>
      </c>
      <c r="F174">
        <f t="shared" si="51"/>
        <v>0</v>
      </c>
      <c r="G174" t="str">
        <f>'New order'!T176</f>
        <v/>
      </c>
      <c r="H174">
        <f>COUNTIF(C$12:C174,C174)</f>
        <v>163</v>
      </c>
      <c r="I174">
        <v>1</v>
      </c>
      <c r="J174">
        <f t="shared" si="52"/>
        <v>200</v>
      </c>
      <c r="K174" t="str">
        <f t="shared" si="68"/>
        <v/>
      </c>
      <c r="L174" t="str">
        <f t="shared" si="67"/>
        <v/>
      </c>
      <c r="M174" t="str">
        <f>IF(L174&lt;&gt;"",1+COUNT(M$12:M173),"")</f>
        <v/>
      </c>
      <c r="N174" t="str">
        <f t="shared" si="53"/>
        <v/>
      </c>
      <c r="O174" t="str">
        <f t="shared" si="54"/>
        <v/>
      </c>
      <c r="P174" t="str">
        <f t="shared" si="55"/>
        <v/>
      </c>
      <c r="Q174" t="str">
        <f t="shared" si="56"/>
        <v/>
      </c>
      <c r="R174" t="str">
        <f t="shared" si="57"/>
        <v/>
      </c>
      <c r="S174" t="str">
        <f t="shared" si="58"/>
        <v/>
      </c>
      <c r="T174" t="str">
        <f t="shared" si="59"/>
        <v/>
      </c>
      <c r="U174">
        <f t="shared" si="60"/>
        <v>0</v>
      </c>
      <c r="V174" t="str">
        <f t="shared" si="61"/>
        <v/>
      </c>
      <c r="W174" t="str">
        <f>IFERROR(RANK(V174,V$12:V$211,1)+COUNTIF(V$12:V174,V174)-1,"")</f>
        <v/>
      </c>
      <c r="Z174">
        <v>163</v>
      </c>
      <c r="AA174" s="422" t="str">
        <f t="shared" si="74"/>
        <v/>
      </c>
      <c r="AB174" s="498" t="str">
        <f t="shared" si="75"/>
        <v/>
      </c>
      <c r="AC174" s="423" t="str">
        <f t="shared" si="69"/>
        <v/>
      </c>
      <c r="AD174" s="470" t="str">
        <f t="shared" si="70"/>
        <v/>
      </c>
      <c r="AE174" s="468" t="str">
        <f t="shared" si="71"/>
        <v/>
      </c>
      <c r="AF174" s="457" t="str">
        <f t="shared" si="72"/>
        <v/>
      </c>
      <c r="AG174" s="472" t="str">
        <f t="shared" si="73"/>
        <v/>
      </c>
      <c r="AH174" s="490"/>
      <c r="AI174" s="488"/>
    </row>
    <row r="175" spans="1:35" x14ac:dyDescent="0.25">
      <c r="A175" t="str">
        <f>'New order'!U177</f>
        <v/>
      </c>
      <c r="B175" t="str">
        <f>'New order'!V177</f>
        <v/>
      </c>
      <c r="C175">
        <f>'New order'!AT177</f>
        <v>10</v>
      </c>
      <c r="D175" t="str">
        <f>'New order'!Y177</f>
        <v/>
      </c>
      <c r="E175">
        <f t="shared" si="50"/>
        <v>1</v>
      </c>
      <c r="F175">
        <f t="shared" si="51"/>
        <v>0</v>
      </c>
      <c r="G175" t="str">
        <f>'New order'!T177</f>
        <v/>
      </c>
      <c r="H175">
        <f>COUNTIF(C$12:C175,C175)</f>
        <v>164</v>
      </c>
      <c r="I175">
        <v>1</v>
      </c>
      <c r="J175">
        <f t="shared" si="52"/>
        <v>200</v>
      </c>
      <c r="K175" t="str">
        <f t="shared" si="68"/>
        <v/>
      </c>
      <c r="L175" t="str">
        <f t="shared" si="67"/>
        <v/>
      </c>
      <c r="M175" t="str">
        <f>IF(L175&lt;&gt;"",1+COUNT(M$12:M174),"")</f>
        <v/>
      </c>
      <c r="N175" t="str">
        <f t="shared" si="53"/>
        <v/>
      </c>
      <c r="O175" t="str">
        <f t="shared" si="54"/>
        <v/>
      </c>
      <c r="P175" t="str">
        <f t="shared" si="55"/>
        <v/>
      </c>
      <c r="Q175" t="str">
        <f t="shared" si="56"/>
        <v/>
      </c>
      <c r="R175" t="str">
        <f t="shared" si="57"/>
        <v/>
      </c>
      <c r="S175" t="str">
        <f t="shared" si="58"/>
        <v/>
      </c>
      <c r="T175" t="str">
        <f t="shared" si="59"/>
        <v/>
      </c>
      <c r="U175">
        <f t="shared" si="60"/>
        <v>0</v>
      </c>
      <c r="V175" t="str">
        <f t="shared" si="61"/>
        <v/>
      </c>
      <c r="W175" t="str">
        <f>IFERROR(RANK(V175,V$12:V$211,1)+COUNTIF(V$12:V175,V175)-1,"")</f>
        <v/>
      </c>
      <c r="Z175">
        <v>164</v>
      </c>
      <c r="AA175" s="422" t="str">
        <f t="shared" si="74"/>
        <v/>
      </c>
      <c r="AB175" s="498" t="str">
        <f t="shared" si="75"/>
        <v/>
      </c>
      <c r="AC175" s="423" t="str">
        <f t="shared" si="69"/>
        <v/>
      </c>
      <c r="AD175" s="470" t="str">
        <f t="shared" si="70"/>
        <v/>
      </c>
      <c r="AE175" s="468" t="str">
        <f t="shared" si="71"/>
        <v/>
      </c>
      <c r="AF175" s="457" t="str">
        <f t="shared" si="72"/>
        <v/>
      </c>
      <c r="AG175" s="472" t="str">
        <f t="shared" si="73"/>
        <v/>
      </c>
      <c r="AH175" s="490"/>
      <c r="AI175" s="488"/>
    </row>
    <row r="176" spans="1:35" x14ac:dyDescent="0.25">
      <c r="A176" t="str">
        <f>'New order'!U178</f>
        <v/>
      </c>
      <c r="B176" t="str">
        <f>'New order'!V178</f>
        <v/>
      </c>
      <c r="C176">
        <f>'New order'!AT178</f>
        <v>10</v>
      </c>
      <c r="D176" t="str">
        <f>'New order'!Y178</f>
        <v/>
      </c>
      <c r="E176">
        <f t="shared" si="50"/>
        <v>1</v>
      </c>
      <c r="F176">
        <f t="shared" si="51"/>
        <v>0</v>
      </c>
      <c r="G176" t="str">
        <f>'New order'!T178</f>
        <v/>
      </c>
      <c r="H176">
        <f>COUNTIF(C$12:C176,C176)</f>
        <v>165</v>
      </c>
      <c r="I176">
        <v>1</v>
      </c>
      <c r="J176">
        <f t="shared" si="52"/>
        <v>200</v>
      </c>
      <c r="K176" t="str">
        <f t="shared" si="68"/>
        <v/>
      </c>
      <c r="L176" t="str">
        <f t="shared" si="67"/>
        <v/>
      </c>
      <c r="M176" t="str">
        <f>IF(L176&lt;&gt;"",1+COUNT(M$12:M175),"")</f>
        <v/>
      </c>
      <c r="N176" t="str">
        <f t="shared" si="53"/>
        <v/>
      </c>
      <c r="O176" t="str">
        <f t="shared" si="54"/>
        <v/>
      </c>
      <c r="P176" t="str">
        <f t="shared" si="55"/>
        <v/>
      </c>
      <c r="Q176" t="str">
        <f t="shared" si="56"/>
        <v/>
      </c>
      <c r="R176" t="str">
        <f t="shared" si="57"/>
        <v/>
      </c>
      <c r="S176" t="str">
        <f t="shared" si="58"/>
        <v/>
      </c>
      <c r="T176" t="str">
        <f t="shared" si="59"/>
        <v/>
      </c>
      <c r="U176">
        <f t="shared" si="60"/>
        <v>0</v>
      </c>
      <c r="V176" t="str">
        <f t="shared" si="61"/>
        <v/>
      </c>
      <c r="W176" t="str">
        <f>IFERROR(RANK(V176,V$12:V$211,1)+COUNTIF(V$12:V176,V176)-1,"")</f>
        <v/>
      </c>
      <c r="Z176">
        <v>165</v>
      </c>
      <c r="AA176" s="422" t="str">
        <f t="shared" si="74"/>
        <v/>
      </c>
      <c r="AB176" s="498" t="str">
        <f t="shared" si="75"/>
        <v/>
      </c>
      <c r="AC176" s="423" t="str">
        <f t="shared" si="69"/>
        <v/>
      </c>
      <c r="AD176" s="470" t="str">
        <f t="shared" si="70"/>
        <v/>
      </c>
      <c r="AE176" s="468" t="str">
        <f t="shared" si="71"/>
        <v/>
      </c>
      <c r="AF176" s="457" t="str">
        <f t="shared" si="72"/>
        <v/>
      </c>
      <c r="AG176" s="472" t="str">
        <f t="shared" si="73"/>
        <v/>
      </c>
      <c r="AH176" s="490"/>
      <c r="AI176" s="488"/>
    </row>
    <row r="177" spans="1:35" x14ac:dyDescent="0.25">
      <c r="A177" t="str">
        <f>'New order'!U179</f>
        <v/>
      </c>
      <c r="B177" t="str">
        <f>'New order'!V179</f>
        <v/>
      </c>
      <c r="C177">
        <f>'New order'!AT179</f>
        <v>10</v>
      </c>
      <c r="D177" t="str">
        <f>'New order'!Y179</f>
        <v/>
      </c>
      <c r="E177">
        <f t="shared" si="50"/>
        <v>1</v>
      </c>
      <c r="F177">
        <f t="shared" si="51"/>
        <v>0</v>
      </c>
      <c r="G177" t="str">
        <f>'New order'!T179</f>
        <v/>
      </c>
      <c r="H177">
        <f>COUNTIF(C$12:C177,C177)</f>
        <v>166</v>
      </c>
      <c r="I177">
        <v>1</v>
      </c>
      <c r="J177">
        <f t="shared" si="52"/>
        <v>200</v>
      </c>
      <c r="K177" t="str">
        <f t="shared" si="68"/>
        <v/>
      </c>
      <c r="L177" t="str">
        <f t="shared" si="67"/>
        <v/>
      </c>
      <c r="M177" t="str">
        <f>IF(L177&lt;&gt;"",1+COUNT(M$12:M176),"")</f>
        <v/>
      </c>
      <c r="N177" t="str">
        <f t="shared" si="53"/>
        <v/>
      </c>
      <c r="O177" t="str">
        <f t="shared" si="54"/>
        <v/>
      </c>
      <c r="P177" t="str">
        <f t="shared" si="55"/>
        <v/>
      </c>
      <c r="Q177" t="str">
        <f t="shared" si="56"/>
        <v/>
      </c>
      <c r="R177" t="str">
        <f t="shared" si="57"/>
        <v/>
      </c>
      <c r="S177" t="str">
        <f t="shared" si="58"/>
        <v/>
      </c>
      <c r="T177" t="str">
        <f t="shared" si="59"/>
        <v/>
      </c>
      <c r="U177">
        <f t="shared" si="60"/>
        <v>0</v>
      </c>
      <c r="V177" t="str">
        <f t="shared" si="61"/>
        <v/>
      </c>
      <c r="W177" t="str">
        <f>IFERROR(RANK(V177,V$12:V$211,1)+COUNTIF(V$12:V177,V177)-1,"")</f>
        <v/>
      </c>
      <c r="Z177">
        <v>166</v>
      </c>
      <c r="AA177" s="422" t="str">
        <f t="shared" si="74"/>
        <v/>
      </c>
      <c r="AB177" s="498" t="str">
        <f t="shared" si="75"/>
        <v/>
      </c>
      <c r="AC177" s="423" t="str">
        <f t="shared" si="69"/>
        <v/>
      </c>
      <c r="AD177" s="470" t="str">
        <f t="shared" si="70"/>
        <v/>
      </c>
      <c r="AE177" s="468" t="str">
        <f t="shared" si="71"/>
        <v/>
      </c>
      <c r="AF177" s="457" t="str">
        <f t="shared" si="72"/>
        <v/>
      </c>
      <c r="AG177" s="472" t="str">
        <f t="shared" si="73"/>
        <v/>
      </c>
      <c r="AH177" s="490"/>
      <c r="AI177" s="488"/>
    </row>
    <row r="178" spans="1:35" x14ac:dyDescent="0.25">
      <c r="A178" t="str">
        <f>'New order'!U180</f>
        <v/>
      </c>
      <c r="B178" t="str">
        <f>'New order'!V180</f>
        <v/>
      </c>
      <c r="C178">
        <f>'New order'!AT180</f>
        <v>10</v>
      </c>
      <c r="D178" t="str">
        <f>'New order'!Y180</f>
        <v/>
      </c>
      <c r="E178">
        <f t="shared" si="50"/>
        <v>1</v>
      </c>
      <c r="F178">
        <f t="shared" si="51"/>
        <v>0</v>
      </c>
      <c r="G178" t="str">
        <f>'New order'!T180</f>
        <v/>
      </c>
      <c r="H178">
        <f>COUNTIF(C$12:C178,C178)</f>
        <v>167</v>
      </c>
      <c r="I178">
        <v>1</v>
      </c>
      <c r="J178">
        <f t="shared" si="52"/>
        <v>200</v>
      </c>
      <c r="K178" t="str">
        <f t="shared" si="68"/>
        <v/>
      </c>
      <c r="L178" t="str">
        <f t="shared" si="67"/>
        <v/>
      </c>
      <c r="M178" t="str">
        <f>IF(L178&lt;&gt;"",1+COUNT(M$12:M177),"")</f>
        <v/>
      </c>
      <c r="N178" t="str">
        <f t="shared" si="53"/>
        <v/>
      </c>
      <c r="O178" t="str">
        <f t="shared" si="54"/>
        <v/>
      </c>
      <c r="P178" t="str">
        <f t="shared" si="55"/>
        <v/>
      </c>
      <c r="Q178" t="str">
        <f t="shared" si="56"/>
        <v/>
      </c>
      <c r="R178" t="str">
        <f t="shared" si="57"/>
        <v/>
      </c>
      <c r="S178" t="str">
        <f t="shared" si="58"/>
        <v/>
      </c>
      <c r="T178" t="str">
        <f t="shared" si="59"/>
        <v/>
      </c>
      <c r="U178">
        <f t="shared" si="60"/>
        <v>0</v>
      </c>
      <c r="V178" t="str">
        <f t="shared" si="61"/>
        <v/>
      </c>
      <c r="W178" t="str">
        <f>IFERROR(RANK(V178,V$12:V$211,1)+COUNTIF(V$12:V178,V178)-1,"")</f>
        <v/>
      </c>
      <c r="Z178">
        <v>167</v>
      </c>
      <c r="AA178" s="422" t="str">
        <f t="shared" si="74"/>
        <v/>
      </c>
      <c r="AB178" s="498" t="str">
        <f t="shared" si="75"/>
        <v/>
      </c>
      <c r="AC178" s="423" t="str">
        <f t="shared" si="69"/>
        <v/>
      </c>
      <c r="AD178" s="470" t="str">
        <f t="shared" si="70"/>
        <v/>
      </c>
      <c r="AE178" s="468" t="str">
        <f t="shared" si="71"/>
        <v/>
      </c>
      <c r="AF178" s="457" t="str">
        <f t="shared" si="72"/>
        <v/>
      </c>
      <c r="AG178" s="472" t="str">
        <f t="shared" si="73"/>
        <v/>
      </c>
      <c r="AH178" s="490"/>
      <c r="AI178" s="488"/>
    </row>
    <row r="179" spans="1:35" x14ac:dyDescent="0.25">
      <c r="A179" t="str">
        <f>'New order'!U181</f>
        <v/>
      </c>
      <c r="B179" t="str">
        <f>'New order'!V181</f>
        <v/>
      </c>
      <c r="C179">
        <f>'New order'!AT181</f>
        <v>10</v>
      </c>
      <c r="D179" t="str">
        <f>'New order'!Y181</f>
        <v/>
      </c>
      <c r="E179">
        <f t="shared" si="50"/>
        <v>1</v>
      </c>
      <c r="F179">
        <f t="shared" si="51"/>
        <v>0</v>
      </c>
      <c r="G179" t="str">
        <f>'New order'!T181</f>
        <v/>
      </c>
      <c r="H179">
        <f>COUNTIF(C$12:C179,C179)</f>
        <v>168</v>
      </c>
      <c r="I179">
        <v>1</v>
      </c>
      <c r="J179">
        <f t="shared" si="52"/>
        <v>200</v>
      </c>
      <c r="K179" t="str">
        <f t="shared" si="68"/>
        <v/>
      </c>
      <c r="L179" t="str">
        <f t="shared" si="67"/>
        <v/>
      </c>
      <c r="M179" t="str">
        <f>IF(L179&lt;&gt;"",1+COUNT(M$12:M178),"")</f>
        <v/>
      </c>
      <c r="N179" t="str">
        <f t="shared" si="53"/>
        <v/>
      </c>
      <c r="O179" t="str">
        <f t="shared" si="54"/>
        <v/>
      </c>
      <c r="P179" t="str">
        <f t="shared" si="55"/>
        <v/>
      </c>
      <c r="Q179" t="str">
        <f t="shared" si="56"/>
        <v/>
      </c>
      <c r="R179" t="str">
        <f t="shared" si="57"/>
        <v/>
      </c>
      <c r="S179" t="str">
        <f t="shared" si="58"/>
        <v/>
      </c>
      <c r="T179" t="str">
        <f t="shared" si="59"/>
        <v/>
      </c>
      <c r="U179">
        <f t="shared" si="60"/>
        <v>0</v>
      </c>
      <c r="V179" t="str">
        <f t="shared" si="61"/>
        <v/>
      </c>
      <c r="W179" t="str">
        <f>IFERROR(RANK(V179,V$12:V$211,1)+COUNTIF(V$12:V179,V179)-1,"")</f>
        <v/>
      </c>
      <c r="Z179">
        <v>168</v>
      </c>
      <c r="AA179" s="422" t="str">
        <f t="shared" si="74"/>
        <v/>
      </c>
      <c r="AB179" s="498" t="str">
        <f t="shared" si="75"/>
        <v/>
      </c>
      <c r="AC179" s="423" t="str">
        <f t="shared" si="69"/>
        <v/>
      </c>
      <c r="AD179" s="470" t="str">
        <f t="shared" si="70"/>
        <v/>
      </c>
      <c r="AE179" s="468" t="str">
        <f t="shared" si="71"/>
        <v/>
      </c>
      <c r="AF179" s="457" t="str">
        <f t="shared" si="72"/>
        <v/>
      </c>
      <c r="AG179" s="472" t="str">
        <f t="shared" si="73"/>
        <v/>
      </c>
      <c r="AH179" s="490"/>
      <c r="AI179" s="488"/>
    </row>
    <row r="180" spans="1:35" x14ac:dyDescent="0.25">
      <c r="A180" t="str">
        <f>'New order'!U182</f>
        <v/>
      </c>
      <c r="B180" t="str">
        <f>'New order'!V182</f>
        <v/>
      </c>
      <c r="C180">
        <f>'New order'!AT182</f>
        <v>10</v>
      </c>
      <c r="D180" t="str">
        <f>'New order'!Y182</f>
        <v/>
      </c>
      <c r="E180">
        <f t="shared" si="50"/>
        <v>1</v>
      </c>
      <c r="F180">
        <f t="shared" si="51"/>
        <v>0</v>
      </c>
      <c r="G180" t="str">
        <f>'New order'!T182</f>
        <v/>
      </c>
      <c r="H180">
        <f>COUNTIF(C$12:C180,C180)</f>
        <v>169</v>
      </c>
      <c r="I180">
        <v>1</v>
      </c>
      <c r="J180">
        <f t="shared" si="52"/>
        <v>200</v>
      </c>
      <c r="K180" t="str">
        <f t="shared" si="68"/>
        <v/>
      </c>
      <c r="L180" t="str">
        <f t="shared" si="67"/>
        <v/>
      </c>
      <c r="M180" t="str">
        <f>IF(L180&lt;&gt;"",1+COUNT(M$12:M179),"")</f>
        <v/>
      </c>
      <c r="N180" t="str">
        <f t="shared" si="53"/>
        <v/>
      </c>
      <c r="O180" t="str">
        <f t="shared" si="54"/>
        <v/>
      </c>
      <c r="P180" t="str">
        <f t="shared" si="55"/>
        <v/>
      </c>
      <c r="Q180" t="str">
        <f t="shared" si="56"/>
        <v/>
      </c>
      <c r="R180" t="str">
        <f t="shared" si="57"/>
        <v/>
      </c>
      <c r="S180" t="str">
        <f t="shared" si="58"/>
        <v/>
      </c>
      <c r="T180" t="str">
        <f t="shared" si="59"/>
        <v/>
      </c>
      <c r="U180">
        <f t="shared" si="60"/>
        <v>0</v>
      </c>
      <c r="V180" t="str">
        <f t="shared" si="61"/>
        <v/>
      </c>
      <c r="W180" t="str">
        <f>IFERROR(RANK(V180,V$12:V$211,1)+COUNTIF(V$12:V180,V180)-1,"")</f>
        <v/>
      </c>
      <c r="Z180">
        <v>169</v>
      </c>
      <c r="AA180" s="422" t="str">
        <f t="shared" si="74"/>
        <v/>
      </c>
      <c r="AB180" s="498" t="str">
        <f t="shared" si="75"/>
        <v/>
      </c>
      <c r="AC180" s="423" t="str">
        <f t="shared" si="69"/>
        <v/>
      </c>
      <c r="AD180" s="470" t="str">
        <f t="shared" si="70"/>
        <v/>
      </c>
      <c r="AE180" s="468" t="str">
        <f t="shared" si="71"/>
        <v/>
      </c>
      <c r="AF180" s="457" t="str">
        <f t="shared" si="72"/>
        <v/>
      </c>
      <c r="AG180" s="472" t="str">
        <f t="shared" si="73"/>
        <v/>
      </c>
      <c r="AH180" s="490"/>
      <c r="AI180" s="488"/>
    </row>
    <row r="181" spans="1:35" x14ac:dyDescent="0.25">
      <c r="A181" t="str">
        <f>'New order'!U183</f>
        <v/>
      </c>
      <c r="B181" t="str">
        <f>'New order'!V183</f>
        <v/>
      </c>
      <c r="C181">
        <f>'New order'!AT183</f>
        <v>10</v>
      </c>
      <c r="D181" t="str">
        <f>'New order'!Y183</f>
        <v/>
      </c>
      <c r="E181">
        <f t="shared" si="50"/>
        <v>1</v>
      </c>
      <c r="F181">
        <f t="shared" si="51"/>
        <v>0</v>
      </c>
      <c r="G181" t="str">
        <f>'New order'!T183</f>
        <v/>
      </c>
      <c r="H181">
        <f>COUNTIF(C$12:C181,C181)</f>
        <v>170</v>
      </c>
      <c r="I181">
        <v>1</v>
      </c>
      <c r="J181">
        <f t="shared" si="52"/>
        <v>200</v>
      </c>
      <c r="K181" t="str">
        <f t="shared" si="68"/>
        <v/>
      </c>
      <c r="L181" t="str">
        <f t="shared" si="67"/>
        <v/>
      </c>
      <c r="M181" t="str">
        <f>IF(L181&lt;&gt;"",1+COUNT(M$12:M180),"")</f>
        <v/>
      </c>
      <c r="N181" t="str">
        <f t="shared" si="53"/>
        <v/>
      </c>
      <c r="O181" t="str">
        <f t="shared" si="54"/>
        <v/>
      </c>
      <c r="P181" t="str">
        <f t="shared" si="55"/>
        <v/>
      </c>
      <c r="Q181" t="str">
        <f t="shared" si="56"/>
        <v/>
      </c>
      <c r="R181" t="str">
        <f t="shared" si="57"/>
        <v/>
      </c>
      <c r="S181" t="str">
        <f t="shared" si="58"/>
        <v/>
      </c>
      <c r="T181" t="str">
        <f t="shared" si="59"/>
        <v/>
      </c>
      <c r="U181">
        <f t="shared" si="60"/>
        <v>0</v>
      </c>
      <c r="V181" t="str">
        <f t="shared" si="61"/>
        <v/>
      </c>
      <c r="W181" t="str">
        <f>IFERROR(RANK(V181,V$12:V$211,1)+COUNTIF(V$12:V181,V181)-1,"")</f>
        <v/>
      </c>
      <c r="Z181">
        <v>170</v>
      </c>
      <c r="AA181" s="422" t="str">
        <f t="shared" si="74"/>
        <v/>
      </c>
      <c r="AB181" s="498" t="str">
        <f t="shared" si="75"/>
        <v/>
      </c>
      <c r="AC181" s="423" t="str">
        <f t="shared" si="69"/>
        <v/>
      </c>
      <c r="AD181" s="470" t="str">
        <f t="shared" si="70"/>
        <v/>
      </c>
      <c r="AE181" s="468" t="str">
        <f t="shared" si="71"/>
        <v/>
      </c>
      <c r="AF181" s="457" t="str">
        <f t="shared" si="72"/>
        <v/>
      </c>
      <c r="AG181" s="472" t="str">
        <f t="shared" si="73"/>
        <v/>
      </c>
      <c r="AH181" s="490"/>
      <c r="AI181" s="488"/>
    </row>
    <row r="182" spans="1:35" x14ac:dyDescent="0.25">
      <c r="A182" t="str">
        <f>'New order'!U184</f>
        <v/>
      </c>
      <c r="B182" t="str">
        <f>'New order'!V184</f>
        <v/>
      </c>
      <c r="C182">
        <f>'New order'!AT184</f>
        <v>10</v>
      </c>
      <c r="D182" t="str">
        <f>'New order'!Y184</f>
        <v/>
      </c>
      <c r="E182">
        <f t="shared" si="50"/>
        <v>1</v>
      </c>
      <c r="F182">
        <f t="shared" si="51"/>
        <v>0</v>
      </c>
      <c r="G182" t="str">
        <f>'New order'!T184</f>
        <v/>
      </c>
      <c r="H182">
        <f>COUNTIF(C$12:C182,C182)</f>
        <v>171</v>
      </c>
      <c r="I182">
        <v>1</v>
      </c>
      <c r="J182">
        <f t="shared" si="52"/>
        <v>200</v>
      </c>
      <c r="K182" t="str">
        <f t="shared" si="68"/>
        <v/>
      </c>
      <c r="L182" t="str">
        <f t="shared" si="67"/>
        <v/>
      </c>
      <c r="M182" t="str">
        <f>IF(L182&lt;&gt;"",1+COUNT(M$12:M181),"")</f>
        <v/>
      </c>
      <c r="N182" t="str">
        <f t="shared" si="53"/>
        <v/>
      </c>
      <c r="O182" t="str">
        <f t="shared" si="54"/>
        <v/>
      </c>
      <c r="P182" t="str">
        <f t="shared" si="55"/>
        <v/>
      </c>
      <c r="Q182" t="str">
        <f t="shared" si="56"/>
        <v/>
      </c>
      <c r="R182" t="str">
        <f t="shared" si="57"/>
        <v/>
      </c>
      <c r="S182" t="str">
        <f t="shared" si="58"/>
        <v/>
      </c>
      <c r="T182" t="str">
        <f t="shared" si="59"/>
        <v/>
      </c>
      <c r="U182">
        <f t="shared" si="60"/>
        <v>0</v>
      </c>
      <c r="V182" t="str">
        <f t="shared" si="61"/>
        <v/>
      </c>
      <c r="W182" t="str">
        <f>IFERROR(RANK(V182,V$12:V$211,1)+COUNTIF(V$12:V182,V182)-1,"")</f>
        <v/>
      </c>
      <c r="Z182">
        <v>171</v>
      </c>
      <c r="AA182" s="422" t="str">
        <f t="shared" si="74"/>
        <v/>
      </c>
      <c r="AB182" s="498" t="str">
        <f t="shared" si="75"/>
        <v/>
      </c>
      <c r="AC182" s="423" t="str">
        <f t="shared" si="69"/>
        <v/>
      </c>
      <c r="AD182" s="470" t="str">
        <f t="shared" si="70"/>
        <v/>
      </c>
      <c r="AE182" s="468" t="str">
        <f t="shared" si="71"/>
        <v/>
      </c>
      <c r="AF182" s="457" t="str">
        <f t="shared" si="72"/>
        <v/>
      </c>
      <c r="AG182" s="472" t="str">
        <f t="shared" si="73"/>
        <v/>
      </c>
      <c r="AH182" s="490"/>
      <c r="AI182" s="488"/>
    </row>
    <row r="183" spans="1:35" x14ac:dyDescent="0.25">
      <c r="A183" t="str">
        <f>'New order'!U185</f>
        <v/>
      </c>
      <c r="B183" t="str">
        <f>'New order'!V185</f>
        <v/>
      </c>
      <c r="C183">
        <f>'New order'!AT185</f>
        <v>10</v>
      </c>
      <c r="D183" t="str">
        <f>'New order'!Y185</f>
        <v/>
      </c>
      <c r="E183">
        <f t="shared" si="50"/>
        <v>1</v>
      </c>
      <c r="F183">
        <f t="shared" si="51"/>
        <v>0</v>
      </c>
      <c r="G183" t="str">
        <f>'New order'!T185</f>
        <v/>
      </c>
      <c r="H183">
        <f>COUNTIF(C$12:C183,C183)</f>
        <v>172</v>
      </c>
      <c r="I183">
        <v>1</v>
      </c>
      <c r="J183">
        <f t="shared" si="52"/>
        <v>200</v>
      </c>
      <c r="K183" t="str">
        <f t="shared" si="68"/>
        <v/>
      </c>
      <c r="L183" t="str">
        <f t="shared" si="67"/>
        <v/>
      </c>
      <c r="M183" t="str">
        <f>IF(L183&lt;&gt;"",1+COUNT(M$12:M182),"")</f>
        <v/>
      </c>
      <c r="N183" t="str">
        <f t="shared" si="53"/>
        <v/>
      </c>
      <c r="O183" t="str">
        <f t="shared" si="54"/>
        <v/>
      </c>
      <c r="P183" t="str">
        <f t="shared" si="55"/>
        <v/>
      </c>
      <c r="Q183" t="str">
        <f t="shared" si="56"/>
        <v/>
      </c>
      <c r="R183" t="str">
        <f t="shared" si="57"/>
        <v/>
      </c>
      <c r="S183" t="str">
        <f t="shared" si="58"/>
        <v/>
      </c>
      <c r="T183" t="str">
        <f t="shared" si="59"/>
        <v/>
      </c>
      <c r="U183">
        <f t="shared" si="60"/>
        <v>0</v>
      </c>
      <c r="V183" t="str">
        <f t="shared" si="61"/>
        <v/>
      </c>
      <c r="W183" t="str">
        <f>IFERROR(RANK(V183,V$12:V$211,1)+COUNTIF(V$12:V183,V183)-1,"")</f>
        <v/>
      </c>
      <c r="Z183">
        <v>172</v>
      </c>
      <c r="AA183" s="422" t="str">
        <f t="shared" si="74"/>
        <v/>
      </c>
      <c r="AB183" s="498" t="str">
        <f t="shared" si="75"/>
        <v/>
      </c>
      <c r="AC183" s="423" t="str">
        <f t="shared" si="69"/>
        <v/>
      </c>
      <c r="AD183" s="470" t="str">
        <f t="shared" si="70"/>
        <v/>
      </c>
      <c r="AE183" s="468" t="str">
        <f t="shared" si="71"/>
        <v/>
      </c>
      <c r="AF183" s="457" t="str">
        <f t="shared" si="72"/>
        <v/>
      </c>
      <c r="AG183" s="472" t="str">
        <f t="shared" si="73"/>
        <v/>
      </c>
      <c r="AH183" s="490"/>
      <c r="AI183" s="488"/>
    </row>
    <row r="184" spans="1:35" x14ac:dyDescent="0.25">
      <c r="A184" t="str">
        <f>'New order'!U186</f>
        <v/>
      </c>
      <c r="B184" t="str">
        <f>'New order'!V186</f>
        <v/>
      </c>
      <c r="C184">
        <f>'New order'!AT186</f>
        <v>10</v>
      </c>
      <c r="D184" t="str">
        <f>'New order'!Y186</f>
        <v/>
      </c>
      <c r="E184">
        <f t="shared" si="50"/>
        <v>1</v>
      </c>
      <c r="F184">
        <f t="shared" si="51"/>
        <v>0</v>
      </c>
      <c r="G184" t="str">
        <f>'New order'!T186</f>
        <v/>
      </c>
      <c r="H184">
        <f>COUNTIF(C$12:C184,C184)</f>
        <v>173</v>
      </c>
      <c r="I184">
        <v>1</v>
      </c>
      <c r="J184">
        <f t="shared" si="52"/>
        <v>200</v>
      </c>
      <c r="K184" t="str">
        <f t="shared" si="68"/>
        <v/>
      </c>
      <c r="L184" t="str">
        <f t="shared" si="67"/>
        <v/>
      </c>
      <c r="M184" t="str">
        <f>IF(L184&lt;&gt;"",1+COUNT(M$12:M183),"")</f>
        <v/>
      </c>
      <c r="N184" t="str">
        <f t="shared" si="53"/>
        <v/>
      </c>
      <c r="O184" t="str">
        <f t="shared" si="54"/>
        <v/>
      </c>
      <c r="P184" t="str">
        <f t="shared" si="55"/>
        <v/>
      </c>
      <c r="Q184" t="str">
        <f t="shared" si="56"/>
        <v/>
      </c>
      <c r="R184" t="str">
        <f t="shared" si="57"/>
        <v/>
      </c>
      <c r="S184" t="str">
        <f t="shared" si="58"/>
        <v/>
      </c>
      <c r="T184" t="str">
        <f t="shared" si="59"/>
        <v/>
      </c>
      <c r="U184">
        <f t="shared" si="60"/>
        <v>0</v>
      </c>
      <c r="V184" t="str">
        <f t="shared" si="61"/>
        <v/>
      </c>
      <c r="W184" t="str">
        <f>IFERROR(RANK(V184,V$12:V$211,1)+COUNTIF(V$12:V184,V184)-1,"")</f>
        <v/>
      </c>
      <c r="Z184">
        <v>173</v>
      </c>
      <c r="AA184" s="422" t="str">
        <f t="shared" si="74"/>
        <v/>
      </c>
      <c r="AB184" s="498" t="str">
        <f t="shared" si="75"/>
        <v/>
      </c>
      <c r="AC184" s="423" t="str">
        <f t="shared" si="69"/>
        <v/>
      </c>
      <c r="AD184" s="470" t="str">
        <f t="shared" si="70"/>
        <v/>
      </c>
      <c r="AE184" s="468" t="str">
        <f t="shared" si="71"/>
        <v/>
      </c>
      <c r="AF184" s="457" t="str">
        <f t="shared" si="72"/>
        <v/>
      </c>
      <c r="AG184" s="472" t="str">
        <f t="shared" si="73"/>
        <v/>
      </c>
      <c r="AH184" s="490"/>
      <c r="AI184" s="488"/>
    </row>
    <row r="185" spans="1:35" x14ac:dyDescent="0.25">
      <c r="A185" t="str">
        <f>'New order'!U187</f>
        <v/>
      </c>
      <c r="B185" t="str">
        <f>'New order'!V187</f>
        <v/>
      </c>
      <c r="C185">
        <f>'New order'!AT187</f>
        <v>10</v>
      </c>
      <c r="D185" t="str">
        <f>'New order'!Y187</f>
        <v/>
      </c>
      <c r="E185">
        <f t="shared" si="50"/>
        <v>1</v>
      </c>
      <c r="F185">
        <f t="shared" si="51"/>
        <v>0</v>
      </c>
      <c r="G185" t="str">
        <f>'New order'!T187</f>
        <v/>
      </c>
      <c r="H185">
        <f>COUNTIF(C$12:C185,C185)</f>
        <v>174</v>
      </c>
      <c r="I185">
        <v>1</v>
      </c>
      <c r="J185">
        <f t="shared" si="52"/>
        <v>200</v>
      </c>
      <c r="K185" t="str">
        <f t="shared" si="68"/>
        <v/>
      </c>
      <c r="L185" t="str">
        <f t="shared" si="67"/>
        <v/>
      </c>
      <c r="M185" t="str">
        <f>IF(L185&lt;&gt;"",1+COUNT(M$12:M184),"")</f>
        <v/>
      </c>
      <c r="N185" t="str">
        <f t="shared" si="53"/>
        <v/>
      </c>
      <c r="O185" t="str">
        <f t="shared" si="54"/>
        <v/>
      </c>
      <c r="P185" t="str">
        <f t="shared" si="55"/>
        <v/>
      </c>
      <c r="Q185" t="str">
        <f t="shared" si="56"/>
        <v/>
      </c>
      <c r="R185" t="str">
        <f t="shared" si="57"/>
        <v/>
      </c>
      <c r="S185" t="str">
        <f t="shared" si="58"/>
        <v/>
      </c>
      <c r="T185" t="str">
        <f t="shared" si="59"/>
        <v/>
      </c>
      <c r="U185">
        <f t="shared" si="60"/>
        <v>0</v>
      </c>
      <c r="V185" t="str">
        <f t="shared" si="61"/>
        <v/>
      </c>
      <c r="W185" t="str">
        <f>IFERROR(RANK(V185,V$12:V$211,1)+COUNTIF(V$12:V185,V185)-1,"")</f>
        <v/>
      </c>
      <c r="Z185">
        <v>174</v>
      </c>
      <c r="AA185" s="422" t="str">
        <f t="shared" si="74"/>
        <v/>
      </c>
      <c r="AB185" s="498" t="str">
        <f t="shared" si="75"/>
        <v/>
      </c>
      <c r="AC185" s="423" t="str">
        <f t="shared" si="69"/>
        <v/>
      </c>
      <c r="AD185" s="470" t="str">
        <f t="shared" si="70"/>
        <v/>
      </c>
      <c r="AE185" s="468" t="str">
        <f t="shared" si="71"/>
        <v/>
      </c>
      <c r="AF185" s="457" t="str">
        <f t="shared" si="72"/>
        <v/>
      </c>
      <c r="AG185" s="472" t="str">
        <f t="shared" si="73"/>
        <v/>
      </c>
      <c r="AH185" s="490"/>
      <c r="AI185" s="488"/>
    </row>
    <row r="186" spans="1:35" x14ac:dyDescent="0.25">
      <c r="A186" t="str">
        <f>'New order'!U188</f>
        <v/>
      </c>
      <c r="B186" t="str">
        <f>'New order'!V188</f>
        <v/>
      </c>
      <c r="C186">
        <f>'New order'!AT188</f>
        <v>10</v>
      </c>
      <c r="D186" t="str">
        <f>'New order'!Y188</f>
        <v/>
      </c>
      <c r="E186">
        <f t="shared" si="50"/>
        <v>1</v>
      </c>
      <c r="F186">
        <f t="shared" si="51"/>
        <v>0</v>
      </c>
      <c r="G186" t="str">
        <f>'New order'!T188</f>
        <v/>
      </c>
      <c r="H186">
        <f>COUNTIF(C$12:C186,C186)</f>
        <v>175</v>
      </c>
      <c r="I186">
        <v>1</v>
      </c>
      <c r="J186">
        <f t="shared" si="52"/>
        <v>200</v>
      </c>
      <c r="K186" t="str">
        <f t="shared" si="68"/>
        <v/>
      </c>
      <c r="L186" t="str">
        <f t="shared" si="67"/>
        <v/>
      </c>
      <c r="M186" t="str">
        <f>IF(L186&lt;&gt;"",1+COUNT(M$12:M185),"")</f>
        <v/>
      </c>
      <c r="N186" t="str">
        <f t="shared" si="53"/>
        <v/>
      </c>
      <c r="O186" t="str">
        <f t="shared" si="54"/>
        <v/>
      </c>
      <c r="P186" t="str">
        <f t="shared" si="55"/>
        <v/>
      </c>
      <c r="Q186" t="str">
        <f t="shared" si="56"/>
        <v/>
      </c>
      <c r="R186" t="str">
        <f t="shared" si="57"/>
        <v/>
      </c>
      <c r="S186" t="str">
        <f t="shared" si="58"/>
        <v/>
      </c>
      <c r="T186" t="str">
        <f t="shared" si="59"/>
        <v/>
      </c>
      <c r="U186">
        <f t="shared" si="60"/>
        <v>0</v>
      </c>
      <c r="V186" t="str">
        <f t="shared" si="61"/>
        <v/>
      </c>
      <c r="W186" t="str">
        <f>IFERROR(RANK(V186,V$12:V$211,1)+COUNTIF(V$12:V186,V186)-1,"")</f>
        <v/>
      </c>
      <c r="Z186">
        <v>175</v>
      </c>
      <c r="AA186" s="422" t="str">
        <f t="shared" si="74"/>
        <v/>
      </c>
      <c r="AB186" s="498" t="str">
        <f t="shared" si="75"/>
        <v/>
      </c>
      <c r="AC186" s="423" t="str">
        <f t="shared" si="69"/>
        <v/>
      </c>
      <c r="AD186" s="470" t="str">
        <f t="shared" si="70"/>
        <v/>
      </c>
      <c r="AE186" s="468" t="str">
        <f t="shared" si="71"/>
        <v/>
      </c>
      <c r="AF186" s="457" t="str">
        <f t="shared" si="72"/>
        <v/>
      </c>
      <c r="AG186" s="472" t="str">
        <f t="shared" si="73"/>
        <v/>
      </c>
      <c r="AH186" s="490"/>
      <c r="AI186" s="488"/>
    </row>
    <row r="187" spans="1:35" x14ac:dyDescent="0.25">
      <c r="A187" t="str">
        <f>'New order'!U189</f>
        <v/>
      </c>
      <c r="B187" t="str">
        <f>'New order'!V189</f>
        <v/>
      </c>
      <c r="C187">
        <f>'New order'!AT189</f>
        <v>10</v>
      </c>
      <c r="D187" t="str">
        <f>'New order'!Y189</f>
        <v/>
      </c>
      <c r="E187">
        <f t="shared" si="50"/>
        <v>1</v>
      </c>
      <c r="F187">
        <f t="shared" si="51"/>
        <v>0</v>
      </c>
      <c r="G187" t="str">
        <f>'New order'!T189</f>
        <v/>
      </c>
      <c r="H187">
        <f>COUNTIF(C$12:C187,C187)</f>
        <v>176</v>
      </c>
      <c r="I187">
        <v>1</v>
      </c>
      <c r="J187">
        <f t="shared" si="52"/>
        <v>200</v>
      </c>
      <c r="K187" t="str">
        <f t="shared" si="68"/>
        <v/>
      </c>
      <c r="L187" t="str">
        <f t="shared" si="67"/>
        <v/>
      </c>
      <c r="M187" t="str">
        <f>IF(L187&lt;&gt;"",1+COUNT(M$12:M186),"")</f>
        <v/>
      </c>
      <c r="N187" t="str">
        <f t="shared" si="53"/>
        <v/>
      </c>
      <c r="O187" t="str">
        <f t="shared" si="54"/>
        <v/>
      </c>
      <c r="P187" t="str">
        <f t="shared" si="55"/>
        <v/>
      </c>
      <c r="Q187" t="str">
        <f t="shared" si="56"/>
        <v/>
      </c>
      <c r="R187" t="str">
        <f t="shared" si="57"/>
        <v/>
      </c>
      <c r="S187" t="str">
        <f t="shared" si="58"/>
        <v/>
      </c>
      <c r="T187" t="str">
        <f t="shared" si="59"/>
        <v/>
      </c>
      <c r="U187">
        <f t="shared" si="60"/>
        <v>0</v>
      </c>
      <c r="V187" t="str">
        <f t="shared" si="61"/>
        <v/>
      </c>
      <c r="W187" t="str">
        <f>IFERROR(RANK(V187,V$12:V$211,1)+COUNTIF(V$12:V187,V187)-1,"")</f>
        <v/>
      </c>
      <c r="Z187">
        <v>176</v>
      </c>
      <c r="AA187" s="422" t="str">
        <f t="shared" si="74"/>
        <v/>
      </c>
      <c r="AB187" s="498" t="str">
        <f t="shared" si="75"/>
        <v/>
      </c>
      <c r="AC187" s="423" t="str">
        <f t="shared" si="69"/>
        <v/>
      </c>
      <c r="AD187" s="470" t="str">
        <f t="shared" si="70"/>
        <v/>
      </c>
      <c r="AE187" s="468" t="str">
        <f t="shared" si="71"/>
        <v/>
      </c>
      <c r="AF187" s="457" t="str">
        <f t="shared" si="72"/>
        <v/>
      </c>
      <c r="AG187" s="472" t="str">
        <f t="shared" si="73"/>
        <v/>
      </c>
      <c r="AH187" s="490"/>
      <c r="AI187" s="488"/>
    </row>
    <row r="188" spans="1:35" x14ac:dyDescent="0.25">
      <c r="A188" t="str">
        <f>'New order'!U190</f>
        <v/>
      </c>
      <c r="B188" t="str">
        <f>'New order'!V190</f>
        <v/>
      </c>
      <c r="C188">
        <f>'New order'!AT190</f>
        <v>10</v>
      </c>
      <c r="D188" t="str">
        <f>'New order'!Y190</f>
        <v/>
      </c>
      <c r="E188">
        <f t="shared" si="50"/>
        <v>1</v>
      </c>
      <c r="F188">
        <f t="shared" si="51"/>
        <v>0</v>
      </c>
      <c r="G188" t="str">
        <f>'New order'!T190</f>
        <v/>
      </c>
      <c r="H188">
        <f>COUNTIF(C$12:C188,C188)</f>
        <v>177</v>
      </c>
      <c r="I188">
        <v>1</v>
      </c>
      <c r="J188">
        <f t="shared" si="52"/>
        <v>200</v>
      </c>
      <c r="K188" t="str">
        <f t="shared" si="68"/>
        <v/>
      </c>
      <c r="L188" t="str">
        <f t="shared" si="67"/>
        <v/>
      </c>
      <c r="M188" t="str">
        <f>IF(L188&lt;&gt;"",1+COUNT(M$12:M187),"")</f>
        <v/>
      </c>
      <c r="N188" t="str">
        <f t="shared" si="53"/>
        <v/>
      </c>
      <c r="O188" t="str">
        <f t="shared" si="54"/>
        <v/>
      </c>
      <c r="P188" t="str">
        <f t="shared" si="55"/>
        <v/>
      </c>
      <c r="Q188" t="str">
        <f t="shared" si="56"/>
        <v/>
      </c>
      <c r="R188" t="str">
        <f t="shared" si="57"/>
        <v/>
      </c>
      <c r="S188" t="str">
        <f t="shared" si="58"/>
        <v/>
      </c>
      <c r="T188" t="str">
        <f t="shared" si="59"/>
        <v/>
      </c>
      <c r="U188">
        <f t="shared" si="60"/>
        <v>0</v>
      </c>
      <c r="V188" t="str">
        <f t="shared" si="61"/>
        <v/>
      </c>
      <c r="W188" t="str">
        <f>IFERROR(RANK(V188,V$12:V$211,1)+COUNTIF(V$12:V188,V188)-1,"")</f>
        <v/>
      </c>
      <c r="Z188">
        <v>177</v>
      </c>
      <c r="AA188" s="422" t="str">
        <f t="shared" si="74"/>
        <v/>
      </c>
      <c r="AB188" s="498" t="str">
        <f t="shared" si="75"/>
        <v/>
      </c>
      <c r="AC188" s="423" t="str">
        <f t="shared" si="69"/>
        <v/>
      </c>
      <c r="AD188" s="470" t="str">
        <f t="shared" si="70"/>
        <v/>
      </c>
      <c r="AE188" s="468" t="str">
        <f t="shared" si="71"/>
        <v/>
      </c>
      <c r="AF188" s="457" t="str">
        <f t="shared" si="72"/>
        <v/>
      </c>
      <c r="AG188" s="472" t="str">
        <f t="shared" si="73"/>
        <v/>
      </c>
      <c r="AH188" s="490"/>
      <c r="AI188" s="488"/>
    </row>
    <row r="189" spans="1:35" x14ac:dyDescent="0.25">
      <c r="A189" t="str">
        <f>'New order'!U191</f>
        <v/>
      </c>
      <c r="B189" t="str">
        <f>'New order'!V191</f>
        <v/>
      </c>
      <c r="C189">
        <f>'New order'!AT191</f>
        <v>10</v>
      </c>
      <c r="D189" t="str">
        <f>'New order'!Y191</f>
        <v/>
      </c>
      <c r="E189">
        <f t="shared" si="50"/>
        <v>1</v>
      </c>
      <c r="F189">
        <f t="shared" si="51"/>
        <v>0</v>
      </c>
      <c r="G189" t="str">
        <f>'New order'!T191</f>
        <v/>
      </c>
      <c r="H189">
        <f>COUNTIF(C$12:C189,C189)</f>
        <v>178</v>
      </c>
      <c r="I189">
        <v>1</v>
      </c>
      <c r="J189">
        <f t="shared" si="52"/>
        <v>200</v>
      </c>
      <c r="K189" t="str">
        <f t="shared" si="68"/>
        <v/>
      </c>
      <c r="L189" t="str">
        <f t="shared" si="67"/>
        <v/>
      </c>
      <c r="M189" t="str">
        <f>IF(L189&lt;&gt;"",1+COUNT(M$12:M188),"")</f>
        <v/>
      </c>
      <c r="N189" t="str">
        <f t="shared" si="53"/>
        <v/>
      </c>
      <c r="O189" t="str">
        <f t="shared" si="54"/>
        <v/>
      </c>
      <c r="P189" t="str">
        <f t="shared" si="55"/>
        <v/>
      </c>
      <c r="Q189" t="str">
        <f t="shared" si="56"/>
        <v/>
      </c>
      <c r="R189" t="str">
        <f t="shared" si="57"/>
        <v/>
      </c>
      <c r="S189" t="str">
        <f t="shared" si="58"/>
        <v/>
      </c>
      <c r="T189" t="str">
        <f t="shared" si="59"/>
        <v/>
      </c>
      <c r="U189">
        <f t="shared" si="60"/>
        <v>0</v>
      </c>
      <c r="V189" t="str">
        <f t="shared" si="61"/>
        <v/>
      </c>
      <c r="W189" t="str">
        <f>IFERROR(RANK(V189,V$12:V$211,1)+COUNTIF(V$12:V189,V189)-1,"")</f>
        <v/>
      </c>
      <c r="Z189">
        <v>178</v>
      </c>
      <c r="AA189" s="422" t="str">
        <f t="shared" si="74"/>
        <v/>
      </c>
      <c r="AB189" s="498" t="str">
        <f t="shared" si="75"/>
        <v/>
      </c>
      <c r="AC189" s="423" t="str">
        <f t="shared" si="69"/>
        <v/>
      </c>
      <c r="AD189" s="470" t="str">
        <f t="shared" si="70"/>
        <v/>
      </c>
      <c r="AE189" s="468" t="str">
        <f t="shared" si="71"/>
        <v/>
      </c>
      <c r="AF189" s="457" t="str">
        <f t="shared" si="72"/>
        <v/>
      </c>
      <c r="AG189" s="472" t="str">
        <f t="shared" si="73"/>
        <v/>
      </c>
      <c r="AH189" s="490"/>
      <c r="AI189" s="488"/>
    </row>
    <row r="190" spans="1:35" x14ac:dyDescent="0.25">
      <c r="A190" t="str">
        <f>'New order'!U192</f>
        <v/>
      </c>
      <c r="B190" t="str">
        <f>'New order'!V192</f>
        <v/>
      </c>
      <c r="C190">
        <f>'New order'!AT192</f>
        <v>10</v>
      </c>
      <c r="D190" t="str">
        <f>'New order'!Y192</f>
        <v/>
      </c>
      <c r="E190">
        <f t="shared" si="50"/>
        <v>1</v>
      </c>
      <c r="F190">
        <f t="shared" si="51"/>
        <v>0</v>
      </c>
      <c r="G190" t="str">
        <f>'New order'!T192</f>
        <v/>
      </c>
      <c r="H190">
        <f>COUNTIF(C$12:C190,C190)</f>
        <v>179</v>
      </c>
      <c r="I190">
        <v>1</v>
      </c>
      <c r="J190">
        <f t="shared" si="52"/>
        <v>200</v>
      </c>
      <c r="K190" t="str">
        <f t="shared" si="68"/>
        <v/>
      </c>
      <c r="L190" t="str">
        <f t="shared" si="67"/>
        <v/>
      </c>
      <c r="M190" t="str">
        <f>IF(L190&lt;&gt;"",1+COUNT(M$12:M189),"")</f>
        <v/>
      </c>
      <c r="N190" t="str">
        <f t="shared" si="53"/>
        <v/>
      </c>
      <c r="O190" t="str">
        <f t="shared" si="54"/>
        <v/>
      </c>
      <c r="P190" t="str">
        <f t="shared" si="55"/>
        <v/>
      </c>
      <c r="Q190" t="str">
        <f t="shared" si="56"/>
        <v/>
      </c>
      <c r="R190" t="str">
        <f t="shared" si="57"/>
        <v/>
      </c>
      <c r="S190" t="str">
        <f t="shared" si="58"/>
        <v/>
      </c>
      <c r="T190" t="str">
        <f t="shared" si="59"/>
        <v/>
      </c>
      <c r="U190">
        <f t="shared" si="60"/>
        <v>0</v>
      </c>
      <c r="V190" t="str">
        <f t="shared" si="61"/>
        <v/>
      </c>
      <c r="W190" t="str">
        <f>IFERROR(RANK(V190,V$12:V$211,1)+COUNTIF(V$12:V190,V190)-1,"")</f>
        <v/>
      </c>
      <c r="Z190">
        <v>179</v>
      </c>
      <c r="AA190" s="422" t="str">
        <f t="shared" si="74"/>
        <v/>
      </c>
      <c r="AB190" s="498" t="str">
        <f t="shared" si="75"/>
        <v/>
      </c>
      <c r="AC190" s="423" t="str">
        <f t="shared" si="69"/>
        <v/>
      </c>
      <c r="AD190" s="470" t="str">
        <f t="shared" si="70"/>
        <v/>
      </c>
      <c r="AE190" s="468" t="str">
        <f t="shared" si="71"/>
        <v/>
      </c>
      <c r="AF190" s="457" t="str">
        <f t="shared" si="72"/>
        <v/>
      </c>
      <c r="AG190" s="472" t="str">
        <f t="shared" si="73"/>
        <v/>
      </c>
      <c r="AH190" s="490"/>
      <c r="AI190" s="488"/>
    </row>
    <row r="191" spans="1:35" x14ac:dyDescent="0.25">
      <c r="A191" t="str">
        <f>'New order'!U193</f>
        <v/>
      </c>
      <c r="B191" t="str">
        <f>'New order'!V193</f>
        <v/>
      </c>
      <c r="C191">
        <f>'New order'!AT193</f>
        <v>10</v>
      </c>
      <c r="D191" t="str">
        <f>'New order'!Y193</f>
        <v/>
      </c>
      <c r="E191">
        <f t="shared" si="50"/>
        <v>1</v>
      </c>
      <c r="F191">
        <f t="shared" si="51"/>
        <v>0</v>
      </c>
      <c r="G191" t="str">
        <f>'New order'!T193</f>
        <v/>
      </c>
      <c r="H191">
        <f>COUNTIF(C$12:C191,C191)</f>
        <v>180</v>
      </c>
      <c r="I191">
        <v>1</v>
      </c>
      <c r="J191">
        <f t="shared" si="52"/>
        <v>200</v>
      </c>
      <c r="K191" t="str">
        <f t="shared" si="68"/>
        <v/>
      </c>
      <c r="L191" t="str">
        <f t="shared" si="67"/>
        <v/>
      </c>
      <c r="M191" t="str">
        <f>IF(L191&lt;&gt;"",1+COUNT(M$12:M190),"")</f>
        <v/>
      </c>
      <c r="N191" t="str">
        <f t="shared" si="53"/>
        <v/>
      </c>
      <c r="O191" t="str">
        <f t="shared" si="54"/>
        <v/>
      </c>
      <c r="P191" t="str">
        <f t="shared" si="55"/>
        <v/>
      </c>
      <c r="Q191" t="str">
        <f t="shared" si="56"/>
        <v/>
      </c>
      <c r="R191" t="str">
        <f t="shared" si="57"/>
        <v/>
      </c>
      <c r="S191" t="str">
        <f t="shared" si="58"/>
        <v/>
      </c>
      <c r="T191" t="str">
        <f t="shared" si="59"/>
        <v/>
      </c>
      <c r="U191">
        <f t="shared" si="60"/>
        <v>0</v>
      </c>
      <c r="V191" t="str">
        <f t="shared" si="61"/>
        <v/>
      </c>
      <c r="W191" t="str">
        <f>IFERROR(RANK(V191,V$12:V$211,1)+COUNTIF(V$12:V191,V191)-1,"")</f>
        <v/>
      </c>
      <c r="Z191">
        <v>180</v>
      </c>
      <c r="AA191" s="422" t="str">
        <f t="shared" si="74"/>
        <v/>
      </c>
      <c r="AB191" s="498" t="str">
        <f t="shared" si="75"/>
        <v/>
      </c>
      <c r="AC191" s="423" t="str">
        <f t="shared" si="69"/>
        <v/>
      </c>
      <c r="AD191" s="470" t="str">
        <f t="shared" si="70"/>
        <v/>
      </c>
      <c r="AE191" s="468" t="str">
        <f t="shared" si="71"/>
        <v/>
      </c>
      <c r="AF191" s="457" t="str">
        <f t="shared" si="72"/>
        <v/>
      </c>
      <c r="AG191" s="472" t="str">
        <f t="shared" si="73"/>
        <v/>
      </c>
      <c r="AH191" s="490"/>
      <c r="AI191" s="488"/>
    </row>
    <row r="192" spans="1:35" x14ac:dyDescent="0.25">
      <c r="A192" t="str">
        <f>'New order'!U194</f>
        <v/>
      </c>
      <c r="B192" t="str">
        <f>'New order'!V194</f>
        <v/>
      </c>
      <c r="C192">
        <f>'New order'!AT194</f>
        <v>10</v>
      </c>
      <c r="D192" t="str">
        <f>'New order'!Y194</f>
        <v/>
      </c>
      <c r="E192">
        <f t="shared" si="50"/>
        <v>1</v>
      </c>
      <c r="F192">
        <f t="shared" si="51"/>
        <v>0</v>
      </c>
      <c r="G192" t="str">
        <f>'New order'!T194</f>
        <v/>
      </c>
      <c r="H192">
        <f>COUNTIF(C$12:C192,C192)</f>
        <v>181</v>
      </c>
      <c r="I192">
        <v>1</v>
      </c>
      <c r="J192">
        <f t="shared" si="52"/>
        <v>200</v>
      </c>
      <c r="K192" t="str">
        <f t="shared" si="68"/>
        <v/>
      </c>
      <c r="L192" t="str">
        <f t="shared" si="67"/>
        <v/>
      </c>
      <c r="M192" t="str">
        <f>IF(L192&lt;&gt;"",1+COUNT(M$12:M191),"")</f>
        <v/>
      </c>
      <c r="N192" t="str">
        <f t="shared" si="53"/>
        <v/>
      </c>
      <c r="O192" t="str">
        <f t="shared" si="54"/>
        <v/>
      </c>
      <c r="P192" t="str">
        <f t="shared" si="55"/>
        <v/>
      </c>
      <c r="Q192" t="str">
        <f t="shared" si="56"/>
        <v/>
      </c>
      <c r="R192" t="str">
        <f t="shared" si="57"/>
        <v/>
      </c>
      <c r="S192" t="str">
        <f t="shared" si="58"/>
        <v/>
      </c>
      <c r="T192" t="str">
        <f t="shared" si="59"/>
        <v/>
      </c>
      <c r="U192">
        <f t="shared" si="60"/>
        <v>0</v>
      </c>
      <c r="V192" t="str">
        <f t="shared" si="61"/>
        <v/>
      </c>
      <c r="W192" t="str">
        <f>IFERROR(RANK(V192,V$12:V$211,1)+COUNTIF(V$12:V192,V192)-1,"")</f>
        <v/>
      </c>
      <c r="Z192">
        <v>181</v>
      </c>
      <c r="AA192" s="422" t="str">
        <f t="shared" si="74"/>
        <v/>
      </c>
      <c r="AB192" s="498" t="str">
        <f t="shared" si="75"/>
        <v/>
      </c>
      <c r="AC192" s="423" t="str">
        <f t="shared" si="69"/>
        <v/>
      </c>
      <c r="AD192" s="470" t="str">
        <f t="shared" si="70"/>
        <v/>
      </c>
      <c r="AE192" s="468" t="str">
        <f t="shared" si="71"/>
        <v/>
      </c>
      <c r="AF192" s="457" t="str">
        <f t="shared" si="72"/>
        <v/>
      </c>
      <c r="AG192" s="472" t="str">
        <f t="shared" si="73"/>
        <v/>
      </c>
      <c r="AH192" s="490"/>
      <c r="AI192" s="488"/>
    </row>
    <row r="193" spans="1:35" x14ac:dyDescent="0.25">
      <c r="A193" t="str">
        <f>'New order'!U195</f>
        <v/>
      </c>
      <c r="B193" t="str">
        <f>'New order'!V195</f>
        <v/>
      </c>
      <c r="C193">
        <f>'New order'!AT195</f>
        <v>10</v>
      </c>
      <c r="D193" t="str">
        <f>'New order'!Y195</f>
        <v/>
      </c>
      <c r="E193">
        <f t="shared" si="50"/>
        <v>1</v>
      </c>
      <c r="F193">
        <f t="shared" si="51"/>
        <v>0</v>
      </c>
      <c r="G193" t="str">
        <f>'New order'!T195</f>
        <v/>
      </c>
      <c r="H193">
        <f>COUNTIF(C$12:C193,C193)</f>
        <v>182</v>
      </c>
      <c r="I193">
        <v>1</v>
      </c>
      <c r="J193">
        <f t="shared" si="52"/>
        <v>200</v>
      </c>
      <c r="K193" t="str">
        <f t="shared" si="68"/>
        <v/>
      </c>
      <c r="L193" t="str">
        <f t="shared" si="67"/>
        <v/>
      </c>
      <c r="M193" t="str">
        <f>IF(L193&lt;&gt;"",1+COUNT(M$12:M192),"")</f>
        <v/>
      </c>
      <c r="N193" t="str">
        <f t="shared" si="53"/>
        <v/>
      </c>
      <c r="O193" t="str">
        <f t="shared" si="54"/>
        <v/>
      </c>
      <c r="P193" t="str">
        <f t="shared" si="55"/>
        <v/>
      </c>
      <c r="Q193" t="str">
        <f t="shared" si="56"/>
        <v/>
      </c>
      <c r="R193" t="str">
        <f t="shared" si="57"/>
        <v/>
      </c>
      <c r="S193" t="str">
        <f t="shared" si="58"/>
        <v/>
      </c>
      <c r="T193" t="str">
        <f t="shared" si="59"/>
        <v/>
      </c>
      <c r="U193">
        <f t="shared" si="60"/>
        <v>0</v>
      </c>
      <c r="V193" t="str">
        <f t="shared" si="61"/>
        <v/>
      </c>
      <c r="W193" t="str">
        <f>IFERROR(RANK(V193,V$12:V$211,1)+COUNTIF(V$12:V193,V193)-1,"")</f>
        <v/>
      </c>
      <c r="Z193">
        <v>182</v>
      </c>
      <c r="AA193" s="422" t="str">
        <f t="shared" si="74"/>
        <v/>
      </c>
      <c r="AB193" s="498" t="str">
        <f t="shared" si="75"/>
        <v/>
      </c>
      <c r="AC193" s="423" t="str">
        <f t="shared" si="69"/>
        <v/>
      </c>
      <c r="AD193" s="470" t="str">
        <f t="shared" si="70"/>
        <v/>
      </c>
      <c r="AE193" s="468" t="str">
        <f t="shared" si="71"/>
        <v/>
      </c>
      <c r="AF193" s="457" t="str">
        <f t="shared" si="72"/>
        <v/>
      </c>
      <c r="AG193" s="472" t="str">
        <f t="shared" si="73"/>
        <v/>
      </c>
      <c r="AH193" s="490"/>
      <c r="AI193" s="488"/>
    </row>
    <row r="194" spans="1:35" x14ac:dyDescent="0.25">
      <c r="A194" t="str">
        <f>'New order'!U196</f>
        <v/>
      </c>
      <c r="B194" t="str">
        <f>'New order'!V196</f>
        <v/>
      </c>
      <c r="C194">
        <f>'New order'!AT196</f>
        <v>10</v>
      </c>
      <c r="D194" t="str">
        <f>'New order'!Y196</f>
        <v/>
      </c>
      <c r="E194">
        <f t="shared" si="50"/>
        <v>1</v>
      </c>
      <c r="F194">
        <f t="shared" si="51"/>
        <v>0</v>
      </c>
      <c r="G194" t="str">
        <f>'New order'!T196</f>
        <v/>
      </c>
      <c r="H194">
        <f>COUNTIF(C$12:C194,C194)</f>
        <v>183</v>
      </c>
      <c r="I194">
        <v>1</v>
      </c>
      <c r="J194">
        <f t="shared" si="52"/>
        <v>200</v>
      </c>
      <c r="K194" t="str">
        <f t="shared" si="68"/>
        <v/>
      </c>
      <c r="L194" t="str">
        <f t="shared" si="67"/>
        <v/>
      </c>
      <c r="M194" t="str">
        <f>IF(L194&lt;&gt;"",1+COUNT(M$12:M193),"")</f>
        <v/>
      </c>
      <c r="N194" t="str">
        <f t="shared" si="53"/>
        <v/>
      </c>
      <c r="O194" t="str">
        <f t="shared" si="54"/>
        <v/>
      </c>
      <c r="P194" t="str">
        <f t="shared" si="55"/>
        <v/>
      </c>
      <c r="Q194" t="str">
        <f t="shared" si="56"/>
        <v/>
      </c>
      <c r="R194" t="str">
        <f t="shared" si="57"/>
        <v/>
      </c>
      <c r="S194" t="str">
        <f t="shared" si="58"/>
        <v/>
      </c>
      <c r="T194" t="str">
        <f t="shared" si="59"/>
        <v/>
      </c>
      <c r="U194">
        <f t="shared" si="60"/>
        <v>0</v>
      </c>
      <c r="V194" t="str">
        <f t="shared" si="61"/>
        <v/>
      </c>
      <c r="W194" t="str">
        <f>IFERROR(RANK(V194,V$12:V$211,1)+COUNTIF(V$12:V194,V194)-1,"")</f>
        <v/>
      </c>
      <c r="Z194">
        <v>183</v>
      </c>
      <c r="AA194" s="422" t="str">
        <f t="shared" si="74"/>
        <v/>
      </c>
      <c r="AB194" s="498" t="str">
        <f t="shared" si="75"/>
        <v/>
      </c>
      <c r="AC194" s="423" t="str">
        <f t="shared" si="69"/>
        <v/>
      </c>
      <c r="AD194" s="470" t="str">
        <f t="shared" si="70"/>
        <v/>
      </c>
      <c r="AE194" s="468" t="str">
        <f t="shared" si="71"/>
        <v/>
      </c>
      <c r="AF194" s="457" t="str">
        <f t="shared" si="72"/>
        <v/>
      </c>
      <c r="AG194" s="472" t="str">
        <f t="shared" si="73"/>
        <v/>
      </c>
      <c r="AH194" s="490"/>
      <c r="AI194" s="488"/>
    </row>
    <row r="195" spans="1:35" x14ac:dyDescent="0.25">
      <c r="A195" t="str">
        <f>'New order'!U197</f>
        <v/>
      </c>
      <c r="B195" t="str">
        <f>'New order'!V197</f>
        <v/>
      </c>
      <c r="C195">
        <f>'New order'!AT197</f>
        <v>10</v>
      </c>
      <c r="D195" t="str">
        <f>'New order'!Y197</f>
        <v/>
      </c>
      <c r="E195">
        <f t="shared" si="50"/>
        <v>1</v>
      </c>
      <c r="F195">
        <f t="shared" si="51"/>
        <v>0</v>
      </c>
      <c r="G195" t="str">
        <f>'New order'!T197</f>
        <v/>
      </c>
      <c r="H195">
        <f>COUNTIF(C$12:C195,C195)</f>
        <v>184</v>
      </c>
      <c r="I195">
        <v>1</v>
      </c>
      <c r="J195">
        <f t="shared" si="52"/>
        <v>200</v>
      </c>
      <c r="K195" t="str">
        <f t="shared" si="68"/>
        <v/>
      </c>
      <c r="L195" t="str">
        <f t="shared" si="67"/>
        <v/>
      </c>
      <c r="M195" t="str">
        <f>IF(L195&lt;&gt;"",1+COUNT(M$12:M194),"")</f>
        <v/>
      </c>
      <c r="N195" t="str">
        <f t="shared" si="53"/>
        <v/>
      </c>
      <c r="O195" t="str">
        <f t="shared" si="54"/>
        <v/>
      </c>
      <c r="P195" t="str">
        <f t="shared" si="55"/>
        <v/>
      </c>
      <c r="Q195" t="str">
        <f t="shared" si="56"/>
        <v/>
      </c>
      <c r="R195" t="str">
        <f t="shared" si="57"/>
        <v/>
      </c>
      <c r="S195" t="str">
        <f t="shared" si="58"/>
        <v/>
      </c>
      <c r="T195" t="str">
        <f t="shared" si="59"/>
        <v/>
      </c>
      <c r="U195">
        <f t="shared" si="60"/>
        <v>0</v>
      </c>
      <c r="V195" t="str">
        <f t="shared" si="61"/>
        <v/>
      </c>
      <c r="W195" t="str">
        <f>IFERROR(RANK(V195,V$12:V$211,1)+COUNTIF(V$12:V195,V195)-1,"")</f>
        <v/>
      </c>
      <c r="Z195">
        <v>184</v>
      </c>
      <c r="AA195" s="422" t="str">
        <f t="shared" si="74"/>
        <v/>
      </c>
      <c r="AB195" s="498" t="str">
        <f t="shared" si="75"/>
        <v/>
      </c>
      <c r="AC195" s="423" t="str">
        <f t="shared" si="69"/>
        <v/>
      </c>
      <c r="AD195" s="470" t="str">
        <f t="shared" si="70"/>
        <v/>
      </c>
      <c r="AE195" s="468" t="str">
        <f t="shared" si="71"/>
        <v/>
      </c>
      <c r="AF195" s="457" t="str">
        <f t="shared" si="72"/>
        <v/>
      </c>
      <c r="AG195" s="472" t="str">
        <f t="shared" si="73"/>
        <v/>
      </c>
      <c r="AH195" s="490"/>
      <c r="AI195" s="488"/>
    </row>
    <row r="196" spans="1:35" x14ac:dyDescent="0.25">
      <c r="A196" t="str">
        <f>'New order'!U198</f>
        <v/>
      </c>
      <c r="B196" t="str">
        <f>'New order'!V198</f>
        <v/>
      </c>
      <c r="C196">
        <f>'New order'!AT198</f>
        <v>10</v>
      </c>
      <c r="D196" t="str">
        <f>'New order'!Y198</f>
        <v/>
      </c>
      <c r="E196">
        <f t="shared" si="50"/>
        <v>1</v>
      </c>
      <c r="F196">
        <f t="shared" si="51"/>
        <v>0</v>
      </c>
      <c r="G196" t="str">
        <f>'New order'!T198</f>
        <v/>
      </c>
      <c r="H196">
        <f>COUNTIF(C$12:C196,C196)</f>
        <v>185</v>
      </c>
      <c r="I196">
        <v>1</v>
      </c>
      <c r="J196">
        <f t="shared" si="52"/>
        <v>200</v>
      </c>
      <c r="K196" t="str">
        <f t="shared" si="68"/>
        <v/>
      </c>
      <c r="L196" t="str">
        <f t="shared" si="67"/>
        <v/>
      </c>
      <c r="M196" t="str">
        <f>IF(L196&lt;&gt;"",1+COUNT(M$12:M195),"")</f>
        <v/>
      </c>
      <c r="N196" t="str">
        <f t="shared" si="53"/>
        <v/>
      </c>
      <c r="O196" t="str">
        <f t="shared" si="54"/>
        <v/>
      </c>
      <c r="P196" t="str">
        <f t="shared" si="55"/>
        <v/>
      </c>
      <c r="Q196" t="str">
        <f t="shared" si="56"/>
        <v/>
      </c>
      <c r="R196" t="str">
        <f t="shared" si="57"/>
        <v/>
      </c>
      <c r="S196" t="str">
        <f t="shared" si="58"/>
        <v/>
      </c>
      <c r="T196" t="str">
        <f t="shared" si="59"/>
        <v/>
      </c>
      <c r="U196">
        <f t="shared" si="60"/>
        <v>0</v>
      </c>
      <c r="V196" t="str">
        <f t="shared" si="61"/>
        <v/>
      </c>
      <c r="W196" t="str">
        <f>IFERROR(RANK(V196,V$12:V$211,1)+COUNTIF(V$12:V196,V196)-1,"")</f>
        <v/>
      </c>
      <c r="Z196">
        <v>185</v>
      </c>
      <c r="AA196" s="422" t="str">
        <f t="shared" si="74"/>
        <v/>
      </c>
      <c r="AB196" s="498" t="str">
        <f t="shared" si="75"/>
        <v/>
      </c>
      <c r="AC196" s="423" t="str">
        <f t="shared" si="69"/>
        <v/>
      </c>
      <c r="AD196" s="470" t="str">
        <f t="shared" si="70"/>
        <v/>
      </c>
      <c r="AE196" s="468" t="str">
        <f t="shared" si="71"/>
        <v/>
      </c>
      <c r="AF196" s="457" t="str">
        <f t="shared" si="72"/>
        <v/>
      </c>
      <c r="AG196" s="472" t="str">
        <f t="shared" si="73"/>
        <v/>
      </c>
      <c r="AH196" s="490"/>
      <c r="AI196" s="488"/>
    </row>
    <row r="197" spans="1:35" x14ac:dyDescent="0.25">
      <c r="A197" t="str">
        <f>'New order'!U199</f>
        <v/>
      </c>
      <c r="B197" t="str">
        <f>'New order'!V199</f>
        <v/>
      </c>
      <c r="C197">
        <f>'New order'!AT199</f>
        <v>10</v>
      </c>
      <c r="D197" t="str">
        <f>'New order'!Y199</f>
        <v/>
      </c>
      <c r="E197">
        <f t="shared" si="50"/>
        <v>1</v>
      </c>
      <c r="F197">
        <f t="shared" si="51"/>
        <v>0</v>
      </c>
      <c r="G197" t="str">
        <f>'New order'!T199</f>
        <v/>
      </c>
      <c r="H197">
        <f>COUNTIF(C$12:C197,C197)</f>
        <v>186</v>
      </c>
      <c r="I197">
        <v>1</v>
      </c>
      <c r="J197">
        <f t="shared" si="52"/>
        <v>200</v>
      </c>
      <c r="K197" t="str">
        <f t="shared" si="68"/>
        <v/>
      </c>
      <c r="L197" t="str">
        <f t="shared" si="67"/>
        <v/>
      </c>
      <c r="M197" t="str">
        <f>IF(L197&lt;&gt;"",1+COUNT(M$12:M196),"")</f>
        <v/>
      </c>
      <c r="N197" t="str">
        <f t="shared" si="53"/>
        <v/>
      </c>
      <c r="O197" t="str">
        <f t="shared" si="54"/>
        <v/>
      </c>
      <c r="P197" t="str">
        <f t="shared" si="55"/>
        <v/>
      </c>
      <c r="Q197" t="str">
        <f t="shared" si="56"/>
        <v/>
      </c>
      <c r="R197" t="str">
        <f t="shared" si="57"/>
        <v/>
      </c>
      <c r="S197" t="str">
        <f t="shared" si="58"/>
        <v/>
      </c>
      <c r="T197" t="str">
        <f t="shared" si="59"/>
        <v/>
      </c>
      <c r="U197">
        <f t="shared" si="60"/>
        <v>0</v>
      </c>
      <c r="V197" t="str">
        <f t="shared" si="61"/>
        <v/>
      </c>
      <c r="W197" t="str">
        <f>IFERROR(RANK(V197,V$12:V$211,1)+COUNTIF(V$12:V197,V197)-1,"")</f>
        <v/>
      </c>
      <c r="Z197">
        <v>186</v>
      </c>
      <c r="AA197" s="422" t="str">
        <f t="shared" si="74"/>
        <v/>
      </c>
      <c r="AB197" s="498" t="str">
        <f t="shared" si="75"/>
        <v/>
      </c>
      <c r="AC197" s="423" t="str">
        <f t="shared" si="69"/>
        <v/>
      </c>
      <c r="AD197" s="470" t="str">
        <f t="shared" si="70"/>
        <v/>
      </c>
      <c r="AE197" s="468" t="str">
        <f t="shared" si="71"/>
        <v/>
      </c>
      <c r="AF197" s="457" t="str">
        <f t="shared" si="72"/>
        <v/>
      </c>
      <c r="AG197" s="472" t="str">
        <f t="shared" si="73"/>
        <v/>
      </c>
      <c r="AH197" s="490"/>
      <c r="AI197" s="488"/>
    </row>
    <row r="198" spans="1:35" x14ac:dyDescent="0.25">
      <c r="A198" t="str">
        <f>'New order'!U200</f>
        <v/>
      </c>
      <c r="B198" t="str">
        <f>'New order'!V200</f>
        <v/>
      </c>
      <c r="C198">
        <f>'New order'!AT200</f>
        <v>10</v>
      </c>
      <c r="D198" t="str">
        <f>'New order'!Y200</f>
        <v/>
      </c>
      <c r="E198">
        <f t="shared" si="50"/>
        <v>1</v>
      </c>
      <c r="F198">
        <f t="shared" si="51"/>
        <v>0</v>
      </c>
      <c r="G198" t="str">
        <f>'New order'!T200</f>
        <v/>
      </c>
      <c r="H198">
        <f>COUNTIF(C$12:C198,C198)</f>
        <v>187</v>
      </c>
      <c r="I198">
        <v>1</v>
      </c>
      <c r="J198">
        <f t="shared" si="52"/>
        <v>200</v>
      </c>
      <c r="K198" t="str">
        <f t="shared" si="68"/>
        <v/>
      </c>
      <c r="L198" t="str">
        <f t="shared" si="67"/>
        <v/>
      </c>
      <c r="M198" t="str">
        <f>IF(L198&lt;&gt;"",1+COUNT(M$12:M197),"")</f>
        <v/>
      </c>
      <c r="N198" t="str">
        <f t="shared" si="53"/>
        <v/>
      </c>
      <c r="O198" t="str">
        <f t="shared" si="54"/>
        <v/>
      </c>
      <c r="P198" t="str">
        <f t="shared" si="55"/>
        <v/>
      </c>
      <c r="Q198" t="str">
        <f t="shared" si="56"/>
        <v/>
      </c>
      <c r="R198" t="str">
        <f t="shared" si="57"/>
        <v/>
      </c>
      <c r="S198" t="str">
        <f t="shared" si="58"/>
        <v/>
      </c>
      <c r="T198" t="str">
        <f t="shared" si="59"/>
        <v/>
      </c>
      <c r="U198">
        <f t="shared" si="60"/>
        <v>0</v>
      </c>
      <c r="V198" t="str">
        <f t="shared" si="61"/>
        <v/>
      </c>
      <c r="W198" t="str">
        <f>IFERROR(RANK(V198,V$12:V$211,1)+COUNTIF(V$12:V198,V198)-1,"")</f>
        <v/>
      </c>
      <c r="Z198">
        <v>187</v>
      </c>
      <c r="AA198" s="422" t="str">
        <f t="shared" si="74"/>
        <v/>
      </c>
      <c r="AB198" s="498" t="str">
        <f t="shared" si="75"/>
        <v/>
      </c>
      <c r="AC198" s="423" t="str">
        <f t="shared" si="69"/>
        <v/>
      </c>
      <c r="AD198" s="470" t="str">
        <f t="shared" si="70"/>
        <v/>
      </c>
      <c r="AE198" s="468" t="str">
        <f t="shared" si="71"/>
        <v/>
      </c>
      <c r="AF198" s="457" t="str">
        <f t="shared" si="72"/>
        <v/>
      </c>
      <c r="AG198" s="472" t="str">
        <f t="shared" si="73"/>
        <v/>
      </c>
      <c r="AH198" s="490"/>
      <c r="AI198" s="488"/>
    </row>
    <row r="199" spans="1:35" x14ac:dyDescent="0.25">
      <c r="A199" t="str">
        <f>'New order'!U201</f>
        <v/>
      </c>
      <c r="B199" t="str">
        <f>'New order'!V201</f>
        <v/>
      </c>
      <c r="C199">
        <f>'New order'!AT201</f>
        <v>10</v>
      </c>
      <c r="D199" t="str">
        <f>'New order'!Y201</f>
        <v/>
      </c>
      <c r="E199">
        <f t="shared" si="50"/>
        <v>1</v>
      </c>
      <c r="F199">
        <f t="shared" si="51"/>
        <v>0</v>
      </c>
      <c r="G199" t="str">
        <f>'New order'!T201</f>
        <v/>
      </c>
      <c r="H199">
        <f>COUNTIF(C$12:C199,C199)</f>
        <v>188</v>
      </c>
      <c r="I199">
        <v>1</v>
      </c>
      <c r="J199">
        <f t="shared" si="52"/>
        <v>200</v>
      </c>
      <c r="K199" t="str">
        <f t="shared" si="68"/>
        <v/>
      </c>
      <c r="L199" t="str">
        <f t="shared" si="67"/>
        <v/>
      </c>
      <c r="M199" t="str">
        <f>IF(L199&lt;&gt;"",1+COUNT(M$12:M198),"")</f>
        <v/>
      </c>
      <c r="N199" t="str">
        <f t="shared" si="53"/>
        <v/>
      </c>
      <c r="O199" t="str">
        <f t="shared" si="54"/>
        <v/>
      </c>
      <c r="P199" t="str">
        <f t="shared" si="55"/>
        <v/>
      </c>
      <c r="Q199" t="str">
        <f t="shared" si="56"/>
        <v/>
      </c>
      <c r="R199" t="str">
        <f t="shared" si="57"/>
        <v/>
      </c>
      <c r="S199" t="str">
        <f t="shared" si="58"/>
        <v/>
      </c>
      <c r="T199" t="str">
        <f t="shared" si="59"/>
        <v/>
      </c>
      <c r="U199">
        <f t="shared" si="60"/>
        <v>0</v>
      </c>
      <c r="V199" t="str">
        <f t="shared" si="61"/>
        <v/>
      </c>
      <c r="W199" t="str">
        <f>IFERROR(RANK(V199,V$12:V$211,1)+COUNTIF(V$12:V199,V199)-1,"")</f>
        <v/>
      </c>
      <c r="Z199">
        <v>188</v>
      </c>
      <c r="AA199" s="422" t="str">
        <f t="shared" si="74"/>
        <v/>
      </c>
      <c r="AB199" s="498" t="str">
        <f t="shared" si="75"/>
        <v/>
      </c>
      <c r="AC199" s="423" t="str">
        <f t="shared" si="69"/>
        <v/>
      </c>
      <c r="AD199" s="470" t="str">
        <f t="shared" si="70"/>
        <v/>
      </c>
      <c r="AE199" s="468" t="str">
        <f t="shared" si="71"/>
        <v/>
      </c>
      <c r="AF199" s="457" t="str">
        <f t="shared" si="72"/>
        <v/>
      </c>
      <c r="AG199" s="472" t="str">
        <f t="shared" si="73"/>
        <v/>
      </c>
      <c r="AH199" s="490"/>
      <c r="AI199" s="488"/>
    </row>
    <row r="200" spans="1:35" x14ac:dyDescent="0.25">
      <c r="A200" t="str">
        <f>'New order'!U202</f>
        <v/>
      </c>
      <c r="B200" t="str">
        <f>'New order'!V202</f>
        <v/>
      </c>
      <c r="C200">
        <f>'New order'!AT202</f>
        <v>10</v>
      </c>
      <c r="D200" t="str">
        <f>'New order'!Y202</f>
        <v/>
      </c>
      <c r="E200">
        <f t="shared" si="50"/>
        <v>1</v>
      </c>
      <c r="F200">
        <f t="shared" si="51"/>
        <v>0</v>
      </c>
      <c r="G200" t="str">
        <f>'New order'!T202</f>
        <v/>
      </c>
      <c r="H200">
        <f>COUNTIF(C$12:C200,C200)</f>
        <v>189</v>
      </c>
      <c r="I200">
        <v>1</v>
      </c>
      <c r="J200">
        <f t="shared" si="52"/>
        <v>200</v>
      </c>
      <c r="K200" t="str">
        <f t="shared" si="68"/>
        <v/>
      </c>
      <c r="L200" t="str">
        <f t="shared" si="67"/>
        <v/>
      </c>
      <c r="M200" t="str">
        <f>IF(L200&lt;&gt;"",1+COUNT(M$12:M199),"")</f>
        <v/>
      </c>
      <c r="N200" t="str">
        <f t="shared" si="53"/>
        <v/>
      </c>
      <c r="O200" t="str">
        <f t="shared" si="54"/>
        <v/>
      </c>
      <c r="P200" t="str">
        <f t="shared" si="55"/>
        <v/>
      </c>
      <c r="Q200" t="str">
        <f t="shared" si="56"/>
        <v/>
      </c>
      <c r="R200" t="str">
        <f t="shared" si="57"/>
        <v/>
      </c>
      <c r="S200" t="str">
        <f t="shared" si="58"/>
        <v/>
      </c>
      <c r="T200" t="str">
        <f t="shared" si="59"/>
        <v/>
      </c>
      <c r="U200">
        <f t="shared" si="60"/>
        <v>0</v>
      </c>
      <c r="V200" t="str">
        <f t="shared" si="61"/>
        <v/>
      </c>
      <c r="W200" t="str">
        <f>IFERROR(RANK(V200,V$12:V$211,1)+COUNTIF(V$12:V200,V200)-1,"")</f>
        <v/>
      </c>
      <c r="Z200">
        <v>189</v>
      </c>
      <c r="AA200" s="422" t="str">
        <f t="shared" si="74"/>
        <v/>
      </c>
      <c r="AB200" s="498" t="str">
        <f t="shared" si="75"/>
        <v/>
      </c>
      <c r="AC200" s="423" t="str">
        <f t="shared" si="69"/>
        <v/>
      </c>
      <c r="AD200" s="470" t="str">
        <f t="shared" si="70"/>
        <v/>
      </c>
      <c r="AE200" s="468" t="str">
        <f t="shared" si="71"/>
        <v/>
      </c>
      <c r="AF200" s="457" t="str">
        <f t="shared" si="72"/>
        <v/>
      </c>
      <c r="AG200" s="472" t="str">
        <f t="shared" si="73"/>
        <v/>
      </c>
      <c r="AH200" s="490"/>
      <c r="AI200" s="488"/>
    </row>
    <row r="201" spans="1:35" x14ac:dyDescent="0.25">
      <c r="A201" t="str">
        <f>'New order'!U203</f>
        <v/>
      </c>
      <c r="B201" t="str">
        <f>'New order'!V203</f>
        <v/>
      </c>
      <c r="C201">
        <f>'New order'!AT203</f>
        <v>10</v>
      </c>
      <c r="D201" t="str">
        <f>'New order'!Y203</f>
        <v/>
      </c>
      <c r="E201">
        <f t="shared" si="50"/>
        <v>1</v>
      </c>
      <c r="F201">
        <f t="shared" si="51"/>
        <v>0</v>
      </c>
      <c r="G201" t="str">
        <f>'New order'!T203</f>
        <v/>
      </c>
      <c r="H201">
        <f>COUNTIF(C$12:C201,C201)</f>
        <v>190</v>
      </c>
      <c r="I201">
        <v>1</v>
      </c>
      <c r="J201">
        <f t="shared" si="52"/>
        <v>200</v>
      </c>
      <c r="K201" t="str">
        <f t="shared" si="68"/>
        <v/>
      </c>
      <c r="L201" t="str">
        <f t="shared" si="67"/>
        <v/>
      </c>
      <c r="M201" t="str">
        <f>IF(L201&lt;&gt;"",1+COUNT(M$12:M200),"")</f>
        <v/>
      </c>
      <c r="N201" t="str">
        <f t="shared" si="53"/>
        <v/>
      </c>
      <c r="O201" t="str">
        <f t="shared" si="54"/>
        <v/>
      </c>
      <c r="P201" t="str">
        <f t="shared" si="55"/>
        <v/>
      </c>
      <c r="Q201" t="str">
        <f t="shared" si="56"/>
        <v/>
      </c>
      <c r="R201" t="str">
        <f t="shared" si="57"/>
        <v/>
      </c>
      <c r="S201" t="str">
        <f t="shared" si="58"/>
        <v/>
      </c>
      <c r="T201" t="str">
        <f t="shared" si="59"/>
        <v/>
      </c>
      <c r="U201">
        <f t="shared" si="60"/>
        <v>0</v>
      </c>
      <c r="V201" t="str">
        <f t="shared" si="61"/>
        <v/>
      </c>
      <c r="W201" t="str">
        <f>IFERROR(RANK(V201,V$12:V$211,1)+COUNTIF(V$12:V201,V201)-1,"")</f>
        <v/>
      </c>
      <c r="Z201">
        <v>190</v>
      </c>
      <c r="AA201" s="422" t="str">
        <f t="shared" si="74"/>
        <v/>
      </c>
      <c r="AB201" s="498" t="str">
        <f t="shared" si="75"/>
        <v/>
      </c>
      <c r="AC201" s="423" t="str">
        <f t="shared" si="69"/>
        <v/>
      </c>
      <c r="AD201" s="470" t="str">
        <f t="shared" si="70"/>
        <v/>
      </c>
      <c r="AE201" s="468" t="str">
        <f t="shared" si="71"/>
        <v/>
      </c>
      <c r="AF201" s="457" t="str">
        <f t="shared" si="72"/>
        <v/>
      </c>
      <c r="AG201" s="472" t="str">
        <f t="shared" si="73"/>
        <v/>
      </c>
      <c r="AH201" s="490"/>
      <c r="AI201" s="488"/>
    </row>
    <row r="202" spans="1:35" x14ac:dyDescent="0.25">
      <c r="A202" t="str">
        <f>'New order'!U204</f>
        <v/>
      </c>
      <c r="B202" t="str">
        <f>'New order'!V204</f>
        <v/>
      </c>
      <c r="C202">
        <f>'New order'!AT204</f>
        <v>10</v>
      </c>
      <c r="D202" t="str">
        <f>'New order'!Y204</f>
        <v/>
      </c>
      <c r="E202">
        <f t="shared" si="50"/>
        <v>1</v>
      </c>
      <c r="F202">
        <f t="shared" si="51"/>
        <v>0</v>
      </c>
      <c r="G202" t="str">
        <f>'New order'!T204</f>
        <v/>
      </c>
      <c r="H202">
        <f>COUNTIF(C$12:C202,C202)</f>
        <v>191</v>
      </c>
      <c r="I202">
        <v>1</v>
      </c>
      <c r="J202">
        <f t="shared" si="52"/>
        <v>200</v>
      </c>
      <c r="K202" t="str">
        <f t="shared" si="68"/>
        <v/>
      </c>
      <c r="L202" t="str">
        <f t="shared" si="67"/>
        <v/>
      </c>
      <c r="M202" t="str">
        <f>IF(L202&lt;&gt;"",1+COUNT(M$12:M201),"")</f>
        <v/>
      </c>
      <c r="N202" t="str">
        <f t="shared" si="53"/>
        <v/>
      </c>
      <c r="O202" t="str">
        <f t="shared" si="54"/>
        <v/>
      </c>
      <c r="P202" t="str">
        <f t="shared" si="55"/>
        <v/>
      </c>
      <c r="Q202" t="str">
        <f t="shared" si="56"/>
        <v/>
      </c>
      <c r="R202" t="str">
        <f t="shared" si="57"/>
        <v/>
      </c>
      <c r="S202" t="str">
        <f t="shared" si="58"/>
        <v/>
      </c>
      <c r="T202" t="str">
        <f t="shared" si="59"/>
        <v/>
      </c>
      <c r="U202">
        <f t="shared" si="60"/>
        <v>0</v>
      </c>
      <c r="V202" t="str">
        <f t="shared" si="61"/>
        <v/>
      </c>
      <c r="W202" t="str">
        <f>IFERROR(RANK(V202,V$12:V$211,1)+COUNTIF(V$12:V202,V202)-1,"")</f>
        <v/>
      </c>
      <c r="Z202">
        <v>191</v>
      </c>
      <c r="AA202" s="422" t="str">
        <f t="shared" si="74"/>
        <v/>
      </c>
      <c r="AB202" s="498" t="str">
        <f t="shared" si="75"/>
        <v/>
      </c>
      <c r="AC202" s="423" t="str">
        <f t="shared" si="69"/>
        <v/>
      </c>
      <c r="AD202" s="470" t="str">
        <f t="shared" si="70"/>
        <v/>
      </c>
      <c r="AE202" s="468" t="str">
        <f t="shared" si="71"/>
        <v/>
      </c>
      <c r="AF202" s="457" t="str">
        <f t="shared" si="72"/>
        <v/>
      </c>
      <c r="AG202" s="472" t="str">
        <f t="shared" si="73"/>
        <v/>
      </c>
      <c r="AH202" s="490"/>
      <c r="AI202" s="488"/>
    </row>
    <row r="203" spans="1:35" x14ac:dyDescent="0.25">
      <c r="A203" t="str">
        <f>'New order'!U205</f>
        <v/>
      </c>
      <c r="B203" t="str">
        <f>'New order'!V205</f>
        <v/>
      </c>
      <c r="C203">
        <f>'New order'!AT205</f>
        <v>10</v>
      </c>
      <c r="D203" t="str">
        <f>'New order'!Y205</f>
        <v/>
      </c>
      <c r="E203">
        <f t="shared" si="50"/>
        <v>1</v>
      </c>
      <c r="F203">
        <f t="shared" si="51"/>
        <v>0</v>
      </c>
      <c r="G203" t="str">
        <f>'New order'!T205</f>
        <v/>
      </c>
      <c r="H203">
        <f>COUNTIF(C$12:C203,C203)</f>
        <v>192</v>
      </c>
      <c r="I203">
        <v>1</v>
      </c>
      <c r="J203">
        <f t="shared" si="52"/>
        <v>200</v>
      </c>
      <c r="K203" t="str">
        <f t="shared" si="68"/>
        <v/>
      </c>
      <c r="L203" t="str">
        <f t="shared" si="67"/>
        <v/>
      </c>
      <c r="M203" t="str">
        <f>IF(L203&lt;&gt;"",1+COUNT(M$12:M202),"")</f>
        <v/>
      </c>
      <c r="N203" t="str">
        <f t="shared" si="53"/>
        <v/>
      </c>
      <c r="O203" t="str">
        <f t="shared" si="54"/>
        <v/>
      </c>
      <c r="P203" t="str">
        <f t="shared" si="55"/>
        <v/>
      </c>
      <c r="Q203" t="str">
        <f t="shared" si="56"/>
        <v/>
      </c>
      <c r="R203" t="str">
        <f t="shared" si="57"/>
        <v/>
      </c>
      <c r="S203" t="str">
        <f t="shared" si="58"/>
        <v/>
      </c>
      <c r="T203" t="str">
        <f t="shared" si="59"/>
        <v/>
      </c>
      <c r="U203">
        <f t="shared" si="60"/>
        <v>0</v>
      </c>
      <c r="V203" t="str">
        <f t="shared" si="61"/>
        <v/>
      </c>
      <c r="W203" t="str">
        <f>IFERROR(RANK(V203,V$12:V$211,1)+COUNTIF(V$12:V203,V203)-1,"")</f>
        <v/>
      </c>
      <c r="Z203">
        <v>192</v>
      </c>
      <c r="AA203" s="422" t="str">
        <f t="shared" si="74"/>
        <v/>
      </c>
      <c r="AB203" s="498" t="str">
        <f t="shared" si="75"/>
        <v/>
      </c>
      <c r="AC203" s="423" t="str">
        <f t="shared" si="69"/>
        <v/>
      </c>
      <c r="AD203" s="470" t="str">
        <f t="shared" si="70"/>
        <v/>
      </c>
      <c r="AE203" s="468" t="str">
        <f t="shared" si="71"/>
        <v/>
      </c>
      <c r="AF203" s="457" t="str">
        <f t="shared" si="72"/>
        <v/>
      </c>
      <c r="AG203" s="472" t="str">
        <f t="shared" si="73"/>
        <v/>
      </c>
      <c r="AH203" s="490"/>
      <c r="AI203" s="488"/>
    </row>
    <row r="204" spans="1:35" x14ac:dyDescent="0.25">
      <c r="A204" t="str">
        <f>'New order'!U206</f>
        <v/>
      </c>
      <c r="B204" t="str">
        <f>'New order'!V206</f>
        <v/>
      </c>
      <c r="C204">
        <f>'New order'!AT206</f>
        <v>10</v>
      </c>
      <c r="D204" t="str">
        <f>'New order'!Y206</f>
        <v/>
      </c>
      <c r="E204">
        <f t="shared" si="50"/>
        <v>1</v>
      </c>
      <c r="F204">
        <f t="shared" si="51"/>
        <v>0</v>
      </c>
      <c r="G204" t="str">
        <f>'New order'!T206</f>
        <v/>
      </c>
      <c r="H204">
        <f>COUNTIF(C$12:C204,C204)</f>
        <v>193</v>
      </c>
      <c r="I204">
        <v>1</v>
      </c>
      <c r="J204">
        <f t="shared" si="52"/>
        <v>200</v>
      </c>
      <c r="K204" t="str">
        <f t="shared" si="68"/>
        <v/>
      </c>
      <c r="L204" t="str">
        <f t="shared" si="67"/>
        <v/>
      </c>
      <c r="M204" t="str">
        <f>IF(L204&lt;&gt;"",1+COUNT(M$12:M203),"")</f>
        <v/>
      </c>
      <c r="N204" t="str">
        <f t="shared" si="53"/>
        <v/>
      </c>
      <c r="O204" t="str">
        <f t="shared" si="54"/>
        <v/>
      </c>
      <c r="P204" t="str">
        <f t="shared" si="55"/>
        <v/>
      </c>
      <c r="Q204" t="str">
        <f t="shared" si="56"/>
        <v/>
      </c>
      <c r="R204" t="str">
        <f t="shared" si="57"/>
        <v/>
      </c>
      <c r="S204" t="str">
        <f t="shared" si="58"/>
        <v/>
      </c>
      <c r="T204" t="str">
        <f t="shared" si="59"/>
        <v/>
      </c>
      <c r="U204">
        <f t="shared" si="60"/>
        <v>0</v>
      </c>
      <c r="V204" t="str">
        <f t="shared" si="61"/>
        <v/>
      </c>
      <c r="W204" t="str">
        <f>IFERROR(RANK(V204,V$12:V$211,1)+COUNTIF(V$12:V204,V204)-1,"")</f>
        <v/>
      </c>
      <c r="Z204">
        <v>193</v>
      </c>
      <c r="AA204" s="422" t="str">
        <f t="shared" ref="AA204:AA211" si="76">_xlfn.SINGLE(_xlfn.XLOOKUP(Z204,W$12:W$211,O$12:O$211,""))</f>
        <v/>
      </c>
      <c r="AB204" s="498" t="str">
        <f t="shared" ref="AB204:AB211" si="77">_xlfn.SINGLE(_xlfn.XLOOKUP(Z204,W$12:W$211,T$12:T$211,""))</f>
        <v/>
      </c>
      <c r="AC204" s="423" t="str">
        <f t="shared" si="69"/>
        <v/>
      </c>
      <c r="AD204" s="470" t="str">
        <f t="shared" si="70"/>
        <v/>
      </c>
      <c r="AE204" s="468" t="str">
        <f t="shared" si="71"/>
        <v/>
      </c>
      <c r="AF204" s="457" t="str">
        <f t="shared" si="72"/>
        <v/>
      </c>
      <c r="AG204" s="472" t="str">
        <f t="shared" si="73"/>
        <v/>
      </c>
      <c r="AH204" s="490"/>
      <c r="AI204" s="488"/>
    </row>
    <row r="205" spans="1:35" x14ac:dyDescent="0.25">
      <c r="A205" t="str">
        <f>'New order'!U207</f>
        <v/>
      </c>
      <c r="B205" t="str">
        <f>'New order'!V207</f>
        <v/>
      </c>
      <c r="C205">
        <f>'New order'!AT207</f>
        <v>10</v>
      </c>
      <c r="D205" t="str">
        <f>'New order'!Y207</f>
        <v/>
      </c>
      <c r="E205">
        <f t="shared" ref="E205:E211" si="78">ROUNDDOWN(C205/10,0)</f>
        <v>1</v>
      </c>
      <c r="F205">
        <f t="shared" ref="F205:F211" si="79">C205-E205*10</f>
        <v>0</v>
      </c>
      <c r="G205" t="str">
        <f>'New order'!T207</f>
        <v/>
      </c>
      <c r="H205">
        <f>COUNTIF(C$12:C205,C205)</f>
        <v>194</v>
      </c>
      <c r="I205">
        <v>1</v>
      </c>
      <c r="J205">
        <f t="shared" ref="J205:J211" si="80">SUMIFS(I$12:I$211,A$12:A$211,A205,B$12:B$211,B205,C$12:C$211,C205)</f>
        <v>200</v>
      </c>
      <c r="K205" t="str">
        <f t="shared" si="68"/>
        <v/>
      </c>
      <c r="L205" t="str">
        <f t="shared" si="67"/>
        <v/>
      </c>
      <c r="M205" t="str">
        <f>IF(L205&lt;&gt;"",1+COUNT(M$12:M204),"")</f>
        <v/>
      </c>
      <c r="N205" t="str">
        <f t="shared" ref="N205:N211" si="81">IF(M205&lt;&gt;"",A205,"")</f>
        <v/>
      </c>
      <c r="O205" t="str">
        <f t="shared" ref="O205:O211" si="82">IF(M205&lt;&gt;"",B205,"")</f>
        <v/>
      </c>
      <c r="P205" t="str">
        <f t="shared" ref="P205:P211" si="83">IF(M205&lt;&gt;"",J205,"")</f>
        <v/>
      </c>
      <c r="Q205" t="str">
        <f t="shared" ref="Q205:Q211" si="84">IF(M205&lt;&gt;"",G205,"")</f>
        <v/>
      </c>
      <c r="R205" t="str">
        <f t="shared" ref="R205:R211" si="85">IF(M205&lt;&gt;"",E205,"")</f>
        <v/>
      </c>
      <c r="S205" t="str">
        <f t="shared" ref="S205:S211" si="86">IF(M205&lt;&gt;"",F205,"")</f>
        <v/>
      </c>
      <c r="T205" t="str">
        <f t="shared" ref="T205:T211" si="87">IF(M205&lt;&gt;"",D205,"")</f>
        <v/>
      </c>
      <c r="U205">
        <f t="shared" ref="U205:U211" si="88">_xlfn.XLOOKUP(T205,AL$12:AL$122,AM$12:AM$122,0)</f>
        <v>0</v>
      </c>
      <c r="V205" t="str">
        <f t="shared" ref="V205:V211" si="89">IFERROR(R205*1000+U205+IF(U205=100,10000,0),"")</f>
        <v/>
      </c>
      <c r="W205" t="str">
        <f>IFERROR(RANK(V205,V$12:V$211,1)+COUNTIF(V$12:V205,V205)-1,"")</f>
        <v/>
      </c>
      <c r="Z205">
        <v>194</v>
      </c>
      <c r="AA205" s="422" t="str">
        <f t="shared" si="76"/>
        <v/>
      </c>
      <c r="AB205" s="498" t="str">
        <f t="shared" si="77"/>
        <v/>
      </c>
      <c r="AC205" s="423" t="str">
        <f t="shared" si="69"/>
        <v/>
      </c>
      <c r="AD205" s="470" t="str">
        <f t="shared" si="70"/>
        <v/>
      </c>
      <c r="AE205" s="468" t="str">
        <f t="shared" si="71"/>
        <v/>
      </c>
      <c r="AF205" s="457" t="str">
        <f t="shared" si="72"/>
        <v/>
      </c>
      <c r="AG205" s="472" t="str">
        <f t="shared" si="73"/>
        <v/>
      </c>
      <c r="AH205" s="490"/>
      <c r="AI205" s="488"/>
    </row>
    <row r="206" spans="1:35" x14ac:dyDescent="0.25">
      <c r="A206" t="str">
        <f>'New order'!U208</f>
        <v/>
      </c>
      <c r="B206" t="str">
        <f>'New order'!V208</f>
        <v/>
      </c>
      <c r="C206">
        <f>'New order'!AT208</f>
        <v>10</v>
      </c>
      <c r="D206" t="str">
        <f>'New order'!Y208</f>
        <v/>
      </c>
      <c r="E206">
        <f t="shared" si="78"/>
        <v>1</v>
      </c>
      <c r="F206">
        <f t="shared" si="79"/>
        <v>0</v>
      </c>
      <c r="G206" t="str">
        <f>'New order'!T208</f>
        <v/>
      </c>
      <c r="H206">
        <f>COUNTIF(C$12:C206,C206)</f>
        <v>195</v>
      </c>
      <c r="I206">
        <v>1</v>
      </c>
      <c r="J206">
        <f t="shared" si="80"/>
        <v>200</v>
      </c>
      <c r="K206" t="str">
        <f t="shared" si="68"/>
        <v/>
      </c>
      <c r="L206" t="str">
        <f t="shared" ref="L206:L211" si="90">IF(K206=K205,"",K206)</f>
        <v/>
      </c>
      <c r="M206" t="str">
        <f>IF(L206&lt;&gt;"",1+COUNT(M$12:M205),"")</f>
        <v/>
      </c>
      <c r="N206" t="str">
        <f t="shared" si="81"/>
        <v/>
      </c>
      <c r="O206" t="str">
        <f t="shared" si="82"/>
        <v/>
      </c>
      <c r="P206" t="str">
        <f t="shared" si="83"/>
        <v/>
      </c>
      <c r="Q206" t="str">
        <f t="shared" si="84"/>
        <v/>
      </c>
      <c r="R206" t="str">
        <f t="shared" si="85"/>
        <v/>
      </c>
      <c r="S206" t="str">
        <f t="shared" si="86"/>
        <v/>
      </c>
      <c r="T206" t="str">
        <f t="shared" si="87"/>
        <v/>
      </c>
      <c r="U206">
        <f t="shared" si="88"/>
        <v>0</v>
      </c>
      <c r="V206" t="str">
        <f t="shared" si="89"/>
        <v/>
      </c>
      <c r="W206" t="str">
        <f>IFERROR(RANK(V206,V$12:V$211,1)+COUNTIF(V$12:V206,V206)-1,"")</f>
        <v/>
      </c>
      <c r="Z206">
        <v>195</v>
      </c>
      <c r="AA206" s="422" t="str">
        <f t="shared" si="76"/>
        <v/>
      </c>
      <c r="AB206" s="498" t="str">
        <f t="shared" si="77"/>
        <v/>
      </c>
      <c r="AC206" s="423" t="str">
        <f t="shared" si="69"/>
        <v/>
      </c>
      <c r="AD206" s="470" t="str">
        <f t="shared" si="70"/>
        <v/>
      </c>
      <c r="AE206" s="468" t="str">
        <f t="shared" si="71"/>
        <v/>
      </c>
      <c r="AF206" s="457" t="str">
        <f t="shared" si="72"/>
        <v/>
      </c>
      <c r="AG206" s="472" t="str">
        <f t="shared" si="73"/>
        <v/>
      </c>
      <c r="AH206" s="490"/>
      <c r="AI206" s="488"/>
    </row>
    <row r="207" spans="1:35" x14ac:dyDescent="0.25">
      <c r="A207" t="str">
        <f>'New order'!U209</f>
        <v/>
      </c>
      <c r="B207" t="str">
        <f>'New order'!V209</f>
        <v/>
      </c>
      <c r="C207">
        <f>'New order'!AT209</f>
        <v>10</v>
      </c>
      <c r="D207" t="str">
        <f>'New order'!Y209</f>
        <v/>
      </c>
      <c r="E207">
        <f t="shared" si="78"/>
        <v>1</v>
      </c>
      <c r="F207">
        <f t="shared" si="79"/>
        <v>0</v>
      </c>
      <c r="G207" t="str">
        <f>'New order'!T209</f>
        <v/>
      </c>
      <c r="H207">
        <f>COUNTIF(C$12:C207,C207)</f>
        <v>196</v>
      </c>
      <c r="I207">
        <v>1</v>
      </c>
      <c r="J207">
        <f t="shared" si="80"/>
        <v>200</v>
      </c>
      <c r="K207" t="str">
        <f t="shared" si="68"/>
        <v/>
      </c>
      <c r="L207" t="str">
        <f t="shared" si="90"/>
        <v/>
      </c>
      <c r="M207" t="str">
        <f>IF(L207&lt;&gt;"",1+COUNT(M$12:M206),"")</f>
        <v/>
      </c>
      <c r="N207" t="str">
        <f t="shared" si="81"/>
        <v/>
      </c>
      <c r="O207" t="str">
        <f t="shared" si="82"/>
        <v/>
      </c>
      <c r="P207" t="str">
        <f t="shared" si="83"/>
        <v/>
      </c>
      <c r="Q207" t="str">
        <f t="shared" si="84"/>
        <v/>
      </c>
      <c r="R207" t="str">
        <f t="shared" si="85"/>
        <v/>
      </c>
      <c r="S207" t="str">
        <f t="shared" si="86"/>
        <v/>
      </c>
      <c r="T207" t="str">
        <f t="shared" si="87"/>
        <v/>
      </c>
      <c r="U207">
        <f t="shared" si="88"/>
        <v>0</v>
      </c>
      <c r="V207" t="str">
        <f t="shared" si="89"/>
        <v/>
      </c>
      <c r="W207" t="str">
        <f>IFERROR(RANK(V207,V$12:V$211,1)+COUNTIF(V$12:V207,V207)-1,"")</f>
        <v/>
      </c>
      <c r="Z207">
        <v>196</v>
      </c>
      <c r="AA207" s="422" t="str">
        <f t="shared" si="76"/>
        <v/>
      </c>
      <c r="AB207" s="498" t="str">
        <f t="shared" si="77"/>
        <v/>
      </c>
      <c r="AC207" s="423" t="str">
        <f t="shared" si="69"/>
        <v/>
      </c>
      <c r="AD207" s="470" t="str">
        <f t="shared" si="70"/>
        <v/>
      </c>
      <c r="AE207" s="468" t="str">
        <f t="shared" si="71"/>
        <v/>
      </c>
      <c r="AF207" s="457" t="str">
        <f t="shared" si="72"/>
        <v/>
      </c>
      <c r="AG207" s="472" t="str">
        <f t="shared" si="73"/>
        <v/>
      </c>
      <c r="AH207" s="490"/>
      <c r="AI207" s="488"/>
    </row>
    <row r="208" spans="1:35" x14ac:dyDescent="0.25">
      <c r="A208" t="str">
        <f>'New order'!U210</f>
        <v/>
      </c>
      <c r="B208" t="str">
        <f>'New order'!V210</f>
        <v/>
      </c>
      <c r="C208">
        <f>'New order'!AT210</f>
        <v>10</v>
      </c>
      <c r="D208" t="str">
        <f>'New order'!Y210</f>
        <v/>
      </c>
      <c r="E208">
        <f t="shared" si="78"/>
        <v>1</v>
      </c>
      <c r="F208">
        <f t="shared" si="79"/>
        <v>0</v>
      </c>
      <c r="G208" t="str">
        <f>'New order'!T210</f>
        <v/>
      </c>
      <c r="H208">
        <f>COUNTIF(C$12:C208,C208)</f>
        <v>197</v>
      </c>
      <c r="I208">
        <v>1</v>
      </c>
      <c r="J208">
        <f t="shared" si="80"/>
        <v>200</v>
      </c>
      <c r="K208" t="str">
        <f t="shared" si="68"/>
        <v/>
      </c>
      <c r="L208" t="str">
        <f t="shared" si="90"/>
        <v/>
      </c>
      <c r="M208" t="str">
        <f>IF(L208&lt;&gt;"",1+COUNT(M$12:M207),"")</f>
        <v/>
      </c>
      <c r="N208" t="str">
        <f t="shared" si="81"/>
        <v/>
      </c>
      <c r="O208" t="str">
        <f t="shared" si="82"/>
        <v/>
      </c>
      <c r="P208" t="str">
        <f t="shared" si="83"/>
        <v/>
      </c>
      <c r="Q208" t="str">
        <f t="shared" si="84"/>
        <v/>
      </c>
      <c r="R208" t="str">
        <f t="shared" si="85"/>
        <v/>
      </c>
      <c r="S208" t="str">
        <f t="shared" si="86"/>
        <v/>
      </c>
      <c r="T208" t="str">
        <f t="shared" si="87"/>
        <v/>
      </c>
      <c r="U208">
        <f t="shared" si="88"/>
        <v>0</v>
      </c>
      <c r="V208" t="str">
        <f t="shared" si="89"/>
        <v/>
      </c>
      <c r="W208" t="str">
        <f>IFERROR(RANK(V208,V$12:V$211,1)+COUNTIF(V$12:V208,V208)-1,"")</f>
        <v/>
      </c>
      <c r="Z208">
        <v>197</v>
      </c>
      <c r="AA208" s="422" t="str">
        <f t="shared" si="76"/>
        <v/>
      </c>
      <c r="AB208" s="498" t="str">
        <f t="shared" si="77"/>
        <v/>
      </c>
      <c r="AC208" s="423" t="str">
        <f t="shared" si="69"/>
        <v/>
      </c>
      <c r="AD208" s="470" t="str">
        <f t="shared" si="70"/>
        <v/>
      </c>
      <c r="AE208" s="468" t="str">
        <f t="shared" si="71"/>
        <v/>
      </c>
      <c r="AF208" s="457" t="str">
        <f t="shared" si="72"/>
        <v/>
      </c>
      <c r="AG208" s="472" t="str">
        <f t="shared" si="73"/>
        <v/>
      </c>
      <c r="AH208" s="490"/>
      <c r="AI208" s="488"/>
    </row>
    <row r="209" spans="1:35" x14ac:dyDescent="0.25">
      <c r="A209" t="str">
        <f>'New order'!U211</f>
        <v/>
      </c>
      <c r="B209" t="str">
        <f>'New order'!V211</f>
        <v/>
      </c>
      <c r="C209">
        <f>'New order'!AT211</f>
        <v>10</v>
      </c>
      <c r="D209" t="str">
        <f>'New order'!Y211</f>
        <v/>
      </c>
      <c r="E209">
        <f t="shared" si="78"/>
        <v>1</v>
      </c>
      <c r="F209">
        <f t="shared" si="79"/>
        <v>0</v>
      </c>
      <c r="G209" t="str">
        <f>'New order'!T211</f>
        <v/>
      </c>
      <c r="H209">
        <f>COUNTIF(C$12:C209,C209)</f>
        <v>198</v>
      </c>
      <c r="I209">
        <v>1</v>
      </c>
      <c r="J209">
        <f t="shared" si="80"/>
        <v>200</v>
      </c>
      <c r="K209" t="str">
        <f t="shared" si="68"/>
        <v/>
      </c>
      <c r="L209" t="str">
        <f t="shared" si="90"/>
        <v/>
      </c>
      <c r="M209" t="str">
        <f>IF(L209&lt;&gt;"",1+COUNT(M$12:M208),"")</f>
        <v/>
      </c>
      <c r="N209" t="str">
        <f t="shared" si="81"/>
        <v/>
      </c>
      <c r="O209" t="str">
        <f t="shared" si="82"/>
        <v/>
      </c>
      <c r="P209" t="str">
        <f t="shared" si="83"/>
        <v/>
      </c>
      <c r="Q209" t="str">
        <f t="shared" si="84"/>
        <v/>
      </c>
      <c r="R209" t="str">
        <f t="shared" si="85"/>
        <v/>
      </c>
      <c r="S209" t="str">
        <f t="shared" si="86"/>
        <v/>
      </c>
      <c r="T209" t="str">
        <f t="shared" si="87"/>
        <v/>
      </c>
      <c r="U209">
        <f t="shared" si="88"/>
        <v>0</v>
      </c>
      <c r="V209" t="str">
        <f t="shared" si="89"/>
        <v/>
      </c>
      <c r="W209" t="str">
        <f>IFERROR(RANK(V209,V$12:V$211,1)+COUNTIF(V$12:V209,V209)-1,"")</f>
        <v/>
      </c>
      <c r="Z209">
        <v>198</v>
      </c>
      <c r="AA209" s="422" t="str">
        <f t="shared" si="76"/>
        <v/>
      </c>
      <c r="AB209" s="498" t="str">
        <f t="shared" si="77"/>
        <v/>
      </c>
      <c r="AC209" s="423" t="str">
        <f t="shared" si="69"/>
        <v/>
      </c>
      <c r="AD209" s="470" t="str">
        <f t="shared" si="70"/>
        <v/>
      </c>
      <c r="AE209" s="468" t="str">
        <f t="shared" si="71"/>
        <v/>
      </c>
      <c r="AF209" s="457" t="str">
        <f t="shared" si="72"/>
        <v/>
      </c>
      <c r="AG209" s="472" t="str">
        <f t="shared" si="73"/>
        <v/>
      </c>
      <c r="AH209" s="490"/>
      <c r="AI209" s="488"/>
    </row>
    <row r="210" spans="1:35" x14ac:dyDescent="0.25">
      <c r="A210" t="str">
        <f>'New order'!U212</f>
        <v/>
      </c>
      <c r="B210" t="str">
        <f>'New order'!V212</f>
        <v/>
      </c>
      <c r="C210">
        <f>'New order'!AT212</f>
        <v>10</v>
      </c>
      <c r="D210" t="str">
        <f>'New order'!Y212</f>
        <v/>
      </c>
      <c r="E210">
        <f t="shared" si="78"/>
        <v>1</v>
      </c>
      <c r="F210">
        <f t="shared" si="79"/>
        <v>0</v>
      </c>
      <c r="G210" t="str">
        <f>'New order'!T212</f>
        <v/>
      </c>
      <c r="H210">
        <f>COUNTIF(C$12:C210,C210)</f>
        <v>199</v>
      </c>
      <c r="I210">
        <v>1</v>
      </c>
      <c r="J210">
        <f t="shared" si="80"/>
        <v>200</v>
      </c>
      <c r="K210" t="str">
        <f t="shared" si="68"/>
        <v/>
      </c>
      <c r="L210" t="str">
        <f t="shared" si="90"/>
        <v/>
      </c>
      <c r="M210" t="str">
        <f>IF(L210&lt;&gt;"",1+COUNT(M$12:M209),"")</f>
        <v/>
      </c>
      <c r="N210" t="str">
        <f t="shared" si="81"/>
        <v/>
      </c>
      <c r="O210" t="str">
        <f t="shared" si="82"/>
        <v/>
      </c>
      <c r="P210" t="str">
        <f t="shared" si="83"/>
        <v/>
      </c>
      <c r="Q210" t="str">
        <f t="shared" si="84"/>
        <v/>
      </c>
      <c r="R210" t="str">
        <f t="shared" si="85"/>
        <v/>
      </c>
      <c r="S210" t="str">
        <f t="shared" si="86"/>
        <v/>
      </c>
      <c r="T210" t="str">
        <f t="shared" si="87"/>
        <v/>
      </c>
      <c r="U210">
        <f t="shared" si="88"/>
        <v>0</v>
      </c>
      <c r="V210" t="str">
        <f t="shared" si="89"/>
        <v/>
      </c>
      <c r="W210" t="str">
        <f>IFERROR(RANK(V210,V$12:V$211,1)+COUNTIF(V$12:V210,V210)-1,"")</f>
        <v/>
      </c>
      <c r="Z210">
        <v>199</v>
      </c>
      <c r="AA210" s="422" t="str">
        <f t="shared" si="76"/>
        <v/>
      </c>
      <c r="AB210" s="498" t="str">
        <f t="shared" si="77"/>
        <v/>
      </c>
      <c r="AC210" s="423" t="str">
        <f t="shared" si="69"/>
        <v/>
      </c>
      <c r="AD210" s="470" t="str">
        <f t="shared" si="70"/>
        <v/>
      </c>
      <c r="AE210" s="468" t="str">
        <f t="shared" si="71"/>
        <v/>
      </c>
      <c r="AF210" s="457" t="str">
        <f t="shared" si="72"/>
        <v/>
      </c>
      <c r="AG210" s="472" t="str">
        <f t="shared" si="73"/>
        <v/>
      </c>
      <c r="AH210" s="490"/>
      <c r="AI210" s="488"/>
    </row>
    <row r="211" spans="1:35" x14ac:dyDescent="0.25">
      <c r="A211" t="str">
        <f>'New order'!U213</f>
        <v/>
      </c>
      <c r="B211" t="str">
        <f>'New order'!V213</f>
        <v/>
      </c>
      <c r="C211">
        <f>'New order'!AT213</f>
        <v>10</v>
      </c>
      <c r="D211" t="str">
        <f>'New order'!Y213</f>
        <v/>
      </c>
      <c r="E211">
        <f t="shared" si="78"/>
        <v>1</v>
      </c>
      <c r="F211">
        <f t="shared" si="79"/>
        <v>0</v>
      </c>
      <c r="G211" t="str">
        <f>'New order'!T213</f>
        <v/>
      </c>
      <c r="H211">
        <f>COUNTIF(C$12:C211,C211)</f>
        <v>200</v>
      </c>
      <c r="I211">
        <v>1</v>
      </c>
      <c r="J211">
        <f t="shared" si="80"/>
        <v>200</v>
      </c>
      <c r="K211" t="str">
        <f t="shared" si="68"/>
        <v/>
      </c>
      <c r="L211" t="str">
        <f t="shared" si="90"/>
        <v/>
      </c>
      <c r="M211" t="str">
        <f>IF(L211&lt;&gt;"",1+COUNT(M$12:M210),"")</f>
        <v/>
      </c>
      <c r="N211" t="str">
        <f t="shared" si="81"/>
        <v/>
      </c>
      <c r="O211" t="str">
        <f t="shared" si="82"/>
        <v/>
      </c>
      <c r="P211" t="str">
        <f t="shared" si="83"/>
        <v/>
      </c>
      <c r="Q211" t="str">
        <f t="shared" si="84"/>
        <v/>
      </c>
      <c r="R211" t="str">
        <f t="shared" si="85"/>
        <v/>
      </c>
      <c r="S211" t="str">
        <f t="shared" si="86"/>
        <v/>
      </c>
      <c r="T211" t="str">
        <f t="shared" si="87"/>
        <v/>
      </c>
      <c r="U211">
        <f t="shared" si="88"/>
        <v>0</v>
      </c>
      <c r="V211" t="str">
        <f t="shared" si="89"/>
        <v/>
      </c>
      <c r="W211" t="str">
        <f>IFERROR(RANK(V211,V$12:V$211,1)+COUNTIF(V$12:V211,V211)-1,"")</f>
        <v/>
      </c>
      <c r="Z211">
        <v>200</v>
      </c>
      <c r="AA211" s="501" t="str">
        <f t="shared" si="76"/>
        <v/>
      </c>
      <c r="AB211" s="499" t="str">
        <f t="shared" si="77"/>
        <v/>
      </c>
      <c r="AC211" s="424" t="str">
        <f t="shared" si="69"/>
        <v/>
      </c>
      <c r="AD211" s="471" t="str">
        <f t="shared" si="70"/>
        <v/>
      </c>
      <c r="AE211" s="469" t="str">
        <f t="shared" si="71"/>
        <v/>
      </c>
      <c r="AF211" s="458" t="str">
        <f t="shared" si="72"/>
        <v/>
      </c>
      <c r="AG211" s="473" t="str">
        <f t="shared" si="73"/>
        <v/>
      </c>
      <c r="AH211" s="491"/>
      <c r="AI211" s="489"/>
    </row>
    <row r="212" spans="1:35" x14ac:dyDescent="0.25">
      <c r="A212" s="461"/>
      <c r="B212" s="461"/>
      <c r="C212" s="461"/>
      <c r="D212" s="461"/>
      <c r="E212" s="461"/>
      <c r="F212" s="461"/>
      <c r="G212" s="461"/>
      <c r="H212" s="461"/>
      <c r="I212" s="461"/>
      <c r="J212" s="461"/>
      <c r="K212" s="461"/>
      <c r="L212" s="461"/>
      <c r="M212" s="461"/>
      <c r="N212" s="461"/>
      <c r="O212" s="461"/>
      <c r="P212" s="461"/>
      <c r="Q212" s="461"/>
      <c r="R212" s="461"/>
      <c r="S212" s="461"/>
      <c r="T212" s="461"/>
      <c r="U212" s="461"/>
      <c r="V212" s="461"/>
      <c r="W212" s="461"/>
      <c r="X212" s="461"/>
      <c r="Y212" s="461"/>
      <c r="Z212" s="461"/>
      <c r="AB212" s="461"/>
    </row>
  </sheetData>
  <mergeCells count="4">
    <mergeCell ref="AD11:AE11"/>
    <mergeCell ref="AB1:AC2"/>
    <mergeCell ref="AA1:AA2"/>
    <mergeCell ref="AH11:AI11"/>
  </mergeCells>
  <conditionalFormatting sqref="AD12:AD211">
    <cfRule type="cellIs" dxfId="0" priority="1" operator="greaterThan">
      <formula>1</formula>
    </cfRule>
  </conditionalFormatting>
  <pageMargins left="0.25" right="0.25"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08C6C4499C064CB1DE3E412FF0A8EA" ma:contentTypeVersion="12" ma:contentTypeDescription="Create a new document." ma:contentTypeScope="" ma:versionID="2f43512f11211860c19e0f228fd9a5c6">
  <xsd:schema xmlns:xsd="http://www.w3.org/2001/XMLSchema" xmlns:xs="http://www.w3.org/2001/XMLSchema" xmlns:p="http://schemas.microsoft.com/office/2006/metadata/properties" xmlns:ns3="661fd6d6-4837-4003-8dfa-e2172135e44c" xmlns:ns4="7afa12e6-157b-4d51-b2df-863e5156876f" targetNamespace="http://schemas.microsoft.com/office/2006/metadata/properties" ma:root="true" ma:fieldsID="7ee98cff693c50062cb719f2652f48bd" ns3:_="" ns4:_="">
    <xsd:import namespace="661fd6d6-4837-4003-8dfa-e2172135e44c"/>
    <xsd:import namespace="7afa12e6-157b-4d51-b2df-863e5156876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fd6d6-4837-4003-8dfa-e2172135e4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fa12e6-157b-4d51-b2df-863e5156876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4E5A8-F9A3-4B82-AFCF-39BAAECBE106}">
  <ds:schemaRefs>
    <ds:schemaRef ds:uri="http://schemas.microsoft.com/office/2006/metadata/contentType"/>
    <ds:schemaRef ds:uri="http://schemas.microsoft.com/office/2006/metadata/properties/metaAttributes"/>
    <ds:schemaRef ds:uri="http://www.w3.org/2000/xmlns/"/>
    <ds:schemaRef ds:uri="http://www.w3.org/2001/XMLSchema"/>
    <ds:schemaRef ds:uri="661fd6d6-4837-4003-8dfa-e2172135e44c"/>
    <ds:schemaRef ds:uri="7afa12e6-157b-4d51-b2df-863e5156876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DE1BE-BD8B-4256-8094-60E3CDC924FD}">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528F24B5-593C-4E05-BFAF-45A9913476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Order</vt:lpstr>
      <vt:lpstr>Print_Order</vt:lpstr>
      <vt:lpstr>A</vt:lpstr>
      <vt:lpstr>Stock position</vt:lpstr>
      <vt:lpstr>Priority</vt:lpstr>
      <vt:lpstr>New order</vt:lpstr>
      <vt:lpstr>Nursery Sheet</vt:lpstr>
      <vt:lpstr>'Nursery Sheet'!Print_Area</vt:lpstr>
      <vt:lpstr>Order!Print_Area</vt:lpstr>
      <vt:lpstr>Print_Order!Print_Area</vt:lpstr>
      <vt:lpstr>Priority!Print_Area</vt:lpstr>
      <vt:lpstr>'Stock position'!Print_Area</vt:lpstr>
      <vt:lpstr>Order!Print_Titles</vt:lpstr>
      <vt:lpstr>Print_Order!Print_Titles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Lowe</dc:creator>
  <cp:lastModifiedBy>Claire Wheeler</cp:lastModifiedBy>
  <cp:lastPrinted>2024-03-14T12:45:57Z</cp:lastPrinted>
  <dcterms:created xsi:type="dcterms:W3CDTF">2017-09-21T08:47:27Z</dcterms:created>
  <dcterms:modified xsi:type="dcterms:W3CDTF">2024-03-15T15:01:59Z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0x0101006608C6C4499C064CB1DE3E412FF0A8EA</vt:lpwstr>
  </property>
</Properties>
</file>